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<sst xmlns="http://schemas.openxmlformats.org/spreadsheetml/2006/main" count="20670" uniqueCount="4544">
  <si>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</si>
  <si>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</si>
  <si>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</si>
  <si>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</si>
  <si>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</si>
  <si>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</si>
  <si>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</si>
  <si>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</si>
  <si>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</si>
  <si>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</si>
  <si>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</si>
  <si>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</si>
  <si>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</si>
  <si>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</si>
  <si>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</si>
  <si>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</si>
  <si>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</si>
  <si>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</si>
  <si>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</si>
  <si>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</si>
  <si>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</si>
  <si>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</si>
  <si>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</si>
  <si>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</si>
  <si>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</si>
  <si>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</si>
  <si>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</si>
  <si>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</si>
  <si>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</si>
  <si>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</si>
  <si>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</si>
  <si>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</si>
  <si>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</si>
  <si>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</si>
  <si>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</si>
  <si>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</si>
  <si>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</si>
  <si>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</si>
  <si>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</si>
  <si>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</si>
  <si>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</si>
  <si>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</si>
  <si>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</si>
  <si>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</si>
  <si>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</si>
  <si>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</si>
  <si>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</si>
  <si>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</si>
  <si>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</si>
  <si>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</si>
  <si>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</si>
  <si>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</si>
  <si>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</si>
  <si>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</si>
  <si>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</si>
  <si>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</si>
  <si>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</si>
  <si>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</si>
  <si>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</si>
  <si>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</si>
  <si>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</si>
  <si>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</si>
  <si>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</si>
  <si>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</si>
  <si>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</si>
  <si>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</si>
  <si>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</si>
  <si>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</si>
  <si>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</si>
  <si>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</si>
  <si>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</si>
  <si>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</si>
  <si>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</si>
  <si>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</si>
  <si>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</si>
  <si>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</si>
  <si>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</si>
  <si>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</si>
  <si>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</si>
  <si>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</si>
  <si>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</si>
  <si>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</si>
  <si>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</si>
  <si>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</si>
  <si>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</si>
  <si>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</si>
  <si>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</si>
  <si>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</si>
  <si>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</si>
  <si>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</si>
  <si>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</si>
  <si>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</si>
  <si>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</si>
  <si>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</si>
  <si>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</si>
  <si>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</si>
  <si>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</si>
  <si>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</si>
  <si>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</si>
  <si>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</si>
  <si>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</si>
  <si>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</si>
  <si>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</si>
  <si>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</si>
  <si>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</si>
  <si>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</si>
  <si>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</si>
  <si>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</si>
  <si>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</si>
  <si>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</si>
  <si>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</si>
  <si>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</si>
  <si>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</si>
  <si>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</si>
  <si>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</si>
  <si>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</si>
  <si>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</si>
  <si>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</si>
  <si>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</si>
  <si>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</si>
  <si>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</si>
  <si>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</si>
  <si>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</si>
  <si>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</si>
  <si>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</si>
  <si>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</si>
  <si>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</si>
  <si>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</si>
  <si>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</si>
  <si>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</si>
  <si>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</si>
  <si>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</si>
  <si>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</si>
  <si>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</si>
  <si>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</si>
  <si>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</si>
  <si>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</si>
  <si>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</si>
  <si>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</si>
  <si>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</si>
  <si>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</si>
  <si>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</si>
  <si>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</si>
  <si>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</si>
  <si>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</si>
  <si>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</si>
  <si>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</si>
  <si>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</si>
  <si>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</si>
  <si>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</si>
  <si>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</si>
  <si>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</si>
  <si>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</si>
  <si>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</si>
  <si>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</si>
  <si>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</si>
  <si>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</si>
  <si>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</si>
  <si>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</si>
  <si>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</si>
  <si>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</si>
  <si>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</si>
  <si>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</si>
  <si>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</si>
  <si>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</si>
  <si>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</si>
  <si>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</si>
  <si>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</si>
  <si>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</si>
  <si>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</si>
  <si>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</si>
  <si>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</si>
  <si>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</si>
  <si>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</si>
  <si>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</si>
  <si>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</si>
  <si>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</si>
  <si>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</si>
  <si>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</si>
  <si>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</si>
  <si>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</si>
  <si>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</si>
  <si>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</si>
  <si>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</si>
  <si>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</si>
  <si>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</si>
  <si>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</si>
  <si>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</si>
  <si>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</si>
  <si>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</si>
  <si>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</si>
  <si>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</si>
  <si>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 xml:space="preserve">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t>
  </si>
  <si>
    <t>Workbook Settings 21</t>
  </si>
  <si>
    <t>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t>
  </si>
  <si>
    <t>Workbook Settings 22</t>
  </si>
  <si>
    <t>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t>
  </si>
  <si>
    <t>Workbook Settings 23</t>
  </si>
  <si>
    <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t>
  </si>
  <si>
    <t>Workbook Settings 24</t>
  </si>
  <si>
    <t>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t>
  </si>
  <si>
    <t>Workbook Settings 25</t>
  </si>
  <si>
    <t xml:space="preserve">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t>
  </si>
  <si>
    <t>Workbook Settings 26</t>
  </si>
  <si>
    <t>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
  </si>
  <si>
    <t>Workbook Settings 27</t>
  </si>
  <si>
    <t>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t>
  </si>
  <si>
    <t>Workbook Settings 28</t>
  </si>
  <si>
    <t>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t>
  </si>
  <si>
    <t>Workbook Settings 29</t>
  </si>
  <si>
    <t>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t>
  </si>
  <si>
    <t>Workbook Settings 30</t>
  </si>
  <si>
    <t>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</si>
  <si>
    <t>Workbook Settings 31</t>
  </si>
  <si>
    <t>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t>
  </si>
  <si>
    <t>Workbook Settings 32</t>
  </si>
  <si>
    <t>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t>
  </si>
  <si>
    <t>Workbook Settings 33</t>
  </si>
  <si>
    <t>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t>
  </si>
  <si>
    <t>Workbook Settings 34</t>
  </si>
  <si>
    <t>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t>
  </si>
  <si>
    <t>Workbook Settings 35</t>
  </si>
  <si>
    <t xml:space="preserve">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t>
  </si>
  <si>
    <t>Workbook Settings 36</t>
  </si>
  <si>
    <t>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t>
  </si>
  <si>
    <t>Workbook Settings 37</t>
  </si>
  <si>
    <t>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t>
  </si>
  <si>
    <t>Workbook Settings 38</t>
  </si>
  <si>
    <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
  </si>
  <si>
    <t>Workbook Settings 39</t>
  </si>
  <si>
    <t>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
  </si>
  <si>
    <t>Workbook Settings 40</t>
  </si>
  <si>
    <t xml:space="preserve">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t>
  </si>
  <si>
    <t>Workbook Settings 41</t>
  </si>
  <si>
    <t>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t>
  </si>
  <si>
    <t>Workbook Settings 42</t>
  </si>
  <si>
    <t>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t>
  </si>
  <si>
    <t>Workbook Settings 43</t>
  </si>
  <si>
    <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t>
  </si>
  <si>
    <t>Workbook Settings 44</t>
  </si>
  <si>
    <t>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t>
  </si>
  <si>
    <t>Workbook Settings 45</t>
  </si>
  <si>
    <t>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t>
  </si>
  <si>
    <t>Workbook Settings 46</t>
  </si>
  <si>
    <t>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t>
  </si>
  <si>
    <t>Workbook Settings 47</t>
  </si>
  <si>
    <t>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t>
  </si>
  <si>
    <t>Workbook Settings 48</t>
  </si>
  <si>
    <t xml:space="preserve">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t>
  </si>
  <si>
    <t>Workbook Settings 49</t>
  </si>
  <si>
    <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t>
  </si>
  <si>
    <t>Workbook Settings 50</t>
  </si>
  <si>
    <t>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t>
  </si>
  <si>
    <t>Workbook Settings 51</t>
  </si>
  <si>
    <t>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t>
  </si>
  <si>
    <t>Workbook Settings 52</t>
  </si>
  <si>
    <t>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t>
  </si>
  <si>
    <t>Workbook Settings 53</t>
  </si>
  <si>
    <t>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t>
  </si>
  <si>
    <t>Workbook Settings 54</t>
  </si>
  <si>
    <t>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t>
  </si>
  <si>
    <t>Workbook Settings 55</t>
  </si>
  <si>
    <t>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t>
  </si>
  <si>
    <t>Workbook Settings 56</t>
  </si>
  <si>
    <t>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t>
  </si>
  <si>
    <t>Workbook Settings 57</t>
  </si>
  <si>
    <t>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t>
  </si>
  <si>
    <t>Workbook Settings 58</t>
  </si>
  <si>
    <t>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t>
  </si>
  <si>
    <t>Workbook Settings 59</t>
  </si>
  <si>
    <t xml:space="preserve">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t>
  </si>
  <si>
    <t>Workbook Settings 60</t>
  </si>
  <si>
    <t>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t>
  </si>
  <si>
    <t>Workbook Settings 61</t>
  </si>
  <si>
    <t xml:space="preserve">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t>
  </si>
  <si>
    <t>Workbook Settings 62</t>
  </si>
  <si>
    <t xml:space="preserve">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t>
  </si>
  <si>
    <t>Workbook Settings 63</t>
  </si>
  <si>
    <t>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t>
  </si>
  <si>
    <t>Workbook Settings 64</t>
  </si>
  <si>
    <t>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t>
  </si>
  <si>
    <t>Workbook Settings 65</t>
  </si>
  <si>
    <t>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t>
  </si>
  <si>
    <t>Workbook Settings 66</t>
  </si>
  <si>
    <t>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t>
  </si>
  <si>
    <t>Workbook Settings 67</t>
  </si>
  <si>
    <t>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t>
  </si>
  <si>
    <t>Workbook Settings 68</t>
  </si>
  <si>
    <t>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t>
  </si>
  <si>
    <t>Workbook Settings 69</t>
  </si>
  <si>
    <t>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t>
  </si>
  <si>
    <t>Workbook Settings 70</t>
  </si>
  <si>
    <t>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t>
  </si>
  <si>
    <t>Workbook Settings 71</t>
  </si>
  <si>
    <t xml:space="preserve">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</si>
  <si>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</si>
  <si>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</si>
  <si>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</si>
  <si>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t>
  </si>
  <si>
    <t>Workbook Settings 74</t>
  </si>
  <si>
    <t>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</si>
  <si>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</si>
  <si>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</si>
  <si>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</si>
  <si>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t>
  </si>
  <si>
    <t>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</si>
  <si>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</si>
  <si>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t>
  </si>
  <si>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t>
  </si>
  <si>
    <t>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t>
  </si>
  <si>
    <t>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t>
  </si>
  <si>
    <t>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t>
  </si>
  <si>
    <t>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t>
  </si>
  <si>
    <t>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t>
  </si>
  <si>
    <t>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t>
  </si>
  <si>
    <t>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t>
  </si>
  <si>
    <t xml:space="preserve">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t>
  </si>
  <si>
    <t>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t>
  </si>
  <si>
    <t>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</si>
  <si>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t>
  </si>
  <si>
    <t>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</si>
  <si>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</si>
  <si>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</si>
  <si>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</si>
  <si>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</si>
  <si>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</si>
  <si>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</si>
  <si>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</si>
  <si>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</si>
  <si>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</si>
  <si>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</si>
  <si>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</si>
  <si>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</si>
  <si>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</si>
  <si>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</si>
  <si>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</si>
  <si>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</si>
  <si>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</si>
  <si>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</si>
  <si>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UC-xo4E5unTLL0vZgWU1r4AQ</t>
  </si>
  <si>
    <t>UCq-5rSVrqrldQrsC1Ec9i2g</t>
  </si>
  <si>
    <t>UCdFRZWk_0AH8xteTl_PghTg</t>
  </si>
  <si>
    <t>UC0g2sWrmHNo0OfJfLqY-_ZQ</t>
  </si>
  <si>
    <t>UCmZiXelUcA2UFIGMLMD0ZkA</t>
  </si>
  <si>
    <t>UCxJxernZ1l51Mw8cJYJevFw</t>
  </si>
  <si>
    <t>UCjz9CCl1iTxmGe1OUnlTZlg</t>
  </si>
  <si>
    <t>UCdltSbWm9lJIhMfl8FmGG5Q</t>
  </si>
  <si>
    <t>UCRtq4i56vn5UYRK8kJolQEg</t>
  </si>
  <si>
    <t>UCZCKSdOmcCvKpjKGwtBX_Mg</t>
  </si>
  <si>
    <t>UCMZmRotvr03iokIMtRNN_LQ</t>
  </si>
  <si>
    <t>UC8qjAvcHT8xZjRuF_dEppxg</t>
  </si>
  <si>
    <t>UCVNggqNBF0HaVwd5E7T8_ZA</t>
  </si>
  <si>
    <t>UCimfVl0WVt0SWcuZzGZYGHg</t>
  </si>
  <si>
    <t>UCZWg-VX1eOHs72CCWpCexlw</t>
  </si>
  <si>
    <t>UCwL52shzZRASohoEnikQ5iQ</t>
  </si>
  <si>
    <t>UCgcSVCbb0MalGJggkuKeM0w</t>
  </si>
  <si>
    <t>UC5dX3a36fPBvAdBBP7AhVHA</t>
  </si>
  <si>
    <t>UCx68UmxU6JKU1HE4fl10mqg</t>
  </si>
  <si>
    <t>UCZhjm8ANz5r1Had1Bs-vxOA</t>
  </si>
  <si>
    <t>UCkAhBu07qkxhpop1KWT7LKQ</t>
  </si>
  <si>
    <t>UCuFULeJfx--SkAE3EOYSHFg</t>
  </si>
  <si>
    <t>UCU9I36rHcxzA10I5uQCav7Q</t>
  </si>
  <si>
    <t>UCAZ9QCr8x4tJzY28V3nNZPA</t>
  </si>
  <si>
    <t>UCY6KIyubYVIouNRwwHzJsoA</t>
  </si>
  <si>
    <t>UC7TxlHY96CVsqbnjVYqOAuQ</t>
  </si>
  <si>
    <t>UCVLKCfdA9325eztCzgg7vlg</t>
  </si>
  <si>
    <t>UCyVhBPlAU2vPVMwyy24fU1g</t>
  </si>
  <si>
    <t>UCF2xX0Jt59iinCHRA0lsU6Q</t>
  </si>
  <si>
    <t>UCKhhUAyaQUs5enJktUrcR-A</t>
  </si>
  <si>
    <t>UC8SEr2exDhoViCH1TOcGTnw</t>
  </si>
  <si>
    <t>UCnxrG1IqO0A_g3W00m__S0A</t>
  </si>
  <si>
    <t>UC71GWfHLygA6wfNmJWrxBLw</t>
  </si>
  <si>
    <t>UC6H8xYRD5QuQNcGkobR1K6A</t>
  </si>
  <si>
    <t>UCB4qx6aknMONopsjwL6W38Q</t>
  </si>
  <si>
    <t>UCpqqRVKt-ZVet0_yyj-66rQ</t>
  </si>
  <si>
    <t>UCZVQBF2Qb6o_nY6lK7x3HOA</t>
  </si>
  <si>
    <t>UCA3yny9R2owA5nfWuzi0oXw</t>
  </si>
  <si>
    <t>UC1gn0WQ7hdUVoSvG2xnINEQ</t>
  </si>
  <si>
    <t>UCHbkFnLRFtHAo33c7BhmhsQ</t>
  </si>
  <si>
    <t>UCBL1yXa-8Q3PVpNyS80DkeQ</t>
  </si>
  <si>
    <t>UCOnHdFlBWvRl_o-sgFXVYOw</t>
  </si>
  <si>
    <t>UCZUOkn4H_cviVOtuzw10PpA</t>
  </si>
  <si>
    <t>UCXTQpyzqA75bmnmNcnRdA1Q</t>
  </si>
  <si>
    <t>UCtIqDrquj5kLCIwxV9702dQ</t>
  </si>
  <si>
    <t>UCTXeu2cDZUoKtMW7DNfS8-g</t>
  </si>
  <si>
    <t>UCjzooJF75PHimiQo2pxwkVw</t>
  </si>
  <si>
    <t>UCMMcwauwTAQyw0GUUhLBqSg</t>
  </si>
  <si>
    <t>UCycWPjDGZnt381HX5ghKYFQ</t>
  </si>
  <si>
    <t>UCd6VYGFkZ3mFLPAyJwwTjMg</t>
  </si>
  <si>
    <t>UCpBKCnFHDMEB_LLau0fxjKg</t>
  </si>
  <si>
    <t>UCRpamvKjfym8ETggyULC6Jw</t>
  </si>
  <si>
    <t>UCxq2E0zegPLF0voBqHlVyMQ</t>
  </si>
  <si>
    <t>UC8PFjbcgC0E47I6aAmx4ewg</t>
  </si>
  <si>
    <t>UCPegqTRcpYN2jYe3r2xSIow</t>
  </si>
  <si>
    <t>UCqzDy3oVUSbD_TH_z7eeUIQ</t>
  </si>
  <si>
    <t>UCWhebpSUmDB59CUSsipsAHA</t>
  </si>
  <si>
    <t>UCcjsNvQ5ybOhrxX4TQ35vtg</t>
  </si>
  <si>
    <t>UCzNGnhHx4GloytmXQxoi9LQ</t>
  </si>
  <si>
    <t>UCTKClOWRmfua8LzwcClBsHQ</t>
  </si>
  <si>
    <t>UCwqjRTk9ErnOhEoHVbUj8qQ</t>
  </si>
  <si>
    <t>UCS3kJcJij9JogEyHBlHLwfg</t>
  </si>
  <si>
    <t>UC1RFEg9OTTkrdsrvJwn0SCw</t>
  </si>
  <si>
    <t>UCs3P7y7CS0yF7RpLONNwWUw</t>
  </si>
  <si>
    <t>UC0Dz0Z2yd3Jk9madzcmf4EQ</t>
  </si>
  <si>
    <t>UCq4VnrOhYuN2IdwITTdQkDw</t>
  </si>
  <si>
    <t>UC3Z92jD5KxL5ll7cW9eR94Q</t>
  </si>
  <si>
    <t>UCKdZVIR5_xlawOW-gFludbA</t>
  </si>
  <si>
    <t>UCoppdEzz15CEiXMiO5idh7A</t>
  </si>
  <si>
    <t>UCCoIMMcJ4llQn9jwl7efsZA</t>
  </si>
  <si>
    <t>UCFufvdhbQ9oOSsEpp9de5SQ</t>
  </si>
  <si>
    <t>UC9A52USZMcDhwqdOsHJBLdA</t>
  </si>
  <si>
    <t>UCVmJY1uho-bA_lofr8djVJA</t>
  </si>
  <si>
    <t>UCJkq6kQK2Xwng9aROec3P5Q</t>
  </si>
  <si>
    <t>UCvEQYyis-vvepurg0Nbys_Q</t>
  </si>
  <si>
    <t>UChcsUKOjIQn3EN-ixotwjNQ</t>
  </si>
  <si>
    <t>UCUNy-W4ExRBhmCbCR9dB97A</t>
  </si>
  <si>
    <t>UCV7dUT5Zv3ymhtQKEIkKbhg</t>
  </si>
  <si>
    <t>UC_6DgXMGiqWvMAc3BNqkAvA</t>
  </si>
  <si>
    <t>UCAwS---SMb4W58j0U6MscFw</t>
  </si>
  <si>
    <t>UCnBCrWFGwSo0iw57PmtgXOQ</t>
  </si>
  <si>
    <t>UCQeHyoOmC4fF7wKK0qbbwWw</t>
  </si>
  <si>
    <t>UCmXeLhU-jhO_904i5g-3rYQ</t>
  </si>
  <si>
    <t>UC8uVo-4Qkswfhh1JnIDHU1A</t>
  </si>
  <si>
    <t>UCzGAjyMHa46G5irNmSYkoww</t>
  </si>
  <si>
    <t>UCSTY_QywABvaN4FXATnRIXA</t>
  </si>
  <si>
    <t>UCPrGDitzcCE-AIYo3ePy-Qg</t>
  </si>
  <si>
    <t>UC1SiIVeKEpTKK_Amm_F3x9w</t>
  </si>
  <si>
    <t>UCEYbT6ad_ujYYDu6E1ev3Zw</t>
  </si>
  <si>
    <t>UCc96p0qymoYTTv0clM3w4Yg</t>
  </si>
  <si>
    <t>UCViUti-gCVt-mzdDCR5bfDA</t>
  </si>
  <si>
    <t>UCCicWyaGhArRdcW_NgvVrAw</t>
  </si>
  <si>
    <t>UCwAQe7QX61bTdOycRtPLv0Q</t>
  </si>
  <si>
    <t>UCxlr2X_1Kf3efsrMWTU0XGw</t>
  </si>
  <si>
    <t>UCD7z5qCfaEUzzE9XroaV_ew</t>
  </si>
  <si>
    <t>UCzOfJgHp5LlnvNR4gQllD-w</t>
  </si>
  <si>
    <t>UCKgK_4vy5F___TN3PkqCBTA</t>
  </si>
  <si>
    <t>UCalKrFmeBM-gF2su6yGVEfA</t>
  </si>
  <si>
    <t>UCqJ4icbP_lB6SxjqE9vhvEQ</t>
  </si>
  <si>
    <t>UCyqRPzzVpb3nxouv8ngDnrA</t>
  </si>
  <si>
    <t>UC8arHXt-X0QMxaO3HBnMShQ</t>
  </si>
  <si>
    <t>UCQ6uCr5xhqJYoPqMsNUl8dQ</t>
  </si>
  <si>
    <t>UCpgmN2y1t17F3EckpZk79NQ</t>
  </si>
  <si>
    <t>UC4cRm0eDbP5GfY6lQkF4Cjw</t>
  </si>
  <si>
    <t>UCc9qu9hmbak_0Nr5weLjSTQ</t>
  </si>
  <si>
    <t>UCSk24Nsn_pSMK0mr6ApUyBw</t>
  </si>
  <si>
    <t>UCQCITDKhRvmb0qb9uKjq7Tw</t>
  </si>
  <si>
    <t>UCa5CmMz6J6zsMXzIVJy1XPQ</t>
  </si>
  <si>
    <t>UCp0gW4T9SMfczHwBLotTuNQ</t>
  </si>
  <si>
    <t>UCqHav2T8EfBmAp2bGh1bJUQ</t>
  </si>
  <si>
    <t>UCBtYZsDaTEj51OodIzYrgmQ</t>
  </si>
  <si>
    <t>UCsXnwapwuxHXs70NCxCVDmg</t>
  </si>
  <si>
    <t>UCzBU8flfYX1lWOo-JAnAKTg</t>
  </si>
  <si>
    <t>UC39xVeV3dYjBTUkSBK8XBaA</t>
  </si>
  <si>
    <t>UCLvt3bD1AJUnf7LEUXk_SOA</t>
  </si>
  <si>
    <t>UCfzICRGe-9WPFYK7DQC4i0g</t>
  </si>
  <si>
    <t>UCnWB9pweC3vmwsOFh9CiJ9A</t>
  </si>
  <si>
    <t>UCzdkUb_z4LGJ-yz6CW4wFOQ</t>
  </si>
  <si>
    <t>UCQWi4ALl7UzEqBQ_DhdkygA</t>
  </si>
  <si>
    <t>UCESIaJhf6RuFhvtpGfvCEVg</t>
  </si>
  <si>
    <t>UCVXQrNbG3_sjKQE9T4fpkYQ</t>
  </si>
  <si>
    <t>UCCLFsheeNQmsG8a6iEVeTIA</t>
  </si>
  <si>
    <t>UC7s6geywFBnD83-AAuxTKkQ</t>
  </si>
  <si>
    <t>UC7QqPCx8JUs30KzlclH4UiQ</t>
  </si>
  <si>
    <t>UCZx4ITIvj0ywX13d6SeMxjg</t>
  </si>
  <si>
    <t>UCucerXyWN1kO_jFDRofjfTg</t>
  </si>
  <si>
    <t>UCIrzfquSKE6mbwQqyL-Y8eQ</t>
  </si>
  <si>
    <t>UCkPmuaC7K6pQeDfJLxVtwxg</t>
  </si>
  <si>
    <t>UC6OdjLZrVAo6n2iY3ZHy9jw</t>
  </si>
  <si>
    <t>UCFoQC1-a6Y3QoUtDlNAOubQ</t>
  </si>
  <si>
    <t>UCe_v3IeUGHGbB4B3MECm65g</t>
  </si>
  <si>
    <t>UCpTmLYv1oTol3nYfhult0nA</t>
  </si>
  <si>
    <t>UCvLJwnZedAU3vc7U3k-GcLg</t>
  </si>
  <si>
    <t>UCjvZu-1q13oykl4Ggmh8i-w</t>
  </si>
  <si>
    <t>UCt5dZNnmMNccXdtemElxqeA</t>
  </si>
  <si>
    <t>UCV8B5_8wLN0zPRgP0nEvJ_Q</t>
  </si>
  <si>
    <t>UCjaxtx_NGa5TStCheS4nNnw</t>
  </si>
  <si>
    <t>UCcg9nOqmYYkZmY0TU3Aw6MQ</t>
  </si>
  <si>
    <t>UCO0d_DTPKCIc_ikRyMHYwFQ</t>
  </si>
  <si>
    <t>UC0XSjBFZc67Pde9N4bYiBSQ</t>
  </si>
  <si>
    <t>UCnrhrDLWRvP2KoJwlzsctzQ</t>
  </si>
  <si>
    <t>UC4sITMVla3iKR5KPXO8i4wQ</t>
  </si>
  <si>
    <t>UCOZ8e2ZZOSN0o5zq_SoypbQ</t>
  </si>
  <si>
    <t>UC80K-iJwEmwH1L-JALZMYIg</t>
  </si>
  <si>
    <t>UCKn14BKTwi54h2efB3lkKcg</t>
  </si>
  <si>
    <t>UCME5F1eMaSBeBEiIQcPWV-Q</t>
  </si>
  <si>
    <t>UCTkydyNvBtEjOX7sD17Di8w</t>
  </si>
  <si>
    <t>UClP0ucxUZqe-x_o_nPZQBPA</t>
  </si>
  <si>
    <t>UCo7GzEp1TtihFueS7zGiYCg</t>
  </si>
  <si>
    <t>UCnfOIxXxHtCq2hHoltwLlsg</t>
  </si>
  <si>
    <t>UCn9qCtKejAR9WHTo0N6slUg</t>
  </si>
  <si>
    <t>UCs8UJ9JazQwL5AI8KsdplrA</t>
  </si>
  <si>
    <t>UCCt6FVz_V46ZRI0P3PeBLFA</t>
  </si>
  <si>
    <t>UC7tDCPfjQaEoetZOv0J6hCg</t>
  </si>
  <si>
    <t>UCaxEabjy5w2w0quLQSTwlMA</t>
  </si>
  <si>
    <t>UCBXLI4-dB-OMA6vvULUnJRg</t>
  </si>
  <si>
    <t>UCaVj9dy6-8SIkGpknU4GZ8w</t>
  </si>
  <si>
    <t>UCBXhOMzNoFQJBBrVyXBsQQA</t>
  </si>
  <si>
    <t>UCelX8funsIY4mqUUnBE6ZAg</t>
  </si>
  <si>
    <t>UCHugYXdGnfn6HRlcgRkXfeA</t>
  </si>
  <si>
    <t>UCNnxGXWJRUuie_mEDKhlYaA</t>
  </si>
  <si>
    <t>UCATuF5XusLj_hBLW7xkdN9g</t>
  </si>
  <si>
    <t>UCXWqpW8BB33EJy_UF5syh1g</t>
  </si>
  <si>
    <t>UCcZPEjGcl9UKaI-KWP7rMBQ</t>
  </si>
  <si>
    <t>UCcL0PxIXOU5-C1ckvdTiI1Q</t>
  </si>
  <si>
    <t>UCQApcYMPd8boA_mv0F54XoA</t>
  </si>
  <si>
    <t>UCR9lCFHHkDFfevGWqKwU5nA</t>
  </si>
  <si>
    <t>UCLbgLIDDu6O4P3pRAR_SSyA</t>
  </si>
  <si>
    <t>UC0xiz1-h-yEafmAf2F3yo-Q</t>
  </si>
  <si>
    <t>UCttOZCF64vZxijS26gvFmtQ</t>
  </si>
  <si>
    <t>UC1A_GS9LcUKDOVcRPmuddAg</t>
  </si>
  <si>
    <t>UCxforQTLeBZwQGUVizmMdlw</t>
  </si>
  <si>
    <t>UCqMOCWe5FJuOWG7nGV_zHNA</t>
  </si>
  <si>
    <t>UCdO7bHPTw-f9g8hbi6mJEng</t>
  </si>
  <si>
    <t>UCamt6KFmOtyQeoABot6jhmw</t>
  </si>
  <si>
    <t>UCJA6Cp11bAsXROb2dD8agaw</t>
  </si>
  <si>
    <t>UCESfrA_alxVgB3S1A61EDJA</t>
  </si>
  <si>
    <t>UCHNGz4l_JA44TOJduYuJ9lg</t>
  </si>
  <si>
    <t>UC7WD2Hjo54tWO1Q54AQOIqA</t>
  </si>
  <si>
    <t>UC6aP3JCxOS44aMz4KSlvCyg</t>
  </si>
  <si>
    <t>UCnNk4Ymi7HlpFibm3ArapAg</t>
  </si>
  <si>
    <t>UCnY24BM-160lOAfxDUxcWDQ</t>
  </si>
  <si>
    <t>UC--kuMKXTCu2cGhjVPOIilA</t>
  </si>
  <si>
    <t>UCjTZvKAm_H8PtYNmVG6bpOA</t>
  </si>
  <si>
    <t>UCj7B-o1aobzAVNb0Fdijl5w</t>
  </si>
  <si>
    <t>UCqTHquc9XHBn1HleiAYji2A</t>
  </si>
  <si>
    <t>UCCDzwdEnOtVE7kg5-qLvllA</t>
  </si>
  <si>
    <t>UCsrYlphjt7-a5Ogog0lYdfQ</t>
  </si>
  <si>
    <t>UCtSBcMY3ZUZwcpFmlPk_GIw</t>
  </si>
  <si>
    <t>UCF9r4V6xLdKQGgtjMUKhogw</t>
  </si>
  <si>
    <t>UCizDAN8bkpXDwL_y0o7RcZw</t>
  </si>
  <si>
    <t>UCP4dHmT-490ehwR4G-Nn5Zg</t>
  </si>
  <si>
    <t>UCw6WMyzjKRt2Tz3dj3vlLBg</t>
  </si>
  <si>
    <t>UCBj7pc-hhI678-ePMB94VUQ</t>
  </si>
  <si>
    <t>UCqSHqr7cQ-fYKNTd-gF9FPQ</t>
  </si>
  <si>
    <t>UC4Dsff1alNmMxnfpnA_vYoQ</t>
  </si>
  <si>
    <t>UCEIXj2JRNSNs781Kx7Jg-Wg</t>
  </si>
  <si>
    <t>UC5m0TKJ9zA22TkLmp594ZEQ</t>
  </si>
  <si>
    <t>UCFpwX53ykKWLt0EK3NHdNGw</t>
  </si>
  <si>
    <t>UCNLlJNlSWf7o1vrRS7a0Chw</t>
  </si>
  <si>
    <t>UCMrwz3szwrEugH00DKy6YWw</t>
  </si>
  <si>
    <t>UCrHMteoemHWAk0ZUN7-2-fQ</t>
  </si>
  <si>
    <t>UCvvYo6r3QSI1U58GickP3pA</t>
  </si>
  <si>
    <t>UCkPWqIuzCqp_cys622OPPsQ</t>
  </si>
  <si>
    <t>UCV750QFOfdssBbqaPnM_MHw</t>
  </si>
  <si>
    <t>UCNOWV-nhsw_NL_f4OUL_T3A</t>
  </si>
  <si>
    <t>UClmlt19LU2JghIvcZ6Wm7MQ</t>
  </si>
  <si>
    <t>UCu00bjpjrCR_cwq94D1W29g</t>
  </si>
  <si>
    <t>UCRyCFsyJJFYINGmWOtI-zaA</t>
  </si>
  <si>
    <t>UCX3vF4s0kPhSR96X15RZ1jQ</t>
  </si>
  <si>
    <t>UCS76vNfoKFZak3nSrJYcKmg</t>
  </si>
  <si>
    <t>UCcDA0AAZX_0dgrNgfnKKesw</t>
  </si>
  <si>
    <t>UCDYg3x4fzxqFJqN5L4eXOmA</t>
  </si>
  <si>
    <t>UCwPFhJhtg8d2QonvELrITtQ</t>
  </si>
  <si>
    <t>UCIhXxHMFJ-jBquiJwCM0Sdg</t>
  </si>
  <si>
    <t>UC04TdeE31TVNfyz4csU8K9Q</t>
  </si>
  <si>
    <t>UCExPNBJx6p4nH4lGxRZty0w</t>
  </si>
  <si>
    <t>UCzyWpvd7hlCeT3w3R8FHWIw</t>
  </si>
  <si>
    <t>UC6CiLgJWYrnKGh4IQgnw19g</t>
  </si>
  <si>
    <t>UCHoKbFnmqHhrVIToAB7QBRg</t>
  </si>
  <si>
    <t>UC3TNTGrI0pBKFG1Wg3jVgaQ</t>
  </si>
  <si>
    <t>UCeYXFIY3f424KXx5J_OszkQ</t>
  </si>
  <si>
    <t>UCVD0gtk2H7PcYbozAJpDAHg</t>
  </si>
  <si>
    <t>UCLYHDnqlP4sQ1XVmp6ell4A</t>
  </si>
  <si>
    <t>UCPpNHokuxcOFI889ejzZP9Q</t>
  </si>
  <si>
    <t>UCIEcQot6zMPpyZWd8R0DsGw</t>
  </si>
  <si>
    <t>UCk4Ep98cdVliOfGysRgPSwQ</t>
  </si>
  <si>
    <t>UCj3Ml9Ywavk4klELkaNSwNQ</t>
  </si>
  <si>
    <t>UCJhSuAlQel_lEPlrQTKqqUw</t>
  </si>
  <si>
    <t>UCWw2QzixcpAuJahFqloXrLw</t>
  </si>
  <si>
    <t>UCGedQb2X6hmEK4B_nKBel6Q</t>
  </si>
  <si>
    <t>UCvctyDTqnJxUfRl6rLWF2bw</t>
  </si>
  <si>
    <t>UC12qGozVuHCA3cTUh-jf4qA</t>
  </si>
  <si>
    <t>UCaOr_H-LZlYSDiozzVQ1HIA</t>
  </si>
  <si>
    <t>UCPCZL8M-h_foWBGTE802AGg</t>
  </si>
  <si>
    <t>UC3MPNU4xEyWjYZG47zrq27Q</t>
  </si>
  <si>
    <t>UCv4sWFVMoj-lIuAx_kN2W3w</t>
  </si>
  <si>
    <t>UCVmYtYtQ_4jCFBZ0FlRti_A</t>
  </si>
  <si>
    <t>UCbn031xMt0D4fYqcgOvcJhQ</t>
  </si>
  <si>
    <t>UC6nw5WxAUuhh1Cb45G0_k6A</t>
  </si>
  <si>
    <t>UCwkEMAb2hKoyywsozegFGMQ</t>
  </si>
  <si>
    <t>UCBw-qDr64vSqguezFJKPORQ</t>
  </si>
  <si>
    <t>UCpS3hbN61-1NW7Ey_ZclMGA</t>
  </si>
  <si>
    <t>UCLTrGhNFCcd-bxGMfo82ldA</t>
  </si>
  <si>
    <t>UCO5IoBzpZ2jyd_Iw2GVgnig</t>
  </si>
  <si>
    <t>UCupd9jNzWenTOu81RsEgcsQ</t>
  </si>
  <si>
    <t>UCVh7SYDU1dpR9WyBJ89RQ3w</t>
  </si>
  <si>
    <t>UCxUstdY9AJBUwEgbZq2_LZA</t>
  </si>
  <si>
    <t>UCikRXGtV-s_i21BTIeG35xw</t>
  </si>
  <si>
    <t>UCgUhHwLepU37Cq-ragKIpNQ</t>
  </si>
  <si>
    <t>UCyiHi26uybfcmq0--6DbWqQ</t>
  </si>
  <si>
    <t>UCw0xhJL77u6VehiAEOKq6kg</t>
  </si>
  <si>
    <t>UCv2Nf0LggXxUtPqmYWGjF2Q</t>
  </si>
  <si>
    <t>UCfvHLuZ-MqM2aQEFk0pwU5Q</t>
  </si>
  <si>
    <t>UCvBIiV2A1cPQImosZ4OS3eA</t>
  </si>
  <si>
    <t>UCsC1IN_InJGyZK8k0JWQpgQ</t>
  </si>
  <si>
    <t>UC5qGdXO5DJnU6w-vU4hpOxQ</t>
  </si>
  <si>
    <t>UCsTFw-jeJdJDi20LmiK9Lnw</t>
  </si>
  <si>
    <t>UC8QwXSKYXkFbEP1uhMrOq4A</t>
  </si>
  <si>
    <t>UCGJtAsDX_qIPZcsNufRV5ow</t>
  </si>
  <si>
    <t>UCjASN7Tc7IhwB8O8Kup0ZMQ</t>
  </si>
  <si>
    <t>UCpr8GKAHg30fNzBtOVwjAnQ</t>
  </si>
  <si>
    <t>UCMqbg4VD080ce23L2g5S7Ng</t>
  </si>
  <si>
    <t>UCWl8H-hlO4LEjFirQvOyY1A</t>
  </si>
  <si>
    <t>UCRkgxOcNAD-ttZMxrrN5GYQ</t>
  </si>
  <si>
    <t>UCjqFKcsJGF-eg_BLtUIDweg</t>
  </si>
  <si>
    <t>UCXniDDq1ZnKNti-tVqJWCyg</t>
  </si>
  <si>
    <t>UCPgF4J1NC2JsZObxxoPvTAA</t>
  </si>
  <si>
    <t>UCGV97-KkEM1mOk2s-iDCXtw</t>
  </si>
  <si>
    <t>UCzXy1TbnogkjVRHMjQr3_GA</t>
  </si>
  <si>
    <t>UCH8JhGysUFU4lt7FcATVRWg</t>
  </si>
  <si>
    <t>UCY2CDTmdxQXgPITxr3JcrRA</t>
  </si>
  <si>
    <t>UC45Xsn4MOqKUCE56OEMtqGw</t>
  </si>
  <si>
    <t>UC_lJ_6b3_SsPHLlnRMpWNZA</t>
  </si>
  <si>
    <t>UCUBj_5pwQZaoXfBrEQQbADw</t>
  </si>
  <si>
    <t>UC4QXJxB1E0nhsRB_-le2K4w</t>
  </si>
  <si>
    <t>UCQaK5XxT3ouapC4nahbygOw</t>
  </si>
  <si>
    <t>UClef0IgUbUnc5C36mbly74Q</t>
  </si>
  <si>
    <t>UCzBlwYz1klkhuxyvJR2FYyw</t>
  </si>
  <si>
    <t>UCcWJRc2C1JbdQNmg__Nbh8w</t>
  </si>
  <si>
    <t>UCkrkDiKoCo1FS0Gh4QqP-UQ</t>
  </si>
  <si>
    <t>UCJIWPruSbOyRLGmT901E58w</t>
  </si>
  <si>
    <t>UCAau4ooACUu7BojOO-nwDBQ</t>
  </si>
  <si>
    <t>UC5JNe9QP8zRNsLI5YFRZ4oA</t>
  </si>
  <si>
    <t>UCQA36wkfIi92Tj506EhCckA</t>
  </si>
  <si>
    <t>UCu5WfUbKdhLCW9aPq3WZsNA</t>
  </si>
  <si>
    <t>UCIRKurTHQZbcvnzcP9qq2RQ</t>
  </si>
  <si>
    <t>UCJxsJfUTdHcEZ2gUemsUU1g</t>
  </si>
  <si>
    <t>UCNUGMBHK4lmDI5WepvRT4DA</t>
  </si>
  <si>
    <t>UCj8T96meSgpGxUWeEj3vWPw</t>
  </si>
  <si>
    <t>UCBwwnBABR8YjpkkX2POIKhQ</t>
  </si>
  <si>
    <t>UC1He2YUcIuOGoVUIQZxOBDw</t>
  </si>
  <si>
    <t>UC31_D_S1fQ8DcaEMLpTe9qw</t>
  </si>
  <si>
    <t>UCQOYwrCd1Ajqi2UDuhDdXHA</t>
  </si>
  <si>
    <t>UC_mKIWTfVDNBISECBLyj7rg</t>
  </si>
  <si>
    <t>UCGe-3qua4-zl4IVLjKuSSkQ</t>
  </si>
  <si>
    <t>UCMcUd9dBENyk2nT6g_lXKhQ</t>
  </si>
  <si>
    <t>UCo1yYFXXGv6yyDnxPqc3dEw</t>
  </si>
  <si>
    <t>UCE7SZP9icvQdqTn2NdESMZQ</t>
  </si>
  <si>
    <t>UCwW5FE8qaZyP4-J7eg2hOIg</t>
  </si>
  <si>
    <t>UCtTGSzV4rsyUKX7wZ1HssQg</t>
  </si>
  <si>
    <t>UCLAKOuNTsy7brXkqnf8VMZw</t>
  </si>
  <si>
    <t>UC0Ic0uvANWeMxAyfIVLZMqg</t>
  </si>
  <si>
    <t>UCcwFS01ST2FMMp2DVER2UWg</t>
  </si>
  <si>
    <t>UCxlPKzjwwusCJkFDq-XvuvA</t>
  </si>
  <si>
    <t>UC6wJYPTtqP4akuk1eEf-fDg</t>
  </si>
  <si>
    <t>UC3DdFaCE0PYo32ElY4LpVpg</t>
  </si>
  <si>
    <t>UCCcPxncbMrO7LJE-sF9B0pg</t>
  </si>
  <si>
    <t>UCZf8XvtinlP2iQak9w50SHg</t>
  </si>
  <si>
    <t>UCXWOsNdoKRvkunTglBbLRKg</t>
  </si>
  <si>
    <t>UCiKNMnyn8SVCFa39NFwk1Dg</t>
  </si>
  <si>
    <t>UC4FuRQY-zQBfFPOPuaRAWgw</t>
  </si>
  <si>
    <t>UCPJ7ELWQkVwveADc9hAsqNg</t>
  </si>
  <si>
    <t>UCYgxA4x_tHjLWBN0OCgYWcQ</t>
  </si>
  <si>
    <t>UCzYSQdFdNlITwUanU48B8GQ</t>
  </si>
  <si>
    <t>UCWcBkjCrLsESy4SBkkXI8tQ</t>
  </si>
  <si>
    <t>UCP68l-lXzYOXJS8cr5g5oMA</t>
  </si>
  <si>
    <t>UCdzoun2WHzibnHiDh304aNQ</t>
  </si>
  <si>
    <t>UCYgwAbzdUQ9-IIz2emMDWTw</t>
  </si>
  <si>
    <t>UCYosfwULRd5rJhnVNVvUU8g</t>
  </si>
  <si>
    <t>UC1cpHtPcdvqbw4DjatDYNuQ</t>
  </si>
  <si>
    <t>UCEDx-O32BKm9e3gEKO0t03w</t>
  </si>
  <si>
    <t>UCG8E5cWZEf-qkjlpZd9lfSQ</t>
  </si>
  <si>
    <t>UCtdquYxMrJ-jWXFxLSDQOwQ</t>
  </si>
  <si>
    <t>UCdgnAdBCJ1ZR4qv4wg0_seQ</t>
  </si>
  <si>
    <t>UCAav2uWG5aOa1jvallyXLqw</t>
  </si>
  <si>
    <t>UCgxaYSe6khXCJDxA7ggbZtQ</t>
  </si>
  <si>
    <t>UCpy1V9O-Z8V6bYxLe-Jf3VQ</t>
  </si>
  <si>
    <t>UCJ0cj3GvMi85PjDJXD0XqTg</t>
  </si>
  <si>
    <t>UC-KWommSB3rIBtK-U1bwjDA</t>
  </si>
  <si>
    <t>UCzWwr9fSROw2liph1qK7psQ</t>
  </si>
  <si>
    <t>UCjo1tpnRd6fLgPXelK-I-Yg</t>
  </si>
  <si>
    <t>UC09RWcegnsrTtN5Y1qQwPFQ</t>
  </si>
  <si>
    <t>UC_-FIxHPBnhLkE9cGbL2ZiQ</t>
  </si>
  <si>
    <t>UCklG6ilxW_PeYeDSpKSRGZQ</t>
  </si>
  <si>
    <t>UCsOHhRRni2fF3EWgvpz7lig</t>
  </si>
  <si>
    <t>UCNZUddA0ZXKFrzglJQfdI0g</t>
  </si>
  <si>
    <t>UCRnUIJVZ6DOmqnLf-kDH72g</t>
  </si>
  <si>
    <t>UCYSDe3eNHFL6qqq5368Niig</t>
  </si>
  <si>
    <t>UCbM82w6bCQYpP31QHuSJfTw</t>
  </si>
  <si>
    <t>UC36wQpC1Q9SwSajBrHQSzJw</t>
  </si>
  <si>
    <t>UCfhMIRcf8JtZXrcwoyPpEjg</t>
  </si>
  <si>
    <t>UC9fJsqLvoU6cFvofkzPfgZQ</t>
  </si>
  <si>
    <t>UCu7t9a69EsHoff5-gNTZfsw</t>
  </si>
  <si>
    <t>UCe-YYZwDoUk1oKCH8-mdN2w</t>
  </si>
  <si>
    <t>UCIGaMxgyboLhBnRairRbykQ</t>
  </si>
  <si>
    <t>UCCN2uvSe7tJBPPzS-ov5VuA</t>
  </si>
  <si>
    <t>UC2haiTorx4l2U33kSmbb-zg</t>
  </si>
  <si>
    <t>UCNLP7KjukD8237DEPYRWiWQ</t>
  </si>
  <si>
    <t>UCRcw7MuIF7CQkK-O_mdiDPw</t>
  </si>
  <si>
    <t>UCIUcF2ZE7yu7bZ5cM-f4uPA</t>
  </si>
  <si>
    <t>UCaEJ2eUVzs7V0iFjYhWQpaQ</t>
  </si>
  <si>
    <t>UC8pWHhTmT2hjNwNxxK6Q5PA</t>
  </si>
  <si>
    <t>UCAkGw6_oazVTvTsoqbp7OiA</t>
  </si>
  <si>
    <t>UCfFAasAAdGcptCfutet8Sfw</t>
  </si>
  <si>
    <t>UC5OttGzPjtnEhGeYA0maenA</t>
  </si>
  <si>
    <t>UCtykHqniLsvCit_SYfWBWng</t>
  </si>
  <si>
    <t>UCKhlJF4BnqWxPypLParOYiA</t>
  </si>
  <si>
    <t>UCu7msg_TbTKDd5ilYzbW1Vg</t>
  </si>
  <si>
    <t>UCQcW4y-soRk-E0ggtcwC9EA</t>
  </si>
  <si>
    <t>UCiqUmhSikatfBMqyTrS3UMQ</t>
  </si>
  <si>
    <t>UCcZQzbvYvsvOlIx_G6Zz9GQ</t>
  </si>
  <si>
    <t>UC_tpxB3Xb6X5CEY5cRCiHFQ</t>
  </si>
  <si>
    <t>UCj44qcgUYdNDInFvaLWlZTw</t>
  </si>
  <si>
    <t>UCntsAjL0yK2lXDl0tJtIbEA</t>
  </si>
  <si>
    <t>UCg_03iJSFVf9olqAw89UrtQ</t>
  </si>
  <si>
    <t>UCLY5WEJeSbQoZIPD5RGdPgg</t>
  </si>
  <si>
    <t>UCIEXLv6qwXPTqd5t0BSaIhw</t>
  </si>
  <si>
    <t>UCBbL0oZ57VlwHVLXsV4Du7A</t>
  </si>
  <si>
    <t>UCGhQcael1605jqEQJQgIUJg</t>
  </si>
  <si>
    <t>UCOIptuTS78Ihq07rrMqjvyw</t>
  </si>
  <si>
    <t>UCZpj_jBodqeant50BhG2rOg</t>
  </si>
  <si>
    <t>UCPW2UfTjOv9M_f_IOEzOw3g</t>
  </si>
  <si>
    <t>UC32Tq6gmne3zD69PjIcg7Bw</t>
  </si>
  <si>
    <t>UC6OFeLsaH1E7H9jW5EFrRsQ</t>
  </si>
  <si>
    <t>UCWDK6irzgVt4AU5X6cyFiWg</t>
  </si>
  <si>
    <t>UCXpzIvoO2EiojZ32TrcyobQ</t>
  </si>
  <si>
    <t>UC68Uy1XyJiUWgmJ0_BmcXBg</t>
  </si>
  <si>
    <t>UClPH2H2-TDctChogbKv3Ttw</t>
  </si>
  <si>
    <t>UCoNNU0wapd3LwNwTKBZdB_Q</t>
  </si>
  <si>
    <t>UCFx4Vj3k47wH_d_pe_TLI9Q</t>
  </si>
  <si>
    <t>UCY8PskpvUgWJY5uByBB2-9A</t>
  </si>
  <si>
    <t>UC8Suwp8U1iIsPF_pMGNdDzg</t>
  </si>
  <si>
    <t>UCPZ_r5jgass9cv38X7Hrc2w</t>
  </si>
  <si>
    <t>UCpEvHal_hW3x5fYeHPXKpcw</t>
  </si>
  <si>
    <t>UCBqByZPmDZMizpc5U_y-dDA</t>
  </si>
  <si>
    <t>UCfmrm0tJ4Wvbwh0Qc8S0vZw</t>
  </si>
  <si>
    <t>UC_juy4yO45-xTlCvVGADnag</t>
  </si>
  <si>
    <t>UCKUuFKvoUfcgc48a5eiy0iA</t>
  </si>
  <si>
    <t>UCQUO6eNYTAvVIa2XoaQjRwQ</t>
  </si>
  <si>
    <t>UC1DjQgoKxKaWdL_hrR4nI-Q</t>
  </si>
  <si>
    <t>UCT5ynWTl9RcNmQaVmx64yCg</t>
  </si>
  <si>
    <t>UCjW6K5mG_h--dfOZgjmySNg</t>
  </si>
  <si>
    <t>UC5PuRhzgB1QSEi5KtDzQjbA</t>
  </si>
  <si>
    <t>UCSf7v8KmsdJjHjUJmIR3fDA</t>
  </si>
  <si>
    <t>UCsWRzD0bdvJVfzr1bMhgNTQ</t>
  </si>
  <si>
    <t>UCteADJPEuqioxpPwU2sVT9w</t>
  </si>
  <si>
    <t>UCb4RV6A9q46EVE4854627_Q</t>
  </si>
  <si>
    <t>UCNTI4xMuiS9JbJapWjUOkVA</t>
  </si>
  <si>
    <t>UC4Rxk3TPz-LBIzfmH75zT6A</t>
  </si>
  <si>
    <t>UC5Mb8CQE6Hbqb-CjsAh5wLw</t>
  </si>
  <si>
    <t>UCO0p5e6aM71m1xF4ObyN3wA</t>
  </si>
  <si>
    <t>UCNHAVAWLKzMRnAlgvEt53kQ</t>
  </si>
  <si>
    <t>UCGfQTQX1BvX8-IyeCahPtBg</t>
  </si>
  <si>
    <t>UCN36iUXww9jexWYqBgaHoUg</t>
  </si>
  <si>
    <t>UCeCxGyTDldOY5LhiL42uT8A</t>
  </si>
  <si>
    <t>UCdPSS_W6YNaDo19-3iVE7Og</t>
  </si>
  <si>
    <t>UCuA3G-mWkyY3NsZ7bgy4Xyw</t>
  </si>
  <si>
    <t>UC7X7qkzqQNmra-HB0KrMQXA</t>
  </si>
  <si>
    <t>UCwPCR2Yp2n12JPO8lNKPX2w</t>
  </si>
  <si>
    <t>UCPpFfdMH_Os5UBrLJPfL50w</t>
  </si>
  <si>
    <t>UCpfYPqoVlTEwB0O3zBgPvuQ</t>
  </si>
  <si>
    <t>UCuLu-c3l1tEUguLA5EnzGbQ</t>
  </si>
  <si>
    <t>UCstLkHpFmLnMF1gg8R1Cwgw</t>
  </si>
  <si>
    <t>UCDIE4nObtn_nqJ6AnSAOijg</t>
  </si>
  <si>
    <t>UCpd5AQ6E9NR3G4EfHRyaB9w</t>
  </si>
  <si>
    <t>UCwkW3Xy5eamGPKnyIdSyEMg</t>
  </si>
  <si>
    <t>UCRcd6UqY4rydW00AIWLX8SA</t>
  </si>
  <si>
    <t>UCX0bE8mKUvuaeANFHT3oTzg</t>
  </si>
  <si>
    <t>UC5-EFY8q_zKzSqK_ENoEI7g</t>
  </si>
  <si>
    <t>UC1yYSZzrlCEPm3mH74t3H6g</t>
  </si>
  <si>
    <t>UCeByvlHB4vBprM5D_4oAt3A</t>
  </si>
  <si>
    <t>UCjt77vzlNNBTd3CoLx-gyOg</t>
  </si>
  <si>
    <t>UCH4RfcM_vm4NN8BjeBgXCrg</t>
  </si>
  <si>
    <t>UCWIyHlLDLM7SLBKwmVcRK9w</t>
  </si>
  <si>
    <t>UC66x2x2MlwIWi_wI4429K8g</t>
  </si>
  <si>
    <t>UCHA9J_ssmzA2G3eSrDCZ3MQ</t>
  </si>
  <si>
    <t>UCPVkkumCndZboahNYXKfMiA</t>
  </si>
  <si>
    <t>UCNMedR2qj7QNsV6Ofy6fqLQ</t>
  </si>
  <si>
    <t>UCp2NneZubdLqDXKhxJar7_Q</t>
  </si>
  <si>
    <t>UC9GSZMvA8kMBn__1GNk8JTA</t>
  </si>
  <si>
    <t>UClaqWbGvrbzjoGbt2qlvk-g</t>
  </si>
  <si>
    <t>UCr3JXuoyBMQ6MqbtXojBJeQ</t>
  </si>
  <si>
    <t>UCacB5Aq-7GT6MlxP_u729vA</t>
  </si>
  <si>
    <t>UCrUzUaPoH6NYbxsttzmGq-g</t>
  </si>
  <si>
    <t>UCUZ4fVlYrIDI1K6lX3N0spw</t>
  </si>
  <si>
    <t>UC6KN3OhZPDh-RnGnKoHCzqw</t>
  </si>
  <si>
    <t>UCkvHP60Akt1kfF3FUMD45lQ</t>
  </si>
  <si>
    <t>UCNG_yvMeAfS9RbCPkvthc7g</t>
  </si>
  <si>
    <t>UCxiVHhU6qu2lNb5a8pafrzg</t>
  </si>
  <si>
    <t>UCaYpMdJFIL6MXMucIr83k4A</t>
  </si>
  <si>
    <t>UCGp1Z_UT_OJhADsa5J4jXAQ</t>
  </si>
  <si>
    <t>UCpVhi8jELmdakJmWHgVhr8A</t>
  </si>
  <si>
    <t>UCpe5begzqU9FTXLhDN0ON0Q</t>
  </si>
  <si>
    <t>UCoPpqgCvTEHh4pgk-7CIOkw</t>
  </si>
  <si>
    <t>UClufkJO37uSkOzyoMIIlsGw</t>
  </si>
  <si>
    <t>UCCiErXs1bCwpM6jMLTYHrrg</t>
  </si>
  <si>
    <t>UCvQECJukTDE2i6aCoMnS-Vg</t>
  </si>
  <si>
    <t>UCSLgJHJXjsrclsOwc0wxg0w</t>
  </si>
  <si>
    <t>Commented Video</t>
  </si>
  <si>
    <t>Replied Comment</t>
  </si>
  <si>
    <t>Posted Video</t>
  </si>
  <si>
    <t>Reply</t>
  </si>
  <si>
    <t>Nice.</t>
  </si>
  <si>
    <t>hah,he&amp;#39;s greek an ive never heard of him</t>
  </si>
  <si>
    <t>And in Denmark you dont pay for shcool or university!</t>
  </si>
  <si>
    <t>One of the most thought-provoking videos I&amp;#39;ve seen in a long time.</t>
  </si>
  <si>
    <t>nice</t>
  </si>
  <si>
    <t>Jesus.
Lucky bastards.</t>
  </si>
  <si>
    <t>Same here, im from Sweden. :)</t>
  </si>
  <si>
    <t xml:space="preserve">Save yourself 56 mins .. basically.. if your group is into eating you will become fat. Fat people hang out with fat people and all you will learn is that &amp;quot;we don&amp;#39;t act independently, we are connected to our friends and we follow the group in order to be a part of our group&amp;quot;
Peer pressure is a mother trucker =) </t>
  </si>
  <si>
    <t>Thanks. Thoroughly enjoyed it.</t>
  </si>
  <si>
    <t xml:space="preserve">Except they won&amp;#39;t be mad that they got the little piece of paper that allows them to have social mobility :)
</t>
  </si>
  <si>
    <t xml:space="preserve">How do you percive it?
Is it worth it to study it, if you got a strong intrest for it. (not a pation tho, but it comes the most nearest to it)
And which skills are the most important to have if i want to study it?
</t>
  </si>
  <si>
    <t xml:space="preserve">Thanks a lot for you answer.
I will try to suit myself for it.
And i guess from my perspective i am open minded. ^^
...Better beginn to practive speed reading again. </t>
  </si>
  <si>
    <t>I hope you&amp;#39;re in high school if that&amp;#39;s the case.</t>
  </si>
  <si>
    <t>It&amp;#39;s called intelligence but you wouldn&amp;#39;t know anything about intelligence.</t>
  </si>
  <si>
    <t>haha cool, was worried you were in university and done no research yet lol</t>
  </si>
  <si>
    <t>He doesn&amp;#39;t go to college to learn this stuff, he goes to college for a degree.</t>
  </si>
  <si>
    <t>&amp;quot;social networks&amp;quot; in the title is fairly misleading ; this is so much more interesting than facebook or myspace and Im glad I started to watch the video despite my hesitation. This is fascinating.</t>
  </si>
  <si>
    <t>Fat people prefers to hang out with fat people.</t>
  </si>
  <si>
    <t>Big Think has been going balls deep lately.</t>
  </si>
  <si>
    <t xml:space="preserve">Don&amp;#39;t be mad that you know the material that&amp;#39;s in the video already. Be mad that you pay for college to learn this stuff when the information is free through many forms of media lol </t>
  </si>
  <si>
    <t>And you see, that&amp;#39;s the problem these days. I&amp;#39;m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don&amp;#39;t want to be nurses, doctors or even lawyers to help people. It&amp;#39;s all about the pay check. 
Sure, youtube won&amp;#39;t get you a degree.</t>
  </si>
  <si>
    <t>But the idea of why a college exist has changed dramatically over the years. 
Go to college to get a degree, not to learn about things you love or better yourself. You NEED that degree. 
But that&amp;#39;s just my perspective. Cheers!</t>
  </si>
  <si>
    <t>I love watching each video you put out and learning new shit.</t>
  </si>
  <si>
    <t>Collective responsibility is BULLSHIT. It&amp;#39;s just an excuse for controlling people.</t>
  </si>
  <si>
    <t>Individuality is the basis for a moral society. Collectivism is wrong.</t>
  </si>
  <si>
    <t xml:space="preserve">This is why bullying should not be taken away from us. When we see our friends get fat we need to make fun of them so they won&amp;#39;t kill themselves over being depressed about it. </t>
  </si>
  <si>
    <t xml:space="preserve">If you find yourself grouped with the large yellow dots you will be sent to camp and it won&amp;#39;t be fat camp. </t>
  </si>
  <si>
    <t>oh you crazy people</t>
  </si>
  <si>
    <t>Great, now I have something good to watch.</t>
  </si>
  <si>
    <t>like Christians?</t>
  </si>
  <si>
    <t>I just clicked on the title to &amp;#39;dislike&amp;#39; it. Why do SOME people assume EVERBODY follows others. I DON&amp;#39;T.</t>
  </si>
  <si>
    <t>I love these hour long lectures, they&amp;#39;re just as long as a TV show and more informative too! ^.^</t>
  </si>
  <si>
    <t>How did that go?</t>
  </si>
  <si>
    <t xml:space="preserve">I&amp;#39;m going to study study Sociology next year and this has only increased my interest. Thank you very much, Bigthink! </t>
  </si>
  <si>
    <t>Epic 1 hour video I&amp;#39;ve watched from start to end. Amazing.</t>
  </si>
  <si>
    <t>In the words of George Carlin:  &amp;quot;Adam Smith&amp;#39;s invisible hand, sometimes, extends the middle digit.&amp;quot;</t>
  </si>
  <si>
    <t>haha, owned :P</t>
  </si>
  <si>
    <t>big think is the best shit ever yo!!!!!!!!!!!!!!! all i do is burn 1 and watch lol</t>
  </si>
  <si>
    <t xml:space="preserve">you are right! I wonder why is this marked as spam? maybe some sociology and psychological youtuber behavior involved? </t>
  </si>
  <si>
    <t>I think that he&amp;#39;s mad because he&amp;#39;s in the wrong field of study :p</t>
  </si>
  <si>
    <t>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t>
  </si>
  <si>
    <t>Almost sound like that movie Good Will Hunting ^_^
I love that dude thoughts and perspective about the world.</t>
  </si>
  <si>
    <t>We need to nuke that social network for the greater good...</t>
  </si>
  <si>
    <t>They may have paid for college for that degree, not just to learn.</t>
  </si>
  <si>
    <t>Something seems to be odd with the subtitles</t>
  </si>
  <si>
    <t>DAMMIT! I already speak english, so these words are all familiar &amp;gt;:(</t>
  </si>
  <si>
    <t>I have a sudden compulsion to go get muffins and beer now...</t>
  </si>
  <si>
    <t>Παμε ρε ελλαδαρααααα</t>
  </si>
  <si>
    <t>University&amp;#39;s do an excellent job of teaching these skills... the problem comes from students who dont engage...our prof&amp;#39;s are better than ever but students dont care to learn.. usually because they are attending for the wrong reasons.</t>
  </si>
  <si>
    <t>go to MIT Opencourseware homepage, section Engineering*</t>
  </si>
  <si>
    <t>Doesn&amp;#39;t it mean socialism is good?  Why are fighting it?</t>
  </si>
  <si>
    <t>Your wireless is selling your information for profit.</t>
  </si>
  <si>
    <t>awesome</t>
  </si>
  <si>
    <t>Thank you bigthink for an actual lecture. The sound bites are cool, but this is so much better!</t>
  </si>
  <si>
    <t xml:space="preserve">I would happily watch a video like that on the basics of electric engineering. I&amp;#39;m about to get my diploma but it feels like I&amp;#39;m missing something from the big picture. </t>
  </si>
  <si>
    <t>Thanks!</t>
  </si>
  <si>
    <t xml:space="preserve">I like these BigThink lectures - it&amp;#39;s like getting a college lecture for free.  </t>
  </si>
  <si>
    <t>No, a sphere will distort the connections, particularly at the poles.  A torus is the only way to have a flat image wrap around and connect with itself on all sides, evenly.  Any 3D artist knows how awkward it can be to wrap a flat image around a sphere.  :)</t>
  </si>
  <si>
    <t xml:space="preserve">Both a sphere and a torus will distort the image, yes, but this isn&amp;#39;t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  </t>
  </si>
  <si>
    <t xml:space="preserve">Yes, to properly understand his point you need to understand how information is displayed.  He specifically makes it a point to display the information rationally, in two dimensions, then he explains how to visualize that in three dimensions.  His point is the point, as it were.  </t>
  </si>
  <si>
    <t xml:space="preserve">I am learning so much from this channel; new ideas, new ways to approach ideas. </t>
  </si>
  <si>
    <t>You gotta do a video like this about argumentation skills.</t>
  </si>
  <si>
    <t>When will these sociological facts propagate through to the political systems worldwide?</t>
  </si>
  <si>
    <t>This stuff is incredible.</t>
  </si>
  <si>
    <t xml:space="preserve">keep making these, Ill keep sharing them. </t>
  </si>
  <si>
    <t>Holy sh*t this is almost an hour long....</t>
  </si>
  <si>
    <t>Holon (philosophy)
en.wikipedia[dot]org/wiki/Holon_%28philosophy%29</t>
  </si>
  <si>
    <t>Holon</t>
  </si>
  <si>
    <t>Or he simply seeks to express himself, to voice his opinion or be heard.
Also, there is no information without interaction.</t>
  </si>
  <si>
    <t>If you think that social and cultural factors don&amp;#39;t influence you in one way or another, you are ignorant or stupid. Your pick.</t>
  </si>
  <si>
    <t>Watch &amp;quot;Social Pathology&amp;quot; Lecture, by Peter Joseph</t>
  </si>
  <si>
    <t>I hate these things now because i want more .....</t>
  </si>
  <si>
    <t>You make a good point, but what you&amp;#39;ve said is not always true.  Some people like me, don&amp;#39;t care what others think, but we care what we think and enjoy communicating that to others sometimes.  Therefore, people like me communicate for the joy of communicating regardless of whether my idea is accepted.  Here&amp;#39;s another example:  sometimes I do things that I think are funny to me even though I know some people won&amp;#39;t get it, merely for the sake of entertaining myself.</t>
  </si>
  <si>
    <t>You just clicked to dislike it... Does that mean you didn&amp;#39;t watch the video? You judged the book by it&amp;#39;s cover?
How stupid of you.</t>
  </si>
  <si>
    <t>Lmaooo, you&amp;#39;re probably one of those high school herbs that complain about people &amp;quot;labeling&amp;quot; you.</t>
  </si>
  <si>
    <t>Move the prompt closer to the camera so its not as obvious when speakers look at it. I&amp;#39;m of the belief that it distracts the viewer and takes away from the speech.</t>
  </si>
  <si>
    <t>Metohodological :D
lol, error at 49:38 up to 49:50</t>
  </si>
  <si>
    <t>wow...BigThink just doesn&amp;#39;t give up on trying to justify collectivism &amp;amp; ignore individuality</t>
  </si>
  <si>
    <t xml:space="preserve">I don&amp;#39;t think commenting is necessarily &amp;quot;seeking social acceptance.&amp;quot; Plenty of people leave comments solely to piss off others. Some do it to leave a token that they were there (see: &amp;quot;FIRST!&amp;quot;). There are many more reasons, but these amply show the fallacy of your initial statement.
Your argument failed to recognize intrinsic motives. It was locked in the autocentric (read: individualist) idea that everyone comments for the same reason you do. 
Sorry...had to point out the hypocrisy.
</t>
  </si>
  <si>
    <t xml:space="preserve">Loving these hour lectures Big Think. Brilliant topics by brilliant people! </t>
  </si>
  <si>
    <t>You&amp;#39;re following the others who try to not fit it. You&amp;#39;re a conformist of non-conformists.</t>
  </si>
  <si>
    <t>half-way through this i realised it was an hour long wtf</t>
  </si>
  <si>
    <t>Sure, but no form of media will give you a degree that will help you find good work in the field.</t>
  </si>
  <si>
    <t>I couldn&amp;#39;t agree more - I have a degree in engineering but I pursued a different career altogether. However, we have to function within society and a degree is society&amp;#39;s way of proving expertise (I use that term very loosely) in something.</t>
  </si>
  <si>
    <t>These videos are a great way for me to practice taking notes during lectures before college.</t>
  </si>
  <si>
    <t>We don&amp;#39;t all have a group mentality, having to be follower or leader. Surely I&amp;#39;m not alone in thinking this; who&amp;#39;s with me!?!</t>
  </si>
  <si>
    <t>if he didnt want social acceptance he wouldnt speak at all well put!</t>
  </si>
  <si>
    <t>It&amp;#39;s simple true that when you&amp;#39;re part of any society you&amp;#39;re not free, but you&amp;#39;re safer and the other way around.</t>
  </si>
  <si>
    <t>Let me get this straight.  You&amp;#39;re proud of judging a video by it&amp;#39;s title alone?  Wow....that&amp;#39;s genuinely stupid.</t>
  </si>
  <si>
    <t>&amp;quot;Suicide is a permanent solution to a temporary problem.&amp;quot;  I don&amp;#39;t know who first said that, but I think it&amp;#39;s true.  I don&amp;#39;t know why a put the knife down.  I really don&amp;#39;t.  When I picked it up, I felt relieved that the pain was going to be over.  Somewhere before I actually put it to my flesh I froze, and I didn&amp;#39;t think it was a good idea anymore.  I don&amp;#39;t know why.  I think I&amp;#39;m just lucky.  Later things got better.  Much better.  I think I&amp;#39;m very lucky.</t>
  </si>
  <si>
    <t>No. Absolutely not. You grossly misunderstood.
I was only lucky I didn&amp;#39;t kill myself.
My life got better through hard work and making good choices.  In that regard, I haven&amp;#39;t been lucky at all.  Almost nothing went as planned, and I had to buckle down and fight to get everything I have, pushing myself right to the edge of physical and mental capacity for over a decade.  My happiness isn&amp;#39;t luck in any sense of the word.  I carved it out of the bullshit miasma of my circumstance.  I earned it.</t>
  </si>
  <si>
    <t>23 unhappy, ignorant bastards dislike this video, amazing.</t>
  </si>
  <si>
    <t xml:space="preserve">are you subscribed to bigthink?
</t>
  </si>
  <si>
    <t>I fucking love this 1 hour segments.So good.</t>
  </si>
  <si>
    <t>DAMMIT! I already am a psychology student, so this is all familiar! &amp;gt;:(</t>
  </si>
  <si>
    <t>You are not helping! &amp;gt;:(</t>
  </si>
  <si>
    <t>Dammit people, YOU ARE NOT HELPING! &amp;gt;:(</t>
  </si>
  <si>
    <t>If you&amp;#39;re strongly interested in psychology, yes, it&amp;#39;s worth it. You have a lot of options within the study and afterwards like clinical, social and educational psychology etc (I&amp;#39;m personally a neuro-psychology student) so you&amp;#39;ll probably find something that suits you.
Having a basic understanding of biology helps and ofcourse being open-minded and interpersonal. And you&amp;#39;ll have to read A LOT!</t>
  </si>
  <si>
    <t>9/10 Troll</t>
  </si>
  <si>
    <t xml:space="preserve">I skipped class to operate on kids... lol sounds so messed up out of context </t>
  </si>
  <si>
    <t xml:space="preserve">Comparing the different assembly of carbon atoms that create graphite vs diamonds to different assemblies of social networks that create different properties is GENIUS!!!  </t>
  </si>
  <si>
    <t>The answer is simple, apply mud to the wounds.</t>
  </si>
  <si>
    <t xml:space="preserve">Good video. I like how there is an increase in intellectual material on youtube. </t>
  </si>
  <si>
    <t>Trolling someone means you DO seek acceptance, you want them to engage u for it, or want a response. We piss someone off wanting them to retaliate in some form, just like people love dramas and such. Same concept</t>
  </si>
  <si>
    <t>wank wank wank blah blah wank wank</t>
  </si>
  <si>
    <t>Damn it, at the end I realized that I heard physicist and scientist 
stead!!</t>
  </si>
  <si>
    <t>i hope it only continues</t>
  </si>
  <si>
    <t>I&amp;#39;m liking these hour-long talks. Much more in-depth analysis to the usual good ideas. Keep it up, BT.</t>
  </si>
  <si>
    <t xml:space="preserve">I think it has less to do with where you were born and more with where you were raised. </t>
  </si>
  <si>
    <t>You don&amp;#39;t know why the GG Bridge doesn&amp;#39;t have and can&amp;#39;t have a suicide barrier? Socially what does the GG represent to the average person, or what word comes up for the average person socially when they think of the GG Bridge. Yes, &amp;quot;Freedom&amp;quot; is the word so many come to when they think of the GG Bridge, which is one of the world&amp;#39;s most famous land marks. This is why the GG Bridge can never have suicide barriers, and why if they tried, there would be a large outpouring of people not allowing it.</t>
  </si>
  <si>
    <t>38:35 WTF? Wow that&amp;#39;s fantastic!</t>
  </si>
  <si>
    <t xml:space="preserve">I used to not be interested in sociology. But everything change when he used the word hyperdimensional.
</t>
  </si>
  <si>
    <t xml:space="preserve">1st </t>
  </si>
  <si>
    <t>Sorry I was ten seconds faster.</t>
  </si>
  <si>
    <t>How come you need my name?</t>
  </si>
  <si>
    <t>Also that doesn&amp;#39;t offend me, it&amp;#39;s alright.</t>
  </si>
  <si>
    <t>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I&amp;#39;m not going to insult your English because there is a possibility you are not present with English-Native tongue, if so you should think about improving your structure.  Don&amp;#39;t target useless comments.</t>
  </si>
  <si>
    <t>Second note: Don&amp;#39;t respond telling me not to make a useless comment because creating useless comment &amp;gt; targeting useless comments.</t>
  </si>
  <si>
    <t>You used an ellipses wrong at the end of your comment.  I really love your comment though.  I got first and I only commented first because why wouldn&amp;#39;t I do it if I knew that the video was released literally four seconds ago (this is non-fiction).  So I only did it because I had a chance.</t>
  </si>
  <si>
    <t>very enjoyable. i would love to see more psychological and sociological talks. now what would be really great to see is the sociology of crime and law. it seems rather straightforward but i would like to see what more there could be.</t>
  </si>
  <si>
    <t xml:space="preserve">I get that you are joking, but a college education is in no way equal to the content on the internet in anyway, </t>
  </si>
  <si>
    <t xml:space="preserve">Better. </t>
  </si>
  <si>
    <t xml:space="preserve">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it&amp;#39;s up to the individual to keep up. </t>
  </si>
  <si>
    <t xml:space="preserve">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don&amp;#39;t need to go to college to be well educated, but it is a more difficult process.   </t>
  </si>
  <si>
    <t>SUPER</t>
  </si>
  <si>
    <t xml:space="preserve">Psycho = psyches, mind, inner self
Socios = society, large groups and its interacctions .... </t>
  </si>
  <si>
    <t>I like how literally the only other thing in this video is a podium and he never uses it</t>
  </si>
  <si>
    <t>No I still rather be D. I hate gossip. Ha</t>
  </si>
  <si>
    <t>It&amp;#39;s got a complex. Ha.</t>
  </si>
  <si>
    <t>I think you miss his point. 
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t>
  </si>
  <si>
    <t xml:space="preserve">So he seeks negative approval. As in he wants many people to dislike it so he is happy. You assumed that approval is always positive. But if they want people to dislike it and they do dislike it. He has got there negative approval. Attention Seeker. 
Also stating first is looking to show that you was the most interested and got there first. Hoping people like it and try to get there before you next time like a social challenge. And a lot people stopped this when people though it was stupid.
</t>
  </si>
  <si>
    <t>Finally: I agree somewhat with the original point people don&amp;#39;t always follow people. Personally I do what I am interested and if I like something I might do it, but if someone puts weight on I don&amp;#39;t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t>
  </si>
  <si>
    <t xml:space="preserve">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 </t>
  </si>
  <si>
    <t>She was 55 according to the dates posted.</t>
  </si>
  <si>
    <t>He said people use Myspace as a social networking sight and it made me giggle</t>
  </si>
  <si>
    <t>social network? Friends? Anyone? Forever alone :(</t>
  </si>
  <si>
    <t>I think these bigthink lectures are fantastic, but this guys says a few things (here and there) that make me suspect he&amp;#39;s inflating his commentary with math jargon for no real communicative reason. At 31:13... why did we need a taurus? Wouldn&amp;#39;t a sphere be more obvious? Should we really use the term &amp;#39;hyper-dimensional&amp;#39; to describe social networks? Or is this just going to intimidate people who are new to the subject for no real reason?</t>
  </si>
  <si>
    <t xml:space="preserve">But the torus will distort a flat surface too. At least on the sphere, you can plot the network he&amp;#39;s talking about and have it be perfectly symmetric. In the torus, the nodes on the inside will necessarily be denser than those on the outside.
What&amp;#39;s more, after pointing out that in this situation &amp;quot;everyone would be equi-distant from the edge&amp;quot;, he just drops that hypothetical and moves on to the next idea. What is important about this equi-distant style network that was worth mentioning?
</t>
  </si>
  <si>
    <t>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
I think this is impossible on a torus, although proving that it&amp;#39;s impossible would be tricky. If it&amp;#39;s not impossible, it&amp;#39;s certainly not intuitive.</t>
  </si>
  <si>
    <t>On second thought, I think I can prove that it&amp;#39;s impossible.</t>
  </si>
  <si>
    <t>A few things:
1. He never actually plots the info in three dimensions. 31:14 &amp;quot;two dimensional&amp;quot; does not always mean &amp;quot;flat&amp;quot;. The surface of a torus is still two dimensional. It encloses space in a third dimension, but that space is clearly not populated by the information. Both the lattice and the torus surface are two-dimensional.
2. His point was about a network whose nodes are equi-distant on a surface that wraps around itself. This is easily representable on a sphere, but not on a torus.</t>
  </si>
  <si>
    <t>3. Thank you for remaining civil during a difference of opinion over the internet.</t>
  </si>
  <si>
    <t>16:30 -- a network is structured as a group of nodes and one-dimensional ties. This is not a hyper-dimensional structure, since it occupies a maximum of three dimensions of space.</t>
  </si>
  <si>
    <t>Yes, you definitely CAN make a hypercube with points and lines. But you don&amp;#39;t NEED to make a hypercube to plot a bunch of points and lines, which is all a network is. It&amp;#39;s totally unnecessary and just adds jargon-y language to something simple for no reason.
It&amp;#39;s like making a simple graph of something ... like &amp;#39;y vs. x&amp;#39;, and saying &amp;quot;yeah, it totally makes sense to plot that 1-dimensional line in the 17th spacial dimension and call it a hyper-graph.&amp;quot; No value added.</t>
  </si>
  <si>
    <t>Personally I don&amp;#39;t see what patterns become clear by asking the reader to imagine a fourth or fifth spacial dimension so that I can plot some of the nodes in them when I could just as easily plot them in 3-space, but I can agree to disagree.</t>
  </si>
  <si>
    <t>Fair enough. Maybe you can explain what I&amp;#39;m mixing up: you say that graphing social networks hyper-dimensionally would make certain patterns clear -- can you give me an example?</t>
  </si>
  <si>
    <t>Oh, okay. Here are some examples of social network plots in 2D and flattened 3D with clear explanations not requiring any extra-spacial dimensions: 16:07, 17:57, 18:07, 18:29, 19:16, 31:13, 31:22, 32:05, 36:05.</t>
  </si>
  <si>
    <t>You&amp;#39;re people! :)
But you&amp;#39;re right -- I&amp;#39;m on my way to a Head of the Charles party in Harvard with my girlfriend, so I&amp;#39;ll have to end our conversation. Thanks for not resorting to name-calling during a disagreement on the internet!</t>
  </si>
  <si>
    <t>Totally!&lt;br&gt;Knowledge changes w/ our life experience. We can see things in more &amp;amp; more different perspectives when we have experienced life itself.&lt;br&gt;&lt;br&gt;That’s why besides knowledge, academy nowadays also strikes the importance of practice workshop~&lt;br&gt;&lt;br&gt;(Oh and btw, new knowledge also provides old knowledge new perspective. It’s never a waste of time to reach your study into as many far-flung fields as you can.&lt;br&gt;I myself definitely feel the benefits of combining artistic training to my engineering problem-solving flow!!)</t>
  </si>
  <si>
    <t>@tokyomilmil Awesome response! You are spot on!</t>
  </si>
  <si>
    <t>is it weird that I have watched this 3 times already? I feel that I watch it again and again, I see information clearer and listen something different each time</t>
  </si>
  <si>
    <t>he he.... &amp;#39;dike&amp;#39;</t>
  </si>
  <si>
    <t>/watch?v=6fiFcj3ILeo&amp;amp;feature=g-user-u</t>
  </si>
  <si>
    <t>These videos are so Perfect! Keep making them!</t>
  </si>
  <si>
    <t xml:space="preserve">by pointing out his little quest of social acceptance you&amp;#39;ve done the same thing as him and so did i and anybody that corrects me will also partake in this little paradox,so don&amp;#39;t judge everyone likes to be accepted regardless if you admit it or not </t>
  </si>
  <si>
    <t>sorry English is second my language,well why are you pointing out the obvious seems a little stupid at least in the sense that your doing the exact same thing, maybe i just wanted to point out the irony of it lol</t>
  </si>
  <si>
    <t>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t>
  </si>
  <si>
    <t>more power apologetics. state interventions are not optimal solutions to any problem. social concern ought translate to voluntary philanthropic solutions</t>
  </si>
  <si>
    <t>we&amp;#39;re way smarter than most people</t>
  </si>
  <si>
    <t>one would think that these kind of videos are viewed by individuals that are smart enough to not care about stating that they were first to comment :D But that just proves that i need to study sociology to understand that it is not the case :D</t>
  </si>
  <si>
    <t>Personally i find it very sad that you interpreted my observation as a &amp;quot;personal attack&amp;quot; even though i clearly expressed that you inspired me to study human behavior more. Could as well see my gratitude instead. Makes me wonder if you are used to &amp;quot;personal attacks&amp;quot; directed at you... must be related to your Hitlers profile picture... 
P.S. FYI the &amp;quot;informal emoticons&amp;quot; meaning is &amp;quot;happy&amp;quot; - it was deliberately used to express my happiness caused by your unusual behavior that inspired me to study.</t>
  </si>
  <si>
    <t>Do you really think that a simple grate would save thousands of lives? People would surely find some other ways after being unsuccessful on the Golden Gate bridge. Like jumping of some skyscraper would become an option.</t>
  </si>
  <si>
    <t>Big Think is the best.</t>
  </si>
  <si>
    <t xml:space="preserve">Wow, Dr Christakis you blew my mind away! So the fact that i&amp;#39;m posting a comment has been predetermined by the structure of my current existence. This truly  has been  a deep and profound experience. I hope you continue these online lectures.
 I just purchased your book &amp;quot;connected&amp;quot; and assuming it&amp;#39;s in the same style as this video cast, I shall continue this amazing experience. </t>
  </si>
  <si>
    <t>whats the difference between sociology and psychology?</t>
  </si>
  <si>
    <t>thanks, I think social psychology would be my favourite branch to study</t>
  </si>
  <si>
    <t>obesity is a epidemic O-o......</t>
  </si>
  <si>
    <t>I&amp;#39;m 15 and I had no idea of the things he was talking about before he educated me. I feel so much smarter being subscribed to BigThink</t>
  </si>
  <si>
    <t>Great video!!! Sadly posting and sharing such videos on FB is not considered &amp;quot;cool&amp;quot; by the majority of people and views and interest will remain low for the foreseeable future :(</t>
  </si>
  <si>
    <t>Guys, you&amp;#39;re really fast.</t>
  </si>
  <si>
    <t>DAMMIT! I don&amp;#39;t speak English, so these words are not familiar &amp;gt;:(</t>
  </si>
  <si>
    <t>It&amp;#39;s a science, not a hobby, please</t>
  </si>
  <si>
    <t>How do you feel about this comment a year later Delir?</t>
  </si>
  <si>
    <t>Great video!</t>
  </si>
  <si>
    <t>Suicide intervention, by unsuspected individuals or in the case of the Golden Gate Bridge, a safety net, may help reduce suicide rate because it gives people a chance to &amp;#39;step back&amp;#39; and rethink their action at the very last critical moment.
A suicide barrier is ineffective in preventing suicide in the sense that an acutely depressed person might just opt for another bridge or tall building instead. The barrier is more effective in preventing suicidal person from damaging the image of a building</t>
  </si>
  <si>
    <t>A great video for thoughts nonetheless.</t>
  </si>
  <si>
    <t xml:space="preserve">What do you do to make it your hobby? </t>
  </si>
  <si>
    <t>If any of them would have mentioned they were going to kill themselves, society would have stopped them.</t>
  </si>
  <si>
    <t>Dope video!</t>
  </si>
  <si>
    <t>P.B. is a social capital.</t>
  </si>
  <si>
    <t>This guy for president</t>
  </si>
  <si>
    <t xml:space="preserve">11:00 a reason for suicide is, that people can end up in a negative thinking spiral. Once they decide to jump, that negative spiral is viewed from the outside, as that what it is, and thus actually understandable and fixable.
in other words, a sort of virtual suicide can help to relativize the current problem as solvable and create a new perspective that gives tools to overcome the current situation.
</t>
  </si>
  <si>
    <t>28:20 Allan Watts: Trees are appling. Rocks are peopleing.</t>
  </si>
  <si>
    <t xml:space="preserve">well, as a social group, collectively, why aren&amp;#39;t Americans making a decision to improve the quality of food they eat? </t>
  </si>
  <si>
    <t>This was so interesting. Thank you! I think sociology might become my new hobby...</t>
  </si>
  <si>
    <t>Hey, I appreciate your comment. I just want to point out that I&amp;#39;m not picking on Americans, I was responding to a previous commenter who was talking about &amp;quot;what people eat&amp;quot; being a factor in US obesity. So I just thought from a sociological perspective the question might be why society is allowing for these changes. But that question could apply to any society with any issue, probably not even just food.</t>
  </si>
  <si>
    <t>lol, good question. I guess that for me means I&amp;#39;ll be reading about it and looking up more videos and seeking out other people who are interested so that I can talk to them about it. Maybe even take a class.</t>
  </si>
  <si>
    <t>I don&amp;#39;t think lectures can be any better than this</t>
  </si>
  <si>
    <t>Hope you have a job</t>
  </si>
  <si>
    <t>I already am a Sociology student, yay! :D</t>
  </si>
  <si>
    <t>Beautiful video!!!!</t>
  </si>
  <si>
    <t>28:02 leviathan ftw</t>
  </si>
  <si>
    <t>Yay!</t>
  </si>
  <si>
    <t>Im afraid that if i watch too many of these vidual lectures i wont be able to appreciate a normal lecture</t>
  </si>
  <si>
    <t xml:space="preserve">A bit over a couple hundred years ago, a Jew came to my country, he gave way to enslavement of both the body and soul of my people.
-a Mexican citizen. </t>
  </si>
  <si>
    <t>Meant to say 500</t>
  </si>
  <si>
    <t>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t>
  </si>
  <si>
    <t>...what</t>
  </si>
  <si>
    <t xml:space="preserve">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  </t>
  </si>
  <si>
    <t xml:space="preserve">Hmm actually its no question  for me :) cause I&amp;#39;m not living in US , But quality of  food is big problem all over the world , cause today  everywhere  genetically engineered  food is on the market  and it&amp;#39;s very bad for human organism. agree, that Americans ,as society they can  require  to improve  quality of the food, but for that first of all they have to realize what they are eating , than gather  and take some action . </t>
  </si>
  <si>
    <t xml:space="preserve">...But in the country like US , where advertisements rocks everywhere its not easy :/ </t>
  </si>
  <si>
    <t xml:space="preserve"> 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t>
  </si>
  <si>
    <t xml:space="preserve">thanks for comment :)  interesting conversation:)  </t>
  </si>
  <si>
    <t>who cares</t>
  </si>
  <si>
    <t>Judaism is benign, has been for thousands of years. Take your predjudice somewhere else, or at least do some impartial research both ways. It doesn&amp;#39;t take much to realise that the threat of fundamental Islam is far and away more real than your concerns over &amp;#39;Jewish Control&amp;#39;. Jews are individuals more or less working for themselves, not for a Jewish Agenda. They appreciate science and reason and (largely) treat other humans with respect. They value knowledge, hence the powerful positions.</t>
  </si>
  <si>
    <t>Dude, double space your sentences more. Might make your points less ridiculous.
&amp;#39;My explanation is lacking.&amp;#39; Look man, if you can&amp;#39;t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mitzvah&amp;#39;s. 
America needs to blame itself, not its minorities. ffs</t>
  </si>
  <si>
    <t>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t>
  </si>
  <si>
    <t>it&amp;#39;s sad that i find this incredibly boring given that this is one of the majors i&amp;#39;m taking..</t>
  </si>
  <si>
    <t>...and how you were raised*</t>
  </si>
  <si>
    <t>everytime a professor of floating university ends its lecture and says &amp;quot;thank you&amp;quot;, it makes me happy and feel like a better person</t>
  </si>
  <si>
    <t xml:space="preserve">nurture not nature </t>
  </si>
  <si>
    <t xml:space="preserve">man that is a pimp ass blazer. </t>
  </si>
  <si>
    <t>i feel smarter by listening to this while i sleep</t>
  </si>
  <si>
    <t>This video makes me wanna kill myself</t>
  </si>
  <si>
    <t>Actually, that guy was greatly influenced in his decision by the effect his disease would have on those around him. That&amp;#39;s the whole point.. the rationalization of his decision is mostly social in nature. He specifically states that he has NOT given up, he just doesn&amp;#39;t want to be a burden. 
So the question remains, would he have killed himself if his disease hadn&amp;#39;t represented a burden for the people he loved? Or was this simply a rationalization, masking egoistic motivation?</t>
  </si>
  <si>
    <t xml:space="preserve">well the advantage of youtube is that you can pause the video, or jump to any point in it whenever you want. </t>
  </si>
  <si>
    <t xml:space="preserve">Interesting video!
This is an invitation to see an artist theory on the physics of light and time!
This theory is based on just two postulates
1. Is that the quantum wave particle function Ψ or probability function represents the forward passage of time itself
2. Is that Heisenberg’s Uncertainty Principle ∆×∆p×≥h/4π that is formed by the w-function is the same uncertainty we have with any future event within our own ref-frame that we can interact with turning the possible into the actual! 
</t>
  </si>
  <si>
    <t>yeah, i&amp;#39;m pretty sure the guy with aids who wrote the letter didn&amp;#39;t think &amp;quot;oh wait! i can live with aids!&amp;quot; the second he jumped. i think its really unlikely a social help would&amp;#39;ve changed his mind B/C of the reasons why he did it. that other boy&amp;#39;s reason was &amp;quot;no one likes me, and life is hard.&amp;quot; so it&amp;#39;s much easier to see a guy like that change his mind.</t>
  </si>
  <si>
    <t>yeah i understand all that. that&amp;#39;s not what i was commenting about at all.</t>
  </si>
  <si>
    <t>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t>
  </si>
  <si>
    <t>No. 
That&amp;#39;s just physics.</t>
  </si>
  <si>
    <t>What the fuck!!! This video is INSANE!!! Reading suicide notes, and then saying how long it takes to hit the water??? This guy is NUTTTTSSSSS!!!!!!</t>
  </si>
  <si>
    <t>TRIGGER WARNING: Suicide</t>
  </si>
  <si>
    <t>Good insights</t>
  </si>
  <si>
    <t>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don&amp;#39;t cut off his choice of an exit.</t>
  </si>
  <si>
    <t>What has one to do with the other? Your point is completely unrelated to my statement.</t>
  </si>
  <si>
    <t xml:space="preserve">btw: Just because Schopenhauer said so doesn&amp;#39;t make it the ultimate truth. </t>
  </si>
  <si>
    <t>@Marko Kraguljac are you serious? i talk about suicide and you pick up single words to make a point for free will? gees, you must be really bored.</t>
  </si>
  <si>
    <t>you could appreciate normal lectures before? o_O</t>
  </si>
  <si>
    <t>There is no free will. As with every other &amp;quot;choice&amp;quot;,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
Same is with majority of &amp;quot;decisions&amp;quot; to commit suicide.</t>
  </si>
  <si>
    <t>It is related to your points C and D. At least according to what you wrote in these points you take &amp;quot;free&amp;quot;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t>
  </si>
  <si>
    <t>Am I understanding you right that personal belief at any precise moment is absolute alpha and omega and that society cannot have any role in that matter?
If its not it, please rephrase it.</t>
  </si>
  <si>
    <t>I dont find these matters so trivial even from afar. Ad hominem wont get us anywhere.</t>
  </si>
  <si>
    <t>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t>
  </si>
  <si>
    <t>I read your other parallel comment and will answer to both here.
Concept of free will was misused throughout history as a cop-out for all sorts of violence and injustice, frequently as a result of ignorance or lack of material means. An example: There is no food for everyone? Thats god&amp;#39;s will or some deficiency of those who will starve. Some people have 10,000,000 times bigger income than someone else? Thats their own personal productivity or incompetence of poorly payed. Continued&amp;gt;</t>
  </si>
  <si>
    <t>Continued&amp;gt; Its all a string of false justifications of material and social realities. Or take this: Someone killed. They are evil! There is no explanation of *existing* deep causality because he has &amp;quot;free will&amp;quot; etc
Realizing that we do not have free will factually empowers us.. but it needs time to understand how.. and in the meantime, how you feel about it is not determined by external factors but how your body functions. You can be blissful in worst circumstances or miserable in best. Cont2&amp;gt;</t>
  </si>
  <si>
    <t>Cont2&amp;gt; I highly recommend you check out Sadhguru Jaggi Vasudev. Especially his talks about body and mind, happiness, religion, &amp;quot;destiny&amp;quot;, &amp;quot;god&amp;quot; etc. I am not obsessed with gurus but this guy knows what he&amp;#39;s talking about, 99% of the time.</t>
  </si>
  <si>
    <t>Have you read my remaining two comments chained to the one you answered to?</t>
  </si>
  <si>
    <t>Free will or no free will, if a person believes that every decision they make out of all the decisions they cognitively realize are possible will help them achieve what they think as &amp;quot;good&amp;quot; in that moment than that in itself should count out the notion of no free will when making choices because absolutely no body thinks about that when in the moment of making a decision. That, and where you&amp;#39;re from/how you were raised has never limited anyone in doing anything that has ever happened.</t>
  </si>
  <si>
    <t xml:space="preserve">No free will is a depressing thought for creatures who can&amp;#39;t actualize this notion in their act of existence. </t>
  </si>
  <si>
    <t>Good catch, my last sentence is worded incorrectly. Society definitely plays a role. It&amp;#39;s basically your conditioning, but at a certain point people have proven to be able to rationalize past such barriers, and come to higher insights on what is &amp;quot;good&amp;quot; and &amp;quot;bad&amp;quot; about not just only that society, but humanity in general. This being the case, and seeing as you understand my point (see your other post) about no free will not really affecting our capability of choice, isn&amp;#39;t it best to call it free?</t>
  </si>
  <si>
    <t xml:space="preserve">I agree with what you are saying, and I agree that science proves there is no free will. I am aware of this, but do you believe that if this trend continues we will be fully aware of our own limits while in everything we do? And if so, isn&amp;#39;t that depressing since then we will feel just as limited as the nature we have discovered below us? I have no idea. I&amp;#39;m also not lobbying to stop research. Science is neither good nor bad. Our intellect is the potentiality that makes its use an actuality. </t>
  </si>
  <si>
    <t>You claim here that everyone who believes in free will automatically claims it&amp;#39;s God&amp;#39;s will? Where do you get that from? Also, in the above post, you claim that someone who believes free will isn&amp;#39;t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t>
  </si>
  <si>
    <t xml:space="preserve">Yes. I think I might need clarification on your first continued second block starting with how you feel about it---to the end. Are you saying to attain this you need to have control over your mind? Is that what you mean by internal bodily functions, and the tie in with weather? </t>
  </si>
  <si>
    <t>ETHICAL RULES ... OUR MINDS HAVE NOT CHANGED ... so true ...  INDIVIDUALS DO NOT WANT TO CHANGE ... EMBEDDED IN LEARNING FROM DOGMAS / NO QUESTIONING &amp;#39;HOW/WHY/WHAT ... Changing &amp;#39;habits&amp;#39; of learning ... graduating from &amp;#39;fiction to nonfiction&amp;#39; ... stuck with relg-military-bully MINDset ... philosophy that prevails inner psyches ... ehhh</t>
  </si>
  <si>
    <t>Ah, the Internet is like free schooling, that you can do and study whenever you choose and how much. 
I kind of however found this video hard to follow, not because I could understand it but hard to keep my attention, too many words (and fast) for simple ideas or points made. Needs more pauses on major points between sentences.
I kind of like the lectures in general though, the only thing I hate is the time I have left after spend much on youtube vids of this sort and politics.</t>
  </si>
  <si>
    <t>I prefer not to spend all day on youtube especially trying to analyze very few videos, if you understand.
It can tend to easily be a bad habit of spending extra unintended hours on youtube watching videos on a binge and tangent.
Regardless, It&amp;#39;s easier to understand things when you hear them in sequence, and as I said some parts he was just saying a lot of words fast, rather than few, meaningful and with pause.
Not at all do I think him or the video is bad.</t>
  </si>
  <si>
    <t>Edvard Bernays used group psychology to advocate smoking to women as a symbol of &amp;quot;liberation&amp;quot;. Bernays also started the post-modern Jewish cultural movement to control the media and use it to shape society to their liking. Search for Edvard Bernays for the whole story.
Artificial manipulation of the masses is sick. Let people live their lives.</t>
  </si>
  <si>
    <t xml:space="preserve">Sadly, there are probably infinitely more resources devoted towards collecting (and using) these data for the purpose of commercial marketing rather than solving social problems. </t>
  </si>
  <si>
    <t xml:space="preserve">oooh so where i&amp;#39;m located in a social network depends on my Jeans... </t>
  </si>
  <si>
    <t>Not knowing much about Sociology, this is exactly what I was looking for. Nicely done Nicholas Christakis.</t>
  </si>
  <si>
    <t>Very Mcluhanesian of you!</t>
  </si>
  <si>
    <t>I dont like what I am seeing, so much fracturing of societies and culture clashes</t>
  </si>
  <si>
    <t>It&amp;#39;s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t>
  </si>
  <si>
    <t xml:space="preserve">5:56 - 11:10 Great this will help me when I have to write my note, </t>
  </si>
  <si>
    <t>bautiful lol</t>
  </si>
  <si>
    <t>Honestly I wish I had the money and brains to go to Harvard I don&amp;#39;t care if this guy is a card carrying skull and bones member I wish I could be in his class. But I have to spend the rest of the coming Winter freezing in Canada.</t>
  </si>
  <si>
    <t xml:space="preserve">Genius! perfectly done Nicholas chris. !!! </t>
  </si>
  <si>
    <t>More!  More! I love these lectures!</t>
  </si>
  <si>
    <t>Idk, man. I don&amp;#39;t think I&amp;#39;d go out and eat muffins and beer, even if my best friend was down.</t>
  </si>
  <si>
    <t>You need not worry, watching these lectures sparks new interests and passions that may improve your life. Keep expanding your mind!</t>
  </si>
  <si>
    <t>can&amp;#39;t wait to start studying psychology and sociology at uni these guys are awesome</t>
  </si>
  <si>
    <t>DO YOU EVEN SCIENCE BRO&amp;#39;?</t>
  </si>
  <si>
    <t xml:space="preserve">Pls be critical to the policial ideology that this video produce. 
*People who kill themself was borned to do so.
*People are borned to be rich and succeful in networks while the rest.. nah.
/its extra intresting that he jumped over the sociology that is poststructural(modern). </t>
  </si>
  <si>
    <t xml:space="preserve">but why does that matter? </t>
  </si>
  <si>
    <t>i agree with u elvisitor</t>
  </si>
  <si>
    <t>You speak of Jews as one unit and @winterviews, you mention &amp;quot;the threat of fundamental Islam&amp;quot; (I interpret it) as one also... My view on this, is that it will always be very few persons within these groups that are a threat and/or has the knowledge that you mention. See the persons not the groups, in problems, but maybe see the groups as a solution to the problems... Just a thought.</t>
  </si>
  <si>
    <t>I saw now I quoted you hansson2000, that was not my intention =)</t>
  </si>
  <si>
    <t>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t>
  </si>
  <si>
    <t>DO YOU EVEN THINK BRO&amp;#39;?</t>
  </si>
  <si>
    <t>I wonder if you spread californians across the middle us would they gain weight or make others lose it XD</t>
  </si>
  <si>
    <t>The second half of this were interesting good shit!</t>
  </si>
  <si>
    <t>take a shot every time he says &amp;quot;within the network&amp;quot;.</t>
  </si>
  <si>
    <t>I do not agree at all</t>
  </si>
  <si>
    <t xml:space="preserve">Man,this is too long for today,better leave the rest for tomorrow. Appreciate the effort for making this vid. </t>
  </si>
  <si>
    <t>How does putting guards by the footpath prevents suicide? it only takes away the choice from the people to jump off the bridge? what if somebody wanted to jump off with a parachute?</t>
  </si>
  <si>
    <t>ridiculously simplified examples about social capital</t>
  </si>
  <si>
    <t>&amp;quot;let&amp;#39;s go get muffins and beer&amp;quot; ... &amp;quot;it&amp;#39;s a terrible combination but your friend suggested it, so you copy your friend&amp;#39;s behaviour&amp;quot; ahahahaha I don&amp;#39;t know why I laugh so much at this!</t>
  </si>
  <si>
    <t>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t>
  </si>
  <si>
    <t>youtube.com/watch?v=Hc4YP9b0HZ8
my sociology video</t>
  </si>
  <si>
    <t>thumbs up for watching the whole video.</t>
  </si>
  <si>
    <t>Lets make a giant never ending cake!</t>
  </si>
  <si>
    <t xml:space="preserve">Maybe the gratest subject in the holle show! Tks professors!
</t>
  </si>
  <si>
    <t>yo lumonosity, fuckoff. everyone knows you dont work</t>
  </si>
  <si>
    <t>So...did you solve the obesity problem?!</t>
  </si>
  <si>
    <t xml:space="preserve">can any one tell me?
</t>
  </si>
  <si>
    <t>I can&amp;#39;t believe the phrase &amp;quot;groupthink&amp;quot; was never used in this awesome lecture.....that&amp;#39;s all I have.</t>
  </si>
  <si>
    <t>Grrrrr thats not just England -.-</t>
  </si>
  <si>
    <t>Moss is conscious, bro. Woah.
*brain fart*</t>
  </si>
  <si>
    <t>Moss didn&amp;#39;t appreciate that comment.</t>
  </si>
  <si>
    <t>Ssh! The moss is trying to sleep and you&amp;#39;re, like, being totally rude and waking him up.</t>
  </si>
  <si>
    <t xml:space="preserve">On obesity, Gary Taubes has a fantastic video on why obesity is much more rampant today than the past.  It is because the artificial and unnatural additives in our foods which are there to make food cheaper.   </t>
  </si>
  <si>
    <t>It&amp;#39;s not simple.  See, different races have slightly different metabolism.  Ever notice how you don&amp;#39;t see very many obese Asians? Anglo-saxon bodies process carbohydrates differently.  Furthermore, simply being obese does not automatically make you more unhealthy than someone at the &amp;quot;correct&amp;quot; weight.  Being skinny means shit if you don&amp;#39;t exercise, which also by itself doesn&amp;#39;t mean shit. But eating healthy is hard, because bad food is cheap food. Who&amp;#39;s fault is that? NIXON.  Simple enough?</t>
  </si>
  <si>
    <t>I really don&amp;#39;t think so. The politically correct nature of modern western culture doesn&amp;#39;t allow for differences between races. This is such a dangerous mindset as doesn&amp;#39;t allow us to properly research real differences. People are different, and it&amp;#39;s stupid to not see that.</t>
  </si>
  <si>
    <t>39:40 - That is NOT a map of &amp;quot;England&amp;quot; - that is a map of Great Britain! (mutter mutter grumble mumble)</t>
  </si>
  <si>
    <t xml:space="preserve">yes and your grand ma could have told you everything you&amp;#39;ve just said in 5 mins. </t>
  </si>
  <si>
    <t xml:space="preserve">Very interesting, but it is a very materialistic view on society and people. The views of Jung on the &amp;quot;collective subconscious&amp;quot; are also very interesting, and put the emphasis on the spiritual side of people/world. </t>
  </si>
  <si>
    <t xml:space="preserve">Google is actively engaging in Social Pathological Practices and Socialization of Pragration or Progration . . . yes its a word, to describe increasing levels of antisocial behavior. </t>
  </si>
  <si>
    <t>Someone Please . . . theoretical (T)  practical (P) skills towards the performance of the new job, but also satisfy needs of (I) interaction or TPI-theory aka Induction_Training . . . this Guy ! ! !</t>
  </si>
  <si>
    <t>Ouroboros or Uroborus  Serpent biting its own tail is first seen as early as 1600 years BC in Egypt or Self Destruction Training</t>
  </si>
  <si>
    <t>why did i go to university and i can learn from youtube</t>
  </si>
  <si>
    <t>Was i the only one that noticed Nicholas&amp;#39; hand motion threw out the whole video.</t>
  </si>
  <si>
    <t>I see. So Sociology doesn&amp;#39;t have to be anti-scientific, post-modernist obfuscation.</t>
  </si>
  <si>
    <t>This is awesome</t>
  </si>
  <si>
    <t>ok i think i will watch this video at least five times.</t>
  </si>
  <si>
    <t>It&amp;#39;s okay, I already can&amp;#39;t appreciate a normal lecture.</t>
  </si>
  <si>
    <t xml:space="preserve">These lectures are much more interesting than anything anybody with a degree ever tried to teach me. I&amp;#39;d say I&amp;#39;ve probably learned more in two months than I have in 4 years of high school and 1 and 1/2 years of college. In the next two months, I&amp;#39;ll probably have learned more than I have in my whole school life. </t>
  </si>
  <si>
    <t>Good point.</t>
  </si>
  <si>
    <t>15:00</t>
  </si>
  <si>
    <t>You wouldn&amp;#39;t have been able to understand the concepts from these videos without all that education</t>
  </si>
  <si>
    <t>26:30</t>
  </si>
  <si>
    <t>39:14</t>
  </si>
  <si>
    <t>youtube is just a giant advertisment now</t>
  </si>
  <si>
    <t>51 people are obese and suicidal</t>
  </si>
  <si>
    <t>Methodological Holism brought me here!</t>
  </si>
  <si>
    <t>my libertarian senses are tingling!</t>
  </si>
  <si>
    <t xml:space="preserve">when he started to slosh around, i lost all composure. </t>
  </si>
  <si>
    <t>How does one assume from the fact that some of the 26/1200 people wanted to live and survived their suicide attempt that suicide is acute and crisis driven.  The study he mentions says nothing of the quality of life had by those &amp;quot;saved&amp;quot; from jumping by  physically restraining them.  The assertion that suicide is an acute problem is only true if one sees suicide as a problem.  Obviously suicide is seen as a solution by those willing to jump.  Its not your life, or problem.</t>
  </si>
  <si>
    <t>Interestingly it should be your Voluntarism tingling.  The antiperverse, antimasturbation from that of statist self service.</t>
  </si>
  <si>
    <t>Recommend:
Apple iPhone 5 (Latest Model) - 32GB - Black Unlocked NEW Price:$385
Samsung Galaxy S III GT-I9300 16GB White Unlocked Price:$330
Apple iPad 4th Gen 32GB Unlocked Wi-Fi+4G 9.7in White Price:$390
LED 3D HDTV: Panasonic 65-inch 3D LED HDTV Price: $460
Apple MB543LL/A MacBook Price: $350
All-in-One PCs：Apple MB417LL/A iMac w/ 20&amp;quot; display desktop Price:$320
Canon EOS 60D Digital SLR Camera 50mm 18-55mm Price:$360
&amp;gt;&amp;gt;&amp;gt;&amp;gt;&amp;gt;&amp;gt;&amp;gt;&amp;gt;&amp;gt;&amp;gt;&amp;gt;&amp;gt;&amp;gt;&amp;gt;&amp;gt;&amp;gt;&amp;gt;&amp;gt;&amp;gt;&amp;gt;&amp;gt;    Purchase online Website is:  FUUshop.com</t>
  </si>
  <si>
    <t>Wait.. so this guy was only in his first year of med school, and he was cutting class to operate on children? Anyone else catch this?</t>
  </si>
  <si>
    <t>At Ruttie, the problem is thinking that it&amp;#39;s one or the other.  Yes, people make choices,, but they&amp;#39;re burdened with having to participate in social structures in order to get needed resources.  Yes, it&amp;#39;s naive to assume people are obese ONLY because of social structure, but it&amp;#39;s equally naive to assume that they are based ONLY in cognition.  Giddens&amp;#39; structuration does a nice job of framing this dilemma of agency and structure.  Bit dense to squeeze into a YT comment.</t>
  </si>
  <si>
    <t>I want muffins and beer now. Damn you Christakis and your social contagions!</t>
  </si>
  <si>
    <t xml:space="preserve">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you&amp;#39;d like to know about it... He&amp;#39;s on a date today with a beautiful girl... Lucky dick! </t>
  </si>
  <si>
    <t>This is one of the best lecture i&amp;#39;ve ever heard, for sociology. 2 thumbs up!
\</t>
  </si>
  <si>
    <t>He&amp;#39;s smart, he should know that the map that was shown wasn&amp;#39;t just England. Wales and Scotland are a thing too...</t>
  </si>
  <si>
    <t>&amp;quot;It took us a WHOLE day&amp;quot;. That&amp;#39;s not so long in the scheme of things...</t>
  </si>
  <si>
    <t>Great contribution to social epidemiology!!!!!!</t>
  </si>
  <si>
    <t>Great contribution to social epidemiology</t>
  </si>
  <si>
    <t>interesting. cant believe i just watched this at 2am</t>
  </si>
  <si>
    <t>You guys should check out this EXTRAORDINARY website called FIREPA.COM . You can make money online and start working from home today as I am!
I am making over $3,000+ per month at FIREPA.COM !
Visit Firepa.com and check it out!
The measure arranges the fire.
The coal depicts the linen.
When does the servant track the rambunctious sand?</t>
  </si>
  <si>
    <t>I was studying mandarin chinese logic and they always think from large to small. Is there anybody out there who&amp;#39;s interested in starting a humanitarian organization which would include sub types such as fraternal and sororities?</t>
  </si>
  <si>
    <t>Im watching it at 5am</t>
  </si>
  <si>
    <t>White people have the best countries, why would anyone want to go anywhere else but a white country</t>
  </si>
  <si>
    <t>r u quoting Euclid?</t>
  </si>
  <si>
    <t>Im not sure what you are trying to say
1. anti- whites don&amp;#39;t make what open up
2. what do you mean by open up
3. I don&amp;#39;t think anyone wants to turn any countries non-white, nobody gives a shit if there black or white</t>
  </si>
  <si>
    <t>&amp;gt;&amp;gt;&amp;gt;&amp;gt;&amp;gt;THIS BROUGHT IN $710,000 IN 28 DAYS!&amp;lt;&amp;lt;&amp;lt;&amp;lt;&amp;lt;
MONEY.CASHCOWCLOUD. COM</t>
  </si>
  <si>
    <t>the whole is more than the sum of its parts. 
I don&amp;#39;t like this quote. 
let s say you are a normal person, which means in our society that you are slightly overweight. if you could ( in theory ) remove the fat to a big part, you would have the same person, who can do exactly the same things, and you have a huge chunk of energy in form of the fat. 
the quote: the whole is more than the sum of its parts is never right. but if the parts are not in perfect order for the designed purpose it s wrong</t>
  </si>
  <si>
    <t>no i was saying what i thought about this quote.......
if euclid thinks the same than i understand how he comes to that conclusion :)</t>
  </si>
  <si>
    <t>Italian politics</t>
  </si>
  <si>
    <t xml:space="preserve">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   </t>
  </si>
  <si>
    <t xml:space="preserve">That isnt begging the question. </t>
  </si>
  <si>
    <t>I thought this was amazing.</t>
  </si>
  <si>
    <t xml:space="preserve">interesting video 
</t>
  </si>
  <si>
    <t xml:space="preserve">This guy certainly never took a geography lesson. I was also a little disappointed that he didn&amp;#39;t mention Elias or go on to talk perhaps more about exclusion </t>
  </si>
  <si>
    <t>He just cut to the chase.</t>
  </si>
  <si>
    <t xml:space="preserve">09:14 dark but I laughed. </t>
  </si>
  <si>
    <t>This was great, sheds light on the importance of Sociology going into the 21st century and how it will be important for matters of governance, commerce and more. Thank you Mr.Christakis!</t>
  </si>
  <si>
    <t>@&lt;a href="http://www.youtube.com/watch?v=wadBvDPeE4E&amp;amp;t=33m00s"&gt;33:00&lt;/a&gt; if a juicy piece of gossip was circulating... C pft i would rather be A and not hear it at all </t>
  </si>
  <si>
    <t>Pretty much. Sociology isn&amp;#39;t really hard to understand,  but it&amp;#39;s then social science that is the most fascinating.</t>
  </si>
  <si>
    <t>True, but I could not put this all together in such an organized fashion. I like seeing the patterns he discussed.</t>
  </si>
  <si>
    <t>Watched the whole video. This man seems smart and I don&amp;#39;t mean to discredit him, but I feel as though 3/4 of the information was common knowledge presented with fancy scientific titles. </t>
  </si>
  <si>
    <t>1880^(3.14159)-1935(e^ln(2sin3.14159)) = 75&lt;br&gt;The math to determine age is more complex than one might think.</t>
  </si>
  <si>
    <t>typo at &lt;a href="http://www.youtube.com/watch?v=wadBvDPeE4E&amp;amp;t=5m21s"&gt;5:21&lt;/a&gt; says 1880 </t>
  </si>
  <si>
    <t>no. we are all equal, so we should strive to be better in order to thrive.</t>
  </si>
  <si>
    <t>@jo br Exactly.</t>
  </si>
  <si>
    <t>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t>
  </si>
  <si>
    <t>it seams like we all should be equal and not have any aspirations to be better or achieve much in life. gosh now i feel depressed. </t>
  </si>
  <si>
    <t>Корисне відео про соціологію якою її бачать закордоном !!!</t>
  </si>
  <si>
    <t>This was a great introductory talk. It&amp;#39;s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t>
  </si>
  <si>
    <t>what is up with his neck?</t>
  </si>
  <si>
    <t xml:space="preserve">We can&amp;#39;t possibly know how many, if at all, suicides were prevented by installing nets to catch jumpers at the Eiffel Tower, etc., because there&amp;#39;s no way to count or know how many people, if any, simply changed their plan and ended their life by another method; note that people travel to SF from the world over to end their lives. </t>
  </si>
  <si>
    <t>What facts/evidence do you have to prove that suicide is egoism? What facts/evidence do you have to prove that you can&amp;#39;t take the note at its face?</t>
  </si>
  <si>
    <t>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 </t>
  </si>
  <si>
    <t>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gradially.&lt;br&gt;At &lt;a href="http://www.youtube.com/watch?v=wadBvDPeE4E&amp;amp;t=50m29s"&gt;50:29&lt;/a&gt; there is a typo, you should fix it.&lt;br&gt;Btw. the video was interesting and opened many topics to som of which I have yet to form an opinion. But first I ask myself what will form the opinon? What forms the mental model of the world in my head? Oh crap, I am not a good example becouse I am by no standard anywhere near the &amp;quot;mass&amp;quot;. In those nice drawings of networks, I would stand alone somewhere outside it having just a strange type of &amp;quot;one way&amp;quot; network where information flow just one direction - to me. Like when you just read books or watch youtube videos. Yes I can post a comment here, but who will read it? I suppose this could be an interesting research, these &amp;quot;one way&amp;quot; networks. You cannot talk with a book, you cannot talk with a youtube video. Even if I get a comment here, it surely will not be from the authors. And even if yes, which is less likely than winning a lottery, how long would our communication be? I am doing it again, imagining things just to live in my &amp;quot;shell&amp;quot; where I feel so good, you might think. I do not feel good, I hate myself but on the other hand it is the only thing how I can identify myself. A nice demonstration of such a stupid approach smashes ones self-esteem. Maybe if I would experience some real existential problems, but I have a job and a place to live. But nobody to share my thoughts with, partly becouse noboby listens - for a good reason as I am an idiot and becouse most people cannot give answers as they do not want to think about this. A forced answer is worthless and I feel bad when people give them, same with &amp;quot;white lies&amp;quot; - I do not want to hear them, they do not insult me, but they are simply not honest. Honestly is something I value most. Most people say that too. Again, writing posts for nobody, just for myself to feel bad again. Great. I need to sleep, this LOS (lack of sleep) is making me dumb. No wait, that is not it, I am equally stupid always. Mostly when I am left alone to think about stuff, it does not depend on how tired I am. And I am alone a lot more than other, normal people. Well, alone with those &amp;quot;one-way&amp;quot; networks. And I am obese and fat and I do not blame nor even see any correlation with the people I meet every day. It is just my pure ignorance and hatred towards myself with &amp;quot;there, no human female is interested in you, so they can not be interested even in fat, unattractive you&amp;quot; way. And I am also not interested anymore. I just write a rant like thise from time to time, just to reassure myself that nobody gives a fuck anyway. Becouse they are normal, not crazy stupid idiots like the one I see every morning in the mirror. Btw. suicide is not an option yet, my parents still live so do not worry. But you will not anyway.</t>
  </si>
  <si>
    <t> &lt;br&gt;if there&amp;#39;s any psychologists who are watching this video I was wondering when determining ones thoughts, character, personality, and/or etc what is the root being the most important all the way to the last developed of the list? I am doing a personal assignment to become better acquainted with myself and others.</t>
  </si>
  <si>
    <t>if only everyone would take a sociology class we would all understand each other better.</t>
  </si>
  <si>
    <t>​@Pinchi Bruha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t>
  </si>
  <si>
    <t>Very interesting especially coming from a non-sociological background</t>
  </si>
  <si>
    <t>I would like Dr. Christakis&amp;#39; take on the sociological &amp;#39;science&amp;#39; behind the religious influence towards corporations, policy makers/game changers that shape this society. The chart regarding interconnection for this will be the majority of &amp;#39;dots&amp;#39; at the bottom...many tiny dots and very few larger dots on top, of course. The question is;  How is this acceptable in a democratic society?&lt;br&gt;The answer cannot just be for the love of money and lust for power.</t>
  </si>
  <si>
    <t>Yes eric ziak because you assume your the only one who thinks lyk you.so that&amp;#39;s where you&amp;#39;ll stay in the outside.but saying it&amp;#39;s bad just don&amp;#39;t complain.</t>
  </si>
  <si>
    <t>this troll said &amp;quot;dike&amp;quot; on purpose instead of &amp;quot;dam&amp;quot;</t>
  </si>
  <si>
    <t>I believe the Poor and Indigent know that only too well; except their representation is nameless. </t>
  </si>
  <si>
    <t>No its social status which is assumed to be achieved by money because of capitalist ideas.</t>
  </si>
  <si>
    <t>The largest structure is Money and nobody knows it.</t>
  </si>
  <si>
    <t>Outstanding pitch ! Valuable distinctions articlated for people seeking to leverage the social capital for productive welfare societies of tommorow.</t>
  </si>
  <si>
    <t>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weren&amp;#39;t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won&amp;#39;t make a computer, you can model mathematically each atom in the transistor and know everything about it, but that won&amp;#39;t, alone, build a computer. </t>
  </si>
  <si>
    <t>Well sorry for my ignorance. I might have misinterpreted what he said about new characteristics arising from a collective perspective that weren&amp;#39;t there in the individuals in the same way as: psychology=individual and sociology=collective. And I didn&amp;#39;t know the topic of sociology he explained in the video had no basis in psychology. I am an outsider in humane and social sciences (i am more of a math and physics person) and not aware of their particularities. </t>
  </si>
  <si>
    <t>Now, that is the crux of Agent vs Structure debate. whether human agency or the structure around it is the more important causative factor in human behavior. From his arguments, it is readily apparent that he prefer the structural side.</t>
  </si>
  <si>
    <t>+prygler I&amp;#39;d like you to answer your own questions.</t>
  </si>
  <si>
    <t>@Dark Kinght Feanaro Heard about social psychology? It explains social behavior and group behavior. Sociology does not, because it can&amp;#39;t. Whenever sociology tries to explain behavior without psychology, then it goes into nonsense or becomes superficial (e.g. sociology can only give superficial explanations at best). Sociology is only really good at describing social processes and social tendencies.</t>
  </si>
  <si>
    <t>@Andra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agent?&lt;br&gt;&lt;br&gt;Tha agent vs. structure is a pretty stupid debate today, because it makes no sense, when we actually think about it in terms of what we actually know today about causation behind human behavior and mental life.</t>
  </si>
  <si>
    <t>+TickleMeElmo55 The short answer is that there is no such thing as agency in terms of consciousness making free decisions. In that sense, there is only structure. Genetic, physical, economic, psychological, social etc. structures. And these structures causes everything.</t>
  </si>
  <si>
    <t>I know for certain that human behavior as group is different as individual behavior. So Psycology takes care of individual matters and Sociology takes care of human groups</t>
  </si>
  <si>
    <t>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t>
  </si>
  <si>
    <t>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Don&amp;#39;t keep this to yourself, reach out for help. There are still good people who care!</t>
  </si>
  <si>
    <t>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t>
  </si>
  <si>
    <t>You still with us bruh?</t>
  </si>
  <si>
    <t>Are you still with us?&lt;br&gt;Despite agreeing with what u said, hate is actually a good tool to prevent suicide.</t>
  </si>
  <si>
    <t>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t>
  </si>
  <si>
    <t>Nat Herron May I ask what your are doing with your sociology bachelors now</t>
  </si>
  <si>
    <t>Same here, it really helps put everything into perspective&amp;gt; We need this more than ever but man if the collective madness hasn’t destroyed all reason</t>
  </si>
  <si>
    <t xml:space="preserve">Sociology is basically the study of people , whether it be grouped or isolated. This documentary is exactly what I was taught at college, and once I understood it all, I could implement it into my own life. I can&amp;#39;t wait to get back to my studies! It&amp;#39;s all so Fascinating! Great docu! </t>
  </si>
  <si>
    <t>@Car0line Adams lloll</t>
  </si>
  <si>
    <t>They just did. _xD83D__xDE42_</t>
  </si>
  <si>
    <t>The youtube algorithm is discouraging it  - because of social networks (funnily enough)</t>
  </si>
  <si>
    <t>@Chase Hughes _xD83D__xDE02_</t>
  </si>
  <si>
    <t>Me too, man.</t>
  </si>
  <si>
    <t>Me too. I listen as I doze off &amp;amp; most have too little content for that.</t>
  </si>
  <si>
    <t>@Car0line Adams pqr</t>
  </si>
  <si>
    <t>i know right</t>
  </si>
  <si>
    <t>Unfortunately, the attention span of the population is decreasing...</t>
  </si>
  <si>
    <t>Man I wish they still put these longer videos out!</t>
  </si>
  <si>
    <t>Can some professional help me for this question about CPM&lt;br&gt;&lt;a href="http://math.stackexchange.com/questions/1308713/clique-percolation-method-calculation"&gt;http://math.stackexchange.com/questions/1308713/clique-percolation-method-calculation&lt;/a&gt;</t>
  </si>
  <si>
    <t>amazing video</t>
  </si>
  <si>
    <t>Of course what we do depends on what others are doing around us. You generally have to know about something to do it. You don&amp;#39;t do stuff you don&amp;#39;t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don&amp;#39;t know about, i.e. have not seen somebody else do it.</t>
  </si>
  <si>
    <t>Um...this man was a biology major at Yale before getting an MD at Harvard, then a PhD in Soc. Therefore, he is the exact kind of intelligence you&amp;#39;re describing as superior. Keeping that in mind, the disparaging tone of your comment is illogical.</t>
  </si>
  <si>
    <t>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&amp;quot;30 worst college degrees&amp;quot; . Go ahead, Google it. &lt;br&gt;&lt;br&gt;Those degrees exist in order to keep retards paying tuition. Only about 10% of the population is actually smart enough to get a real degree. The rest get fake degrees, and act like they know something.</t>
  </si>
  <si>
    <t>Amazing</t>
  </si>
  <si>
    <t>Completely lost it at, &amp;quot;Oh shit. I don&amp;#39;t want to die.&amp;quot; lololol</t>
  </si>
  <si>
    <t>Awesome presentation.  School is in!  Thank you!</t>
  </si>
  <si>
    <t>great presentation</t>
  </si>
  <si>
    <t>+PhiloAmericana It&amp;#39;s quite sad.</t>
  </si>
  <si>
    <t>+Stefan Tallaj Rodriguez more specifically, he was reported second hand by his wife as having said on the topic of offensive halloween costumes, &amp;quot;just don&amp;#39;t look at them if it&amp;#39;s offensive&amp;quot;, or something similar to that remark based on what i can find. the rest of the overall e-mail seemed more or less innocuous but that was, quite frankly, a dumb suggestion because the point is not &amp;quot;it upsets me when i see it&amp;quot; but rather, that it forms a sociological structure that it&amp;#39;s damn near impossible to exist in. normally sociologists don&amp;#39;t need this stuff explained to them</t>
  </si>
  <si>
    <t>a horrible episode in the universities history! that was a very very shame chapter in human life :(</t>
  </si>
  <si>
    <t>He flirted with people on Halloween and refused to accept them as the people who they truly were (without costume and the roles on November 1st)</t>
  </si>
  <si>
    <t>Jk. I&amp;#39;m curious as well</t>
  </si>
  <si>
    <t>curiously, would somebody tell me what happened?</t>
  </si>
  <si>
    <t>@Mike Kane &amp;quot;In a nutshell&amp;quot; must be a coconut, i guess</t>
  </si>
  <si>
    <t>I&amp;#39;m sorry you&amp;#39;ve been so disrespected by the students at Yale.</t>
  </si>
  <si>
    <t>Sociology isn&amp;#39;t socialism.</t>
  </si>
  <si>
    <t>+saborfrancias sociology is a field of study, not an idiology. get your facts straight</t>
  </si>
  <si>
    <t>@*****&lt;br&gt;it&amp;#39;s a social science, deal with it.&lt;br&gt;&lt;br&gt;And tell me your definition of pseudoscience</t>
  </si>
  <si>
    <t>@MitchS The dogmas of sociology are marxists and freudian in its origin. </t>
  </si>
  <si>
    <t>He is a victim of his own ideology. Sociology is totally based on marxism and subversion.</t>
  </si>
  <si>
    <t>chris d yes! Super interesting!!</t>
  </si>
  <si>
    <t>excellent, very interesting thank you</t>
  </si>
  <si>
    <t>marteen cowan superrrr interesting! Totally agree</t>
  </si>
  <si>
    <t>loved it, very interesting thankyou!</t>
  </si>
  <si>
    <t>Thank you.</t>
  </si>
  <si>
    <t>OUR BIGGEST EXCUSE IS SOCIETY, WHAT USUALLY OTHER PEOPLE DO</t>
  </si>
  <si>
    <t>REALLY GREAT, GREAT, GREAT, GREAT TALK, THANK U SO MUCH, I WOULD LIKE TO KNOW AND TO GET MORE RESOURCES WHERE I COULD LEARN AND PUT IN PRACTICE ALL THESE IDEAS COMMENTED HERE</t>
  </si>
  <si>
    <t>lol :D</t>
  </si>
  <si>
    <t>Creating a home comes from social networks and influence....</t>
  </si>
  <si>
    <t>Ah. Got it.</t>
  </si>
  <si>
    <t>@007sting its a joke dude. Look up Christakis yale halloween</t>
  </si>
  <si>
    <t>IT&amp;#39;S NOT ABOUT SOCIAL NETWORKS AND INFLUENCE, IT&amp;#39;S ABOUT CREATING A HOME!</t>
  </si>
  <si>
    <t>José Yánez agree! Great video and information!</t>
  </si>
  <si>
    <t>Great talk, thank you.</t>
  </si>
  <si>
    <t>What about the people who kill themselves in such a way that once they have started the action they can&amp;#39;t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t>
  </si>
  <si>
    <t>except for the removal of more forests!</t>
  </si>
  <si>
    <t>David Esteban Rojas Ospina yes! Sociology is very interesting!!</t>
  </si>
  <si>
    <t>Durkheim all over the place, damn, i love sociology so much. Best choice of my life.</t>
  </si>
  <si>
    <t>O l i v e r ! Wow that actually makes a lot of sense</t>
  </si>
  <si>
    <t>&lt;a href="http://www.youtube.com/watch?v=wadBvDPeE4E&amp;amp;t=06m20s"&gt;06:20&lt;/a&gt; - I often relate income inequality to social inequality (social inclusion).&lt;br&gt;Like income inequality, where the rich get richer and the poor get poorer, &lt;br&gt;the same can be said about social inequality.&lt;br&gt;&lt;br&gt;For example, moving to a new city can be trying, as securing new friend groups can be difficult.&lt;br&gt;Further, people who have large friend groups, are inherently uninterested in someone without, &lt;br&gt;because there is less incentive for networking opportunities.&lt;br&gt;&lt;br&gt;I find it hypocritical when people who present themselves &lt;br&gt;as warm or caring, fail to &amp;quot;invite out&amp;quot; the new guy/girl, or anyone with few friends.&lt;br&gt;...It&amp;#39;s metaphorically reminiscent of a &amp;quot;social&amp;quot; Scrooge Mc.Duck.</t>
  </si>
  <si>
    <t>&lt;a href="http://www.youtube.com/watch?v=wadBvDPeE4E&amp;amp;t=28m20s"&gt;28:20&lt;/a&gt; I have to say that the way he talks about what essentially is patterns in society is creepy, from a goverment point of view it serves a good purpose to think about &amp;quot;us&amp;quot;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t>
  </si>
  <si>
    <t>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t>
  </si>
  <si>
    <t>Very fascinating video!! Love it</t>
  </si>
  <si>
    <t>Än SCHWOTZEN BILDSCHÖM HOB ISCH1</t>
  </si>
  <si>
    <t>Whoa! Mind blown!</t>
  </si>
  <si>
    <t>San Francisco is a killer, if you don&amp;#39;t die from the AIDS you die from depression.</t>
  </si>
  <si>
    <t>These are all capitalist models, modalities found in the context of capitalism. Sociology doesn&amp;#39;t reveal any rational or actionable items to improve, its like a subset of journalism a form of storytelling with cool graphics generated by a computer. That&amp;#39;s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&amp;#39;personal agency&amp;#39;  to buy a Pied à terre in NYC and he has to write lots of crap to generate enough book sales to live. Sociology as its presented is the study of systems of submission and domination, and the way sapiens oscillate between the two extremes. Not a fan of sociology.</t>
  </si>
  <si>
    <t>So are you from the Floating University (FU)? If so, you have any branches in Central Kansas (CK)?</t>
  </si>
  <si>
    <t>As you go through life never loose the good fiends you meet After the death of a friend, healing in a human social network</t>
  </si>
  <si>
    <t>This is an extremely fascinating introduction to the subject!</t>
  </si>
  <si>
    <t>I have 0 friend.</t>
  </si>
  <si>
    <t>the transition sound is tweaky :v</t>
  </si>
  <si>
    <t>This is awesome&lt;br&gt;&lt;a href="https://youtu.be/K2OkFNaGWlw"&gt;https://youtu.be/K2OkFNaGWlw&lt;/a&gt;</t>
  </si>
  <si>
    <t>Sorry to nitpick: at &lt;a href="https://www.youtube.com/watch?v=wadBvDPeE4E&amp;amp;t=5m11s"&gt;5:11&lt;/a&gt; Charlotte Perkins Gilman lived from 1860-1935, not 1880.</t>
  </si>
  <si>
    <t>&lt;a href="http://www.youtube.com/watch?v=wadBvDPeE4E&amp;amp;t=5m00s"&gt;5:00&lt;/a&gt;</t>
  </si>
  <si>
    <t>&lt;a href="http://www.youtube.com/watch?v=wadBvDPeE4E&amp;amp;t=20m00s"&gt;20:00&lt;/a&gt;</t>
  </si>
  <si>
    <t>&lt;a href="http://www.youtube.com/watch?v=wadBvDPeE4E&amp;amp;t=25m00s"&gt;25:00&lt;/a&gt;</t>
  </si>
  <si>
    <t>&lt;a href="http://www.youtube.com/watch?v=wadBvDPeE4E&amp;amp;t=30m00s"&gt;30:00&lt;/a&gt;</t>
  </si>
  <si>
    <t>&lt;a href="http://www.youtube.com/watch?v=wadBvDPeE4E&amp;amp;t=35m00s"&gt;35:00&lt;/a&gt;</t>
  </si>
  <si>
    <t>&lt;a href="http://www.youtube.com/watch?v=wadBvDPeE4E&amp;amp;t=34m48s"&gt;34:48&lt;/a&gt;</t>
  </si>
  <si>
    <t>&lt;a href="http://www.youtube.com/watch?v=wadBvDPeE4E&amp;amp;t=36m00s"&gt;36:00&lt;/a&gt;</t>
  </si>
  <si>
    <t>&lt;a href="https://www.youtube.com/watch?v=wadBvDPeE4E&amp;amp;t=10m00s"&gt;10:00&lt;/a&gt;</t>
  </si>
  <si>
    <t>&lt;a href="https://www.youtube.com/watch?v=wadBvDPeE4E&amp;amp;t=26m00s"&gt;26:00&lt;/a&gt;</t>
  </si>
  <si>
    <t>&lt;a href="https://www.youtube.com/watch?v=wadBvDPeE4E&amp;amp;t=30m00s"&gt;30:00&lt;/a&gt;</t>
  </si>
  <si>
    <t>&lt;a href="https://www.youtube.com/watch?v=wadBvDPeE4E&amp;amp;t=34m00s"&gt;34:00&lt;/a&gt;</t>
  </si>
  <si>
    <t>&lt;a href="https://www.youtube.com/watch?v=wadBvDPeE4E&amp;amp;t=36m00s"&gt;36:00&lt;/a&gt;</t>
  </si>
  <si>
    <t>The words of the wise are like oxgoads,  and their collected sayings are like firmly embedded nails; they have been given from one shepherd.  As for anything besides these, my son, be warned: To the making of many books there is no end, and much devotion to them is wearisome to the flesh.</t>
  </si>
  <si>
    <t>Thanks for the lecture, was wonderful. and also it let me learn new vocabulary to my TOEFL test</t>
  </si>
  <si>
    <t>Wow no idea this was about suicide</t>
  </si>
  <si>
    <t>&lt;a href="https://www.youtube.com/watch?v=wadBvDPeE4E&amp;amp;t=14m36s"&gt;14:36&lt;/a&gt;-&lt;a href="https://www.youtube.com/watch?v=wadBvDPeE4E&amp;amp;t=15m00s"&gt;15:00&lt;/a&gt;</t>
  </si>
  <si>
    <t>Really good lecture</t>
  </si>
  <si>
    <t>NJRDYMIRFDADD</t>
  </si>
  <si>
    <t>One of my favority topics... I have a general down to earth youtube series on sociology that I just started. I love this topic and by no means am I as eficient as those with PhD&amp;#39;s and such. But I graduated with my BA with honors and I have been fascinated with sociology every sense I took my first course... got my MA in psychology and would love my Phd in social psychology...</t>
  </si>
  <si>
    <t>From neutral point of view,he gave,I suppose,explanation for notion of social change.Christakis,indeed,is not purposefully urging to change but subtly referring that it is high time to take  structural reforms</t>
  </si>
  <si>
    <t>Hello minivanjack.&lt;br&gt;&lt;br&gt;I appreciate the way that you are observing the irrationality of the presenter&amp;#39;s mindset and concepts, and the general irrationality of many so-called &amp;quot;social sciences&amp;quot;.   &lt;br&gt;&lt;br&gt;You commented on one of the most central and meaningful aspects of this topic, and I think you correctly see that many people who obtain these specialty credentials in order to teach or write books or advise on public policy are too blind or too intellectually impaired (or both) to understand the consequences of their own premise.  You noticed it and described it very well.&lt;br&gt;&lt;br&gt;I have a simple personal policy that I apply whenever a social science egomaniac or nosy neighbor or pious preacher attempts to &amp;quot;parent&amp;quot; me or try to take control of my thinking or my values.   I listen patiently to what they have to say, and then I summarize their proposal while flipping the roles.&lt;br&gt;&lt;br&gt;&amp;quot;It appears that you wish to impose your views and preferences about life onto me.  You are endorsing and prescribing several tenets of collecitvism, and you are trying to judge me negatively if I don&amp;#39;t agree with your subjective interpretation of things.  Since you approve of your own attempt to try to parent me as a fellow adult, we can assume that you approve of me taking the same action first against you.   Certainly if you think it&amp;#39;s OK for you to do it to me, then you will see it as fair for me to do it to you also.   I&amp;#39;ll start by telling you a few of the first things that I want you to begin thinking, doing, and valuing, and then you must follow my instructions and replace your own independent judgment with my guidance of your behaviors.  Are you ready to get started?&amp;quot;&lt;br&gt;&lt;br&gt;A second policy I have is that I ask the person:  &amp;quot;Are you actually using your own teaching in your own behaviors?&amp;quot;   I find it is usually the case that such people do not even follow their own advice, and they do not even practice their own claimed beliefs.   &lt;br&gt;&lt;br&gt;An example of this is how some famous people advocate for defunding police or removing private gun ownership, but they employ one, or two, or ten private security people who carry loaded weapons to protect them and their families.</t>
  </si>
  <si>
    <t>I find your post provocatively interesting.... I highly agree with parts and disagree with others.  Mainly, some sociological processes are reactive...</t>
  </si>
  <si>
    <t>&amp;quot;By changing the (social) structure, you can change the individual.&amp;quot; ... Since when is &amp;quot;changing the individual&amp;quot; a valid or constructive goal? This presumes that some individual may decide how other individuals must &amp;quot;change.&amp;quot;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&amp;quot;changing people&amp;quot; is sociopathic and narcissistic insanity, no more, no less. I took college level sociology classes in the early 1970&amp;#39;s. It was not about &amp;quot;changing&amp;quot; society, it was about understanding society. Studying it, not &amp;quot;correcting it.&amp;quot; So the field of Sociology has been claimed and corrupted to become a &amp;quot;tool&amp;quot; to bend society into some desired model for the benefit of the elite or the state under the now &amp;quot;acceptable&amp;quot; concept of &amp;quot;social engineering&amp;quot;. After all, if you can&amp;#39;t manipulate people with something, why study it?</t>
  </si>
  <si>
    <t>Siocology failed.</t>
  </si>
  <si>
    <t>What a great video. So organized. So easy to follow.</t>
  </si>
  <si>
    <t>Love this lecture. Great work!</t>
  </si>
  <si>
    <t>Aaaaa to sabendo legal em inglês... Youtude lixo nem pra colocar uma legenda mínima ao vídeo</t>
  </si>
  <si>
    <t>Treatment of pneumonia in 10 minutes using the phone.&lt;br&gt;&lt;br&gt;Hello!&lt;br&gt;How are you?&lt;br&gt;I invented an amazing thing ....&lt;br&gt;A videofile that treats for a variety of respiratory diseases!&lt;br&gt;I hope that it will be useful to you or your relatives.&lt;br&gt;If you do not mind, subscribe to my channel ....&lt;br&gt;And when you are convinced of its effectiveness, be so kind as to put a like.&lt;br&gt;Best wishes! Evgeny&lt;br&gt;&lt;a href="https://www.youtube.com/watch?time_continue=2&amp;amp;v=TTNdcgQjvfM"&gt;https://www.youtube.com/watch?time_continue=2&amp;amp;v=TTNdcgQjvfM&lt;/a&gt;</t>
  </si>
  <si>
    <t>&lt;a href="https://www.youtube.com/watch?v=wadBvDPeE4E&amp;amp;t=15m00s"&gt;15:00&lt;/a&gt; Collective reality and the power of social networks</t>
  </si>
  <si>
    <t>The best talk I&amp;#39;ve listened so far..</t>
  </si>
  <si>
    <t>the suicide notes though lol...sounds like justifying the act than the moral</t>
  </si>
  <si>
    <t>Amazing talk, so fascinating!</t>
  </si>
  <si>
    <t>Almost at the end of the presentation, what is noteworthy to me is that, there are still yet 119 individuals that &amp;#39;dislike&amp;#39; its contents; whereas though, there are 4.2K that &amp;#39;liked&amp;#39; it.  This, in and of itself, shows how varied individuals are.</t>
  </si>
  <si>
    <t>&lt;a href="https://www.youtube.com/watch?v=wadBvDPeE4E&amp;amp;t=40m20s"&gt;40:20&lt;/a&gt;</t>
  </si>
  <si>
    <t>Just wow. An insightful piece. As a fan of the hard sciences this video has drawn me closer to social science.</t>
  </si>
  <si>
    <t>LETHARGISM = MASS SUICIDE SOCIAL ÷ POPULAR BELIEF.&lt;br&gt;-new age ETHEREAL. NWO. astral projection.&lt;br&gt;#6,5150,192865. sanity plea deal.&lt;br&gt;she: does he want to eat my arm?.&lt;br&gt;he: why isnt she walking me to get a cup of water?.( is she staring at me).</t>
  </si>
  <si>
    <t>Isnt the air more valuable? you the trees regulate carbon ? im not an expert but trees do clean the air right?</t>
  </si>
  <si>
    <t>&lt;a href="https://www.youtube.com/watch?v=wadBvDPeE4E&amp;amp;t=5m16s"&gt;5:16&lt;/a&gt; 75 years-old when she took her life, yet she died at the age of 55 (1880 - 1935), huh?</t>
  </si>
  <si>
    <t>he is starting to talk about Memetics</t>
  </si>
  <si>
    <t>Teaching, explained. Thank you</t>
  </si>
  <si>
    <t>Sociology is awesome!</t>
  </si>
  <si>
    <t>So all these words just to say google and facebook are good that they are stealing all our habits and interests.  I only see the analytical information being used to sell more stuff not to make everyone healthy.  I came here for answers dammit!  lol.</t>
  </si>
  <si>
    <t>I recommend that instead of watching this video you watch &amp;quot;All is lost&amp;quot; with Robert Redford.  You&amp;#39;ll learn much more about life.</t>
  </si>
  <si>
    <t>i dont think these defintions will stand the test of time</t>
  </si>
  <si>
    <t>That&amp;#39;s the rail network of Britain. Not England. The mold got that and covered all 3 countries on that island. You covered 1. That  a 3-1 win for the mold.</t>
  </si>
  <si>
    <t>The information is insightful, but this guy doesn&amp;#39;t seem human. Forgive me whatever you are...you sound like a robot or something.</t>
  </si>
  <si>
    <t>Slow down a bit, add some pause and audience laughter, and this guy could maybe do stand-up comedy :!</t>
  </si>
  <si>
    <t>O mestre de Yale não foi escutado</t>
  </si>
  <si>
    <t>E O CRISTÁKENS?????????????</t>
  </si>
  <si>
    <t>The content of this channel is awesome but the sound effects are really really annoying! Better if there is none of that.</t>
  </si>
  <si>
    <t>&lt;a href="https://www.youtube.com/watch?v=wadBvDPeE4E&amp;amp;t=10m20s"&gt;10:20&lt;/a&gt; “he instantly realized” because the demon attacking him for yrs fled after the deception worked and the gates of hell thought there was a new reservation. After this demon fled the creature came to himself instantly and realized thus indeed there had been some error. Or con here. Something isent right I change my mind I do not wish to die. But his mind didn’t change anything. The demonic attack finally stopped in that space of time. The creature had their first breath of fresh air in a long time then it registered clearly blatantly emphatically in the back of his mind in his opinion from his subjective “ive been deceived”!!! What do I do now???&lt;br&gt;Hope this helps shalom</t>
  </si>
  <si>
    <t>I wonder what professor meant when he said &lt;a href="https://www.youtube.com/watch?v=wadBvDPeE4E&amp;amp;t=13m00s"&gt;13:00&lt;/a&gt; “suicide barrier doesn’t provide any real help when the board don’t implement toll revenue purpose”&lt;br&gt;WHAT???&lt;br&gt;&lt;br&gt;Does he mean that safety net hasn’t been built at all cause there’s no money??</t>
  </si>
  <si>
    <t>Why would you want to strip my agency? I believe in the Japanese way. When shtf, I will buy my own ticket. Got a plan and everything.</t>
  </si>
  <si>
    <t>&amp;quot;Mas você não ouviu o seu mestre de Yale, o Nicholas Cristákens&amp;quot;</t>
  </si>
  <si>
    <t>This is one of the best channels on YouTube by far. Keep it up guys!!</t>
  </si>
  <si>
    <t>It was a very useful introduction to social networks studies in sociology. Great Job! Thanks.</t>
  </si>
  <si>
    <t>the captions on this video are all sorts of messed up ToT</t>
  </si>
  <si>
    <t>Fantastic as always. Loved the pic of the Catalan Castellers</t>
  </si>
  <si>
    <t>There&amp;#39;s an obvious reason for obese people to &amp;quot;cluster&amp;quot;. With the general social disapproval of obesity (inherent in Nicholas Christakis&amp;#39; medicalised framing of the issue) obese people are likely to befriend other obese people as they&amp;#39;re not likely to lecture them or judge them.</t>
  </si>
  <si>
    <t>How much $ did you waste on your ridiculous studies ?&lt;br&gt;Gives you something to do doesn’t it. You sociologists do &lt;br&gt;SO many studies , but so little answers. If any , at all…..&lt;br&gt;FRAUDIAN psychology….</t>
  </si>
  <si>
    <t>Holographic Modulation Mechanism interference positioning.&lt;br&gt;&lt;br&gt;Obsession with imminent death by Nuclear Weapons and the display of irresponsibility by those who control them could have the result of political disruption, mutual accusations and suppression of facts about the obvious decline of mutual respect and support that characterised Democracy.  The natural predator-prey balance favours those who keep up general fearfulness, and the average person who is under duress compensates by defensive consumption. It&amp;#39;s an incurable disease when the action is irresponsible denialist SILENCE.&lt;br&gt;&lt;br&gt;Who in their own-shared mind does not know this? Sociology is one interpretation of holographic connection cause-effect, much like the mechanism of a string of chemical bonding resonances exhibited by the Slime Mould, defaulting to a state of least energy.., temporal superposition trajectory.</t>
  </si>
  <si>
    <t>The cause of Ron R. Berst&amp;#39;s distress was an unnatural choice of sexual gratification...&lt;br&gt;Aren&amp;#39;t you glad you&amp;#39;re straight...???</t>
  </si>
  <si>
    <t>Excellent</t>
  </si>
  <si>
    <t>The whole idea the doctor said: all things with which we commonly confront is closely linked to each other, which is quite interdependently connected being as nature that has a inter-chained network with each factors, regardless of land, sky, and sea. Thereby, I realize that comparing nature to civilization may has a thing that we, humankind, as a part of nature, affect complementarily.</t>
  </si>
  <si>
    <t>The terms &amp;quot;socio-topological&amp;quot; and &amp;quot;hypersurface&amp;quot; are correct and their meaning is less complicated than it seems. &amp;quot;Socio&amp;quot; is social; &amp;quot;Topological&amp;quot; is means &amp;quot;what is important is how people are connected not where they are&amp;quot; - like our friends on facebook, it doesn&amp;#39;t matter where they are (they might be on a trip) but their connection to us remains fixed. Hypersurface is any surface described by for or more variables - if each person is one variable (body mass index) a surface may be created and it will have 4 or more variables. In the US, Sociology is very much data driven (a positive aspect) but there are other aspects of it that aren&amp;#39;t. Sociology was created by three people and they created three different method of analysis: Èmille Durkheim, Max Weber and Karl Marx. &lt;br&gt;&lt;br&gt;A toroidal surface has no edge ...&lt;br&gt;&lt;br&gt;Look for the Cliff Stol video on Numberphile about the &amp;quot;7 bridges of Konigsberg&amp;quot; problem.</t>
  </si>
  <si>
    <t>I almost wrote one of those letters</t>
  </si>
  <si>
    <t>Hmm maybe having both parents working and having people living hand to mouth has had a detrimental effect on community society family and health</t>
  </si>
  <si>
    <t>I got goosebumps reading those suicide letters. Those are very respectable.</t>
  </si>
  <si>
    <t>I love these lectures. I need more.</t>
  </si>
  <si>
    <t>Very interesting lecture!  I couldn&amp;#39;t help relating a lot of these concepts to what we&amp;#39;re dealing with now with the pandemic.  Really helps put it in perspective.</t>
  </si>
  <si>
    <t>The dead is a negative phenomenon, which, I already made it as in joying matter, so those people’s who jumps, they’re not alive now, otherwise they never jumped from that bloody bridge, and if we makes the people aware of their values and inform them why they are here, and what’s their duties, then they never thought to taken their lives by themselves!</t>
  </si>
  <si>
    <t>We should help them. Some Ppl can&amp;#39;t live with the    anguish life piles on top of the shit deposited previously. Eventually air isn&amp;#39;t able to peneteate the piled shit. Society would be better off if these Ppl were just allowed to be allowed relief. There could doctors who administer &amp;quot;social protecttion&amp;quot; drugs. Then we wouldn&amp;#39;t to worry suicide statistics. It should be viewed as a societal investment opportunity. Sometimes a person wants to make the world a better place by removing a societal cancer before its allowed to spread its wings. Instead of being vilified, we should be celebrated. Addition by subtraction. Instead we are forced to be the social protectors, but considering most of us are failures, the dregs of humanity, it becomes just another thing we do wrongful. We need that guarantee. Help us help you by making the path well lit with ample signs clearly directing the correct path forward..&lt;br&gt;&lt;br&gt;Please. Please. Please. I desperately need you to help me make your lives better. You deserve better! I&amp;#39;m a failure and I&amp;#39;m going to  fuck it up, guaranteed. I desperately need to not n4d a second try.... And not be too painful. Please. I&amp;#39;m thinking of you, please reciprocste that.&lt;br&gt;I can&amp;#39;t breathe anymore. It&amp;#39;s time to go. It shouldn&amp;#39;t be a crime to seek relief. Capitalists should not care anyway. I will burnn for eternity and no longer be e   burden on society. Burden on you. Your unnecessary burden dragging you down, hurting you. Help society cure its csncer</t>
  </si>
  <si>
    <t>First part on social network, holism, emergence and social life as superior order being was perfect ! Thanks you Nicholas Christakis and Big Think ! BUT, as you know, in complexe network, new propriety appears were some others disappears, and that affect the concept of &amp;quot;capital&amp;quot; you talk in your second part. With that in mind, it&amp;#39;s seem capital make you more productive on certain points and less on others.  As exemple, violon can make music but it can&amp;#39;t be a home for life like a tree. Same type of things happen for humans and social relations.</t>
  </si>
  <si>
    <t>This guy&amp;#39;s intellectually honest. Awesome!&lt;br&gt;He&amp;#39;s apparently just honest, based on his personal story.&lt;br&gt;Remarkable.&lt;br&gt;More intellectually honest folks, please.</t>
  </si>
  <si>
    <t>Finally, truly Big Thinking!&lt;br&gt;I&amp;#39;m so impressed!!!!</t>
  </si>
  <si>
    <t>Very enlightening.&lt;br&gt;Very clear.&lt;br&gt;Well organized and complete.</t>
  </si>
  <si>
    <t>I used to feel the same way. I know you mean well and operate in good faith. But I am confident that you are wrong all around. I am happy to talk this out if you would like</t>
  </si>
  <si>
    <t>What alternative idea?</t>
  </si>
  <si>
    <t>By understanding this concept,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And yes, I do have an idea for an alternative system.</t>
  </si>
  <si>
    <t>This theme is interesting but your explanation runs so fast.  Wkwkwk</t>
  </si>
  <si>
    <t>Great teacher</t>
  </si>
  <si>
    <t>So clicky sounding!</t>
  </si>
  <si>
    <t>Ugh! the sound effects on these videos… are not great!</t>
  </si>
  <si>
    <t>Então esse é o mestre de Yale Cristákens</t>
  </si>
  <si>
    <t>Suicide is an individual act, and has nothing to do with society. You can not link these two together, society is fragmented and this is the real problem. You are blaming the individual but it is the fault of society, government and the multinational corporations which is the true evil in our culture. I am fortune I do not believe very little of what these corporate minions or the media preach as fact. The reality tells us quite a different story.</t>
  </si>
  <si>
    <t>Lol, when he said &amp;quot;Facebook and MySpace&amp;quot;, I had to check out the upload date of the video :D</t>
  </si>
  <si>
    <t>This guy is obviously not a friend of trees...</t>
  </si>
  <si>
    <t>&lt;a href="https://www.youtube.com/watch?v=wadBvDPeE4E&amp;amp;t=0m31s"&gt;0:31&lt;/a&gt;</t>
  </si>
  <si>
    <t>&lt;a href="https://www.youtube.com/watch?v=wadBvDPeE4E&amp;amp;t=1m59s"&gt;1:59&lt;/a&gt;</t>
  </si>
  <si>
    <t>&lt;a href="https://www.youtube.com/watch?v=wadBvDPeE4E&amp;amp;t=10m08s"&gt;10:08&lt;/a&gt;</t>
  </si>
  <si>
    <t>&lt;a href="https://www.youtube.com/watch?v=wadBvDPeE4E&amp;amp;t=16m03s"&gt;16:03&lt;/a&gt;</t>
  </si>
  <si>
    <t>&lt;a href="https://www.youtube.com/watch?v=wadBvDPeE4E&amp;amp;t=24m16s"&gt;24:16&lt;/a&gt;</t>
  </si>
  <si>
    <t>Failed probability and statistics.</t>
  </si>
  <si>
    <t>Brilliant</t>
  </si>
  <si>
    <t>How did I not see this awesome video for 8 years!!</t>
  </si>
  <si>
    <t>What books to read after this lecture?? Any recommendations</t>
  </si>
  <si>
    <t>He should be perfect for helping to stop disinformation. I read his book back then. He should write another.</t>
  </si>
  <si>
    <t>Omg the sound effects are so annoying!</t>
  </si>
  <si>
    <t>Nice</t>
  </si>
  <si>
    <t>not impressed</t>
  </si>
  <si>
    <t>_xD83D__xDC26_</t>
  </si>
  <si>
    <t>sorry man, but muffins goes pretty good with lagger beer :) . Nice video :)</t>
  </si>
  <si>
    <t>Big Think is the best channel ever.</t>
  </si>
  <si>
    <t>So, perhaps if suicide were legal there would be more social restraints in place for individuals contemplating it, and more lives would be saved?</t>
  </si>
  <si>
    <t>She was 75 years old when she took her life. Amazingly she had already been dead 20 years.</t>
  </si>
  <si>
    <t>“God is dead, because we killed him”&lt;br&gt;Nietzsche&lt;br&gt;“Nietzsche is dead, because God killed him” &lt;br&gt;God &lt;br&gt;_xD83E__xDD23_</t>
  </si>
  <si>
    <t>Still waiting to hear something on private and public , fantasy and reality, and they ways these aspects of the person have now blured in our pursuite of data. This lecture is based on the theory for these system, there&amp;#39;s nothing on the study of errors in this area. Practice is just assumed to match theory. Data is always assumed to reflect a world ordered on truth, where in reality data can and will be manipulated, falsely attributed. Data reflects our nature and can and will be deceptive. GIGO. Pity those on the other end of our drones.</t>
  </si>
  <si>
    <t>Dando Boura</t>
  </si>
  <si>
    <t>Wow, this is really needed now in the time of Covid….&lt;br&gt;And how sad that no one cares enough to check on a man standing on a bridge, we are a callous bunch.</t>
  </si>
  <si>
    <t>To whoever came up with the idea of these talk, I thank you. These are amazing, knowledge filled videos on youtube for free, for anyone to see.  That&amp;#39;s absolutley amazing. Thank you for posting them.</t>
  </si>
  <si>
    <t>retired surgeon, I only killed one person at a time this guy sounds like MAO  how did that work out Change on a colossal scale who are you MERLIN? No. Then do not apply your delusion is lethal.</t>
  </si>
  <si>
    <t>“I would cut class and go do surgery at the children’s hospital” &lt;br&gt;&lt;br&gt;Um that’s unsettling LOL</t>
  </si>
  <si>
    <t>I hope this helps me build my own social network line, for the history books _xD83D__xDCDA_ within mind.</t>
  </si>
  <si>
    <t>Yea people need to learn this</t>
  </si>
  <si>
    <t>1/1/2022, For obesity, Plot amounts of all forms of sugar in US food, starting with Richard Milhouse Nixon. Your obesity over time graph might make far more sense if you focused on a metabolic causal factor like blood glucose and insulin causing the body to store fat. See work by Dr. Lustig, UCSF.&lt;br&gt;A tree is not dead until you kill it. A forest with its mycelial undergrowth may be more sentient than you believe and far more valuable alive removing atmospheric CO2, than as cheap lumber.&lt;br&gt;What did Trumpism do to social capital from 2014 to 1/6/2020?&lt;br&gt;Public Good is hardly ever an accident. Most Public Good was intentional in its fabrication and took a grea deal of work to actualize.&lt;br&gt;Your social monitoring helicopters developed into the social tyranny of cell phones and 24/7/365 monitoring destroying personal privacy and agency because no ethics were ever applied, just like the absence of saftey nets on the Golden Gate Bridge.&lt;br&gt;What people need to understand is how greed and pervasive capitalism are destroying ecosystems all over the planet and threatening all life on it. &lt;br&gt;Natural resources have inherent value in their own existance prior to their destruction or modification for capital gains.&lt;br&gt;Nicholas, you are a very bright man but some of your core assumptions shock me.</t>
  </si>
  <si>
    <t>Damn</t>
  </si>
  <si>
    <t>If there is any right at all in this world,it is the right to take your own life away.society or government have no right to prevent you from exercising your fundamental right to own your own life.and if there is God,still that is between you and him,and if there is no God than it is ultimatelly your own making..neverthless, it is not government job to tell you what should you do with your own life..right for life,liberty and property..does anybody remember that this days?</t>
  </si>
  <si>
    <t>Thanks for only fans guys. They wouldn&amp;#39;t have made it without you.</t>
  </si>
  <si>
    <t>I&amp;#39;m surprised there aren&amp;#39;t more comments. It makes me think we have a long way to go. Social responsibility takes a lot of extra energy when you think about it. I constantly  make decisions on who to connect with and who to ignore .</t>
  </si>
  <si>
    <t>I would say this is a great topic, most individuals if they had someone to talk to and just cared at that acute time I believe might be enough.</t>
  </si>
  <si>
    <t>_xD83D__xDC8E_</t>
  </si>
  <si>
    <t>That&amp;#39;s literally what the scientific method is. You start with your idea and then you seek to conduct research and collect evidence that would hopefully prove you right, but sometimes it doesn&amp;#39;t. He admits that their initial hypothesis was incorrect once they analyzed the data, that&amp;#39;s not assuming a predetermined reality.</t>
  </si>
  <si>
    <t>Can you explain to us how this does not include significant P-Hacking?</t>
  </si>
  <si>
    <t>@James Powers I think science is more like observation, measurement, pattern recognition, repeat...  If you start getting &amp;quot;ideas,&amp;quot; then you are off into science fiction rather than science.</t>
  </si>
  <si>
    <t>This started out with a statement that they were &amp;quot;searching for evidence that would prove...&amp;quot;  &amp;quot;Searching for evidence of something&amp;quot; doesn&amp;#39;t sound like the scientific method.  It seems to have a motive.  I agree with Americans losing weight for health reasons, but explain how this follows the scientific method and does not assume a pre-determined reality.</t>
  </si>
  <si>
    <t>&lt;a href="https://www.youtube.com/watch?v=wadBvDPeE4E&amp;amp;t=39m15s"&gt;39:15&lt;/a&gt; how to use slime mold to determine the best routing for railways in England.</t>
  </si>
  <si>
    <t>Apt for COVID times</t>
  </si>
  <si>
    <t>the way he reads those suicide notes is eerie</t>
  </si>
  <si>
    <t>YOU ARE BRILLIANT. THANK YOU FOR SHARING.</t>
  </si>
  <si>
    <t>Video start at &lt;a href="https://www.youtube.com/watch?v=wadBvDPeE4E&amp;amp;t=16m00s"&gt;16:00&lt;/a&gt;</t>
  </si>
  <si>
    <t>I should&amp;#39;ve studied sociology</t>
  </si>
  <si>
    <t>I can’t stand this evil taboo on suicide. If someone’s life is so hellish that they choose to end it:stuff your judgement. In Religion, they told us God forgives every other evil, Hitler, satan, whoever, BUtT NOT a suicide… because you can be forgiven for anything BEFORE you die, but, 0.00001 seconds later it’s too late to be forgiven; even thought you are the exact same person AFTeR you die l for all eternity&lt;br&gt;Also, you can drink and drive, join the army, eat til you’re obese, BUTT, it’s not suicide unless life has been so unbearable that you jump off a bridge&lt;br&gt;LEAVE THE BRIDGE ALONE! Suicide prevention should be preventative! Not evil and authoritarian &lt;br&gt;I.E. / E. G. : Outlaw Alcohol and Prescription Heroin products . All lives Improve/ suicide rates drop…</t>
  </si>
  <si>
    <t>memes</t>
  </si>
  <si>
    <t>good lecture , well presented research</t>
  </si>
  <si>
    <t>That is not what &amp;quot;transitivity&amp;quot; is .</t>
  </si>
  <si>
    <t>I was wrong ; this was not fully researched . You have not learned the proper denotative definitions of the vocabulary words used by the mathematicians and sociologists who originated those definitions .</t>
  </si>
  <si>
    <t>That&amp;#39;s not England that&amp;#39;s Great Britain.</t>
  </si>
  <si>
    <t>Interesting</t>
  </si>
  <si>
    <t>Sheep all wear ripped jeans and now everyone has tattoos _xD83E__xDD23__xD83D__xDE02__xD83E__xDD23__xD83D__xDE02_&lt;br&gt;And the feel cool and rebellious._xD83E__xDD23__xD83D__xDE02__xD83E__xDD23_</t>
  </si>
  <si>
    <t>You need to study why those that do Yoga over time almost never join your obesity network</t>
  </si>
  <si>
    <t>How hasn&amp;#39;t the government put the nets yet? It&amp;#39;s a sizable port city</t>
  </si>
  <si>
    <t>Encouragement? _xD83E__xDD14_</t>
  </si>
  <si>
    <t>The dike analogy is perfect! That’s how I switched from psychology to sociology</t>
  </si>
  <si>
    <t>Man it&amp;#39;s insane! Are you in Matrix?</t>
  </si>
  <si>
    <t>Omg. If you&amp;#39;re having trouble sleeping, put this on.</t>
  </si>
  <si>
    <t>Christakis is a great social scientist who communicates esoteric concepts clearly.    &lt;br&gt;I retired from 20 years of jail and prison mental health services.  Trust me, these places are sociological factories for changing people (mostly in negative ways.... some people for the better).  To survive in prison, you better learn to allow a &amp;quot;molding&amp;quot; process to take place so that you can &amp;quot;fit in&amp;quot; to particular sociological niches within prison.  Yes, go to prison, expect to come out different than you went in.... seems obvious?  Yeah, but many immature minds ( kids) don&amp;#39;t realize how important it is to avoid becoming a prison inmate.</t>
  </si>
  <si>
    <t>Amazing lectures but the sound effects are so silly makes it feel like someone used all the sounds effects available in their microsoft powerpoint software.</t>
  </si>
  <si>
    <t>Amazing video, blew my mind away and gave me a lot to think about. I also love that some of these concepts are very useful for personal growth.</t>
  </si>
  <si>
    <t>Sociology, History, Psicology  are not sciences like Biology or Chemistry...  they have not the tools to be scientifics.... they are moralistics not scientifics... when human phenomena accept the help of Biological Sciences  maybe we can talk about their scientific status....</t>
  </si>
  <si>
    <t>Why the silly, distracting noises that have been added as some kind of &amp;quot;decoration&amp;quot;?  Great content but why make me filter out that noise? Honestly, editor ..  you&amp;#39;ve pretty much destroyed a good video.</t>
  </si>
  <si>
    <t>Thank you for this golden insight</t>
  </si>
  <si>
    <t>This video could be game changer for everyone who understand the idea of groups. Not that facts and ideas here are revolutionary, but the way Mr. Christakis explained them is a brilliant and  inspirational. Thanks a lot!</t>
  </si>
  <si>
    <t>It also seems their social life has a huge affect on their decision</t>
  </si>
  <si>
    <t>Maybe if someone feels like they want to kill themselves they should go skydiving perhaps it has something to do with the rush of endorphins and adrenaline that brings them out of depression at least for that moment almost immediately, perhaps I could be wrong.</t>
  </si>
  <si>
    <t>Want to get Smarter, Faster? &lt;br&gt;Subscribe for DAILY videos: &lt;a href="https://bigth.ink/GetSmarter"&gt;https://bigth.ink/GetSmarter&lt;/a&gt;</t>
  </si>
  <si>
    <t>got firts u guys r the best</t>
  </si>
  <si>
    <t>Noderum</t>
  </si>
  <si>
    <t>alexchris32</t>
  </si>
  <si>
    <t>Aksel Ladegaard</t>
  </si>
  <si>
    <t>brostelio</t>
  </si>
  <si>
    <t>bemanos12345</t>
  </si>
  <si>
    <t>GreenGearMood</t>
  </si>
  <si>
    <t>Blackdragon1331</t>
  </si>
  <si>
    <t>MrStockWizard</t>
  </si>
  <si>
    <t>IncredibleMouse</t>
  </si>
  <si>
    <t>randomsubscriber</t>
  </si>
  <si>
    <t>friebender</t>
  </si>
  <si>
    <t>ubernathe</t>
  </si>
  <si>
    <t>zealot256</t>
  </si>
  <si>
    <t>Peter Nilson</t>
  </si>
  <si>
    <t>Bruno Moura</t>
  </si>
  <si>
    <t>Odracir Zeravla</t>
  </si>
  <si>
    <t>Travis R</t>
  </si>
  <si>
    <t>JrMrOlympia</t>
  </si>
  <si>
    <t>Robert Friel</t>
  </si>
  <si>
    <t>TheBackwood Link</t>
  </si>
  <si>
    <t>warmaxxx</t>
  </si>
  <si>
    <t>davedave9</t>
  </si>
  <si>
    <t>_xD83C__xDF39_ Robeon Mew _xD83D__xDD30_</t>
  </si>
  <si>
    <t>tamsinthai</t>
  </si>
  <si>
    <t>Gray</t>
  </si>
  <si>
    <t>Russ Olson</t>
  </si>
  <si>
    <t>matgylper</t>
  </si>
  <si>
    <t>Lucas Tan</t>
  </si>
  <si>
    <t>mussman717word</t>
  </si>
  <si>
    <t>DaveMoustache</t>
  </si>
  <si>
    <t>Aundre Wright</t>
  </si>
  <si>
    <t>Axel Schultz</t>
  </si>
  <si>
    <t>Lasserino</t>
  </si>
  <si>
    <t>Thunder Kat</t>
  </si>
  <si>
    <t>Obby</t>
  </si>
  <si>
    <t>Sanna Isabel Ulfsparre</t>
  </si>
  <si>
    <t>Look Behind You</t>
  </si>
  <si>
    <t>Voltar</t>
  </si>
  <si>
    <t>tonix1993</t>
  </si>
  <si>
    <t>dramon231</t>
  </si>
  <si>
    <t>Waranle</t>
  </si>
  <si>
    <t>EH CBunny</t>
  </si>
  <si>
    <t>givemongoball</t>
  </si>
  <si>
    <t>madyogaboy</t>
  </si>
  <si>
    <t>Spacejunk</t>
  </si>
  <si>
    <t>Jahooba</t>
  </si>
  <si>
    <t>dabdab10</t>
  </si>
  <si>
    <t>Hola</t>
  </si>
  <si>
    <t>Jan Cloosterman_xD83C__xDDFA__xD83C__xDDE6_</t>
  </si>
  <si>
    <t>strategy</t>
  </si>
  <si>
    <t>Pure Science</t>
  </si>
  <si>
    <t>Matt</t>
  </si>
  <si>
    <t>/</t>
  </si>
  <si>
    <t>Grizzle Bear Gruff</t>
  </si>
  <si>
    <t>Mohamed Salah Bchir</t>
  </si>
  <si>
    <t>SlugHatchet</t>
  </si>
  <si>
    <t>nonchalantd</t>
  </si>
  <si>
    <t>scienceisknolwedge</t>
  </si>
  <si>
    <t>Phantom Cooper</t>
  </si>
  <si>
    <t>yatayatayata</t>
  </si>
  <si>
    <t>Shu</t>
  </si>
  <si>
    <t>miketv</t>
  </si>
  <si>
    <t>northandover</t>
  </si>
  <si>
    <t>RustyShackleford</t>
  </si>
  <si>
    <t>severuxtrololo</t>
  </si>
  <si>
    <t>StavroginNikolai</t>
  </si>
  <si>
    <t>daglout</t>
  </si>
  <si>
    <t>Truthiness231</t>
  </si>
  <si>
    <t>alienfetusllc</t>
  </si>
  <si>
    <t>justsharki</t>
  </si>
  <si>
    <t>t3tsuyaguy1</t>
  </si>
  <si>
    <t>Jonathan Acosta</t>
  </si>
  <si>
    <t>Phillie103</t>
  </si>
  <si>
    <t>Susano19</t>
  </si>
  <si>
    <t>Ancor3</t>
  </si>
  <si>
    <t>Jehss</t>
  </si>
  <si>
    <t>fothinator</t>
  </si>
  <si>
    <t>Mandela Scipio</t>
  </si>
  <si>
    <t>Jake</t>
  </si>
  <si>
    <t>Derek</t>
  </si>
  <si>
    <t>SaltyBrains</t>
  </si>
  <si>
    <t>PaoLo</t>
  </si>
  <si>
    <t>Staircase Wit</t>
  </si>
  <si>
    <t>AdmiralBetas</t>
  </si>
  <si>
    <t>Andrew Halverson</t>
  </si>
  <si>
    <t>Leifur Thor</t>
  </si>
  <si>
    <t>William Black</t>
  </si>
  <si>
    <t>Markoslav Mikhailyevich-Makyevskiy</t>
  </si>
  <si>
    <t>ProfessorAddy</t>
  </si>
  <si>
    <t>Alpinex105</t>
  </si>
  <si>
    <t>JustNeptuN</t>
  </si>
  <si>
    <t>The other Doctor</t>
  </si>
  <si>
    <t>conairsmith</t>
  </si>
  <si>
    <t>TheaDragonSpirit</t>
  </si>
  <si>
    <t>Evan G</t>
  </si>
  <si>
    <t>Penzowned OP</t>
  </si>
  <si>
    <t>Megalia Lives Matters</t>
  </si>
  <si>
    <t>Drop Dead Fred</t>
  </si>
  <si>
    <t>tokyomilmil</t>
  </si>
  <si>
    <t>verZatile _bmotp</t>
  </si>
  <si>
    <t>DDRisTricky</t>
  </si>
  <si>
    <t>agl9591</t>
  </si>
  <si>
    <t>Aizacc84</t>
  </si>
  <si>
    <t>Loytachi</t>
  </si>
  <si>
    <t>luis magana</t>
  </si>
  <si>
    <t>oldworldhuman</t>
  </si>
  <si>
    <t>colhom 1</t>
  </si>
  <si>
    <t>Squall Leonhart</t>
  </si>
  <si>
    <t>Rom Hook</t>
  </si>
  <si>
    <t>mangeybum</t>
  </si>
  <si>
    <t>Jeff Hirai</t>
  </si>
  <si>
    <t>haku4207</t>
  </si>
  <si>
    <t>hamdan aziz</t>
  </si>
  <si>
    <t>John Gallagher</t>
  </si>
  <si>
    <t>Danail Irinkov</t>
  </si>
  <si>
    <t>gaibarhongkong</t>
  </si>
  <si>
    <t>Delir</t>
  </si>
  <si>
    <t>GNARGNARHEAD</t>
  </si>
  <si>
    <t>kristofari</t>
  </si>
  <si>
    <t>Ktisu</t>
  </si>
  <si>
    <t>Coffeeisnecessarynow</t>
  </si>
  <si>
    <t>cozyfoxstudio</t>
  </si>
  <si>
    <t>edworrld</t>
  </si>
  <si>
    <t>z3bis</t>
  </si>
  <si>
    <t>Marioguitar</t>
  </si>
  <si>
    <t>ultraverydeepfield</t>
  </si>
  <si>
    <t>Anna</t>
  </si>
  <si>
    <t>John Fox</t>
  </si>
  <si>
    <t>archmad</t>
  </si>
  <si>
    <t>CHilL4o</t>
  </si>
  <si>
    <t>Mario Nebiaj</t>
  </si>
  <si>
    <t>Thombolism</t>
  </si>
  <si>
    <t>Leviathan268</t>
  </si>
  <si>
    <t>Mortis Thig</t>
  </si>
  <si>
    <t>Nssto</t>
  </si>
  <si>
    <t>zhangvict</t>
  </si>
  <si>
    <t>Josh</t>
  </si>
  <si>
    <t>Nata Dzadzamia</t>
  </si>
  <si>
    <t>Marcel Wintervoss</t>
  </si>
  <si>
    <t>Lewis Hamilton</t>
  </si>
  <si>
    <t>m25a</t>
  </si>
  <si>
    <t>Leo Kovatsch</t>
  </si>
  <si>
    <t>erichitz79</t>
  </si>
  <si>
    <t>Gabe Barney</t>
  </si>
  <si>
    <t>oscurochu</t>
  </si>
  <si>
    <t>VMLM3</t>
  </si>
  <si>
    <t>Dyslexic Artist Theory on the Physics of 'Time'</t>
  </si>
  <si>
    <t>meemeekoeX</t>
  </si>
  <si>
    <t>Belinda Rankin</t>
  </si>
  <si>
    <t>Fonzi Alf</t>
  </si>
  <si>
    <t>MarStoryTime</t>
  </si>
  <si>
    <t>oharari</t>
  </si>
  <si>
    <t>Ninad Kothari</t>
  </si>
  <si>
    <t>Daniel Koellner</t>
  </si>
  <si>
    <t>sidewize</t>
  </si>
  <si>
    <t>Marko Kraguljac</t>
  </si>
  <si>
    <t>shivad aspiliqueta</t>
  </si>
  <si>
    <t>MrBeETHICAL</t>
  </si>
  <si>
    <t>Jeremy K</t>
  </si>
  <si>
    <t>The Forms</t>
  </si>
  <si>
    <t>Shane H</t>
  </si>
  <si>
    <t>Maurovskie</t>
  </si>
  <si>
    <t>Adeel Khan</t>
  </si>
  <si>
    <t>Yours Truly</t>
  </si>
  <si>
    <t>Pinchi Bruha</t>
  </si>
  <si>
    <t>Jacob Bonvie</t>
  </si>
  <si>
    <t>TheKirger</t>
  </si>
  <si>
    <t>SpaghettiMitch</t>
  </si>
  <si>
    <t>fredguy2</t>
  </si>
  <si>
    <t>Suzan Hamid</t>
  </si>
  <si>
    <t>spotlightman1234</t>
  </si>
  <si>
    <t>Meg</t>
  </si>
  <si>
    <t>T</t>
  </si>
  <si>
    <t>accussednerfherder</t>
  </si>
  <si>
    <t>james9995istaken</t>
  </si>
  <si>
    <t>simon H</t>
  </si>
  <si>
    <t>Elvisitor</t>
  </si>
  <si>
    <t>Andre R</t>
  </si>
  <si>
    <t>Zero Views</t>
  </si>
  <si>
    <t>D D</t>
  </si>
  <si>
    <t>ThisIsJustALotOfCrap</t>
  </si>
  <si>
    <t>SaraJP20</t>
  </si>
  <si>
    <t>AFMS999</t>
  </si>
  <si>
    <t>DRUG ADDICTED PORNSTAR</t>
  </si>
  <si>
    <t>Chino747747</t>
  </si>
  <si>
    <t>ImCalledGreg</t>
  </si>
  <si>
    <t>Darky</t>
  </si>
  <si>
    <t>Corey Smith</t>
  </si>
  <si>
    <t>Cinnamon crunch</t>
  </si>
  <si>
    <t>Frank Lobo</t>
  </si>
  <si>
    <t>Augusto blu</t>
  </si>
  <si>
    <t>dat3tree</t>
  </si>
  <si>
    <t>Ngan Le</t>
  </si>
  <si>
    <t>K Collier</t>
  </si>
  <si>
    <t>TheBushWookiie</t>
  </si>
  <si>
    <t>T Tanizawa</t>
  </si>
  <si>
    <t>Steven Vayding</t>
  </si>
  <si>
    <t>Iwan Berry</t>
  </si>
  <si>
    <t>Christian Arnold</t>
  </si>
  <si>
    <t>valg8</t>
  </si>
  <si>
    <t>lazyfreedom98</t>
  </si>
  <si>
    <t>legend asiam legend</t>
  </si>
  <si>
    <t>Raul</t>
  </si>
  <si>
    <t>Noah Carl</t>
  </si>
  <si>
    <t>Curtis Worthington</t>
  </si>
  <si>
    <t>Lucky13</t>
  </si>
  <si>
    <t>James Corcoran</t>
  </si>
  <si>
    <t>canaj7</t>
  </si>
  <si>
    <t>david briggs</t>
  </si>
  <si>
    <t>Cory Cota</t>
  </si>
  <si>
    <t>TGfeed</t>
  </si>
  <si>
    <t>Tyrannicide Rex</t>
  </si>
  <si>
    <t>daniel coig</t>
  </si>
  <si>
    <t>sterrty jimmy</t>
  </si>
  <si>
    <t>Michael Novello</t>
  </si>
  <si>
    <t>alterino222</t>
  </si>
  <si>
    <t>Ajcoss</t>
  </si>
  <si>
    <t>Varun Gundu</t>
  </si>
  <si>
    <t>Dalrae Jin</t>
  </si>
  <si>
    <t>formanorderlyque</t>
  </si>
  <si>
    <t>Shaan Ciantar</t>
  </si>
  <si>
    <t>Alejandro Rodríguez</t>
  </si>
  <si>
    <t>Candice Jones</t>
  </si>
  <si>
    <t>David Davis</t>
  </si>
  <si>
    <t>Darrin Baker</t>
  </si>
  <si>
    <t>Jonas Kiste</t>
  </si>
  <si>
    <t>Squirrelterritory</t>
  </si>
  <si>
    <t>Brian Uribe</t>
  </si>
  <si>
    <t>MBHerbig</t>
  </si>
  <si>
    <t>s.h.</t>
  </si>
  <si>
    <t>Martin Janjić</t>
  </si>
  <si>
    <t>Patrick Hamilton</t>
  </si>
  <si>
    <t>Sandy Storey</t>
  </si>
  <si>
    <t>Dave Fischer</t>
  </si>
  <si>
    <t>Tabatha Clapham</t>
  </si>
  <si>
    <t>Xavi Alvarez</t>
  </si>
  <si>
    <t>Kyle Axl</t>
  </si>
  <si>
    <t>Christian Teo</t>
  </si>
  <si>
    <t>Typho0n</t>
  </si>
  <si>
    <t>LandInbetween</t>
  </si>
  <si>
    <t>BoZmD</t>
  </si>
  <si>
    <t>beseeingyou6</t>
  </si>
  <si>
    <t>asordid reality</t>
  </si>
  <si>
    <t>NickosReincarnation</t>
  </si>
  <si>
    <t>Josh Baer</t>
  </si>
  <si>
    <t>Алексей Дьяченко</t>
  </si>
  <si>
    <t>Paty Murrieta</t>
  </si>
  <si>
    <t>non person</t>
  </si>
  <si>
    <t>lisaengelbrektson</t>
  </si>
  <si>
    <t>Roll0112358</t>
  </si>
  <si>
    <t>GST</t>
  </si>
  <si>
    <t>Erik Žiak</t>
  </si>
  <si>
    <t>George Acheampong</t>
  </si>
  <si>
    <t>chatty cathy</t>
  </si>
  <si>
    <t>Joey Contreras</t>
  </si>
  <si>
    <t>Kim Röder</t>
  </si>
  <si>
    <t>Seth Topper</t>
  </si>
  <si>
    <t>Dan Albl</t>
  </si>
  <si>
    <t>Pedro Silva</t>
  </si>
  <si>
    <t>Aravindan Umashankar</t>
  </si>
  <si>
    <t>Titus Flavius Vespasianus</t>
  </si>
  <si>
    <t>Andra Daniswara</t>
  </si>
  <si>
    <t>prygler</t>
  </si>
  <si>
    <t>Adrián De la Rosa</t>
  </si>
  <si>
    <t>Learning to fly</t>
  </si>
  <si>
    <t>John Zarras</t>
  </si>
  <si>
    <t>Alexander K.</t>
  </si>
  <si>
    <t>Carlos Wilker</t>
  </si>
  <si>
    <t>B Yohhanes</t>
  </si>
  <si>
    <t>David Ramos</t>
  </si>
  <si>
    <t>Dewality</t>
  </si>
  <si>
    <t>O_O</t>
  </si>
  <si>
    <t>Barbyl</t>
  </si>
  <si>
    <t>Chase Hughes</t>
  </si>
  <si>
    <t>Rolando Cocom</t>
  </si>
  <si>
    <t>Akira Vedya</t>
  </si>
  <si>
    <t>Robin</t>
  </si>
  <si>
    <t>Dinner Bone</t>
  </si>
  <si>
    <t>shiroi</t>
  </si>
  <si>
    <t>Vasco Amaral Grilo</t>
  </si>
  <si>
    <t>Mr Pickles</t>
  </si>
  <si>
    <t>leenk11 Mokeg</t>
  </si>
  <si>
    <t>Maria Alzamora</t>
  </si>
  <si>
    <t>Lydia Pasitos</t>
  </si>
  <si>
    <t>stephenmwyatt2</t>
  </si>
  <si>
    <t>Nick Leoheart</t>
  </si>
  <si>
    <t>Kevin Pedraza</t>
  </si>
  <si>
    <t>Don Mahaffey Weaver II D2D Car and Truck Desks</t>
  </si>
  <si>
    <t>Jay G</t>
  </si>
  <si>
    <t>WolfStormAsh</t>
  </si>
  <si>
    <t>Dinoshark Robopope</t>
  </si>
  <si>
    <t>routinely random</t>
  </si>
  <si>
    <t>Medb YHI</t>
  </si>
  <si>
    <t>PhiloAmericana</t>
  </si>
  <si>
    <t>Keegan</t>
  </si>
  <si>
    <t>A1tre</t>
  </si>
  <si>
    <t>saborfrancias</t>
  </si>
  <si>
    <t>DyceBookClub</t>
  </si>
  <si>
    <t>chris d</t>
  </si>
  <si>
    <t>Marteen Cowan</t>
  </si>
  <si>
    <t>EcoVentureLogue</t>
  </si>
  <si>
    <t>ERWIN ELIECER GUEVARA SOLANO</t>
  </si>
  <si>
    <t>M3Lucky</t>
  </si>
  <si>
    <t>007sting</t>
  </si>
  <si>
    <t>tha1ne</t>
  </si>
  <si>
    <t>José Yánez</t>
  </si>
  <si>
    <t>Clairie</t>
  </si>
  <si>
    <t>rachcliffe</t>
  </si>
  <si>
    <t>David Esteban Rojas Ospina</t>
  </si>
  <si>
    <t>juan espinal</t>
  </si>
  <si>
    <t>P l a y t a r d !</t>
  </si>
  <si>
    <t>MrTnbopp123</t>
  </si>
  <si>
    <t>dylan blake</t>
  </si>
  <si>
    <t>Obey Silence</t>
  </si>
  <si>
    <t>Christopher Canon</t>
  </si>
  <si>
    <t>Néo Bourgeois Christum</t>
  </si>
  <si>
    <t>Colonel Graff</t>
  </si>
  <si>
    <t>Leighton Julye</t>
  </si>
  <si>
    <t>Juho Sallinen</t>
  </si>
  <si>
    <t>Luther Aquino</t>
  </si>
  <si>
    <t>Richard Carpenter Hart</t>
  </si>
  <si>
    <t>Gaurav Deora</t>
  </si>
  <si>
    <t>Ismail Degani</t>
  </si>
  <si>
    <t>shawn burnham</t>
  </si>
  <si>
    <t>brettnicholeon</t>
  </si>
  <si>
    <t>ANDRÉS MUÑOZ SALGADO</t>
  </si>
  <si>
    <t>meekking achor</t>
  </si>
  <si>
    <t>torasclaat</t>
  </si>
  <si>
    <t>D Crane</t>
  </si>
  <si>
    <t>Dr. Mother Rants</t>
  </si>
  <si>
    <t>Жавохир Мустафоев</t>
  </si>
  <si>
    <t>MikeG</t>
  </si>
  <si>
    <t>USA Latino</t>
  </si>
  <si>
    <t>minivanjack</t>
  </si>
  <si>
    <t>liquid cyberpunk</t>
  </si>
  <si>
    <t>Abu Daoud</t>
  </si>
  <si>
    <t>Renato Vinicius Souza</t>
  </si>
  <si>
    <t>Евгений Ицкович</t>
  </si>
  <si>
    <t>TripleA007</t>
  </si>
  <si>
    <t>Somewhere Near</t>
  </si>
  <si>
    <t>gladman mundingi</t>
  </si>
  <si>
    <t>Darren Freeman</t>
  </si>
  <si>
    <t>Godson Johnson</t>
  </si>
  <si>
    <t>DiStrictTM</t>
  </si>
  <si>
    <t>Gilbert Barasa</t>
  </si>
  <si>
    <t>THYLIAES BRICKENY</t>
  </si>
  <si>
    <t>KaizenBlaze</t>
  </si>
  <si>
    <t>Dr. Atom</t>
  </si>
  <si>
    <t>American Nomad News</t>
  </si>
  <si>
    <t>Nastaran A</t>
  </si>
  <si>
    <t>José Gómez</t>
  </si>
  <si>
    <t>Zapp Brannigan</t>
  </si>
  <si>
    <t>Shadow Like</t>
  </si>
  <si>
    <t>tom sea</t>
  </si>
  <si>
    <t>Sean Flynn</t>
  </si>
  <si>
    <t>david pretiz</t>
  </si>
  <si>
    <t>Vinicius</t>
  </si>
  <si>
    <t>O Wife Tricolor</t>
  </si>
  <si>
    <t>Marcelo Buratto</t>
  </si>
  <si>
    <t>Holy bible live</t>
  </si>
  <si>
    <t>William Benson</t>
  </si>
  <si>
    <t>Rafael Martins</t>
  </si>
  <si>
    <t>Alex</t>
  </si>
  <si>
    <t>Arash Shadmanpour</t>
  </si>
  <si>
    <t>The Door Man</t>
  </si>
  <si>
    <t>Nuria Giralt</t>
  </si>
  <si>
    <t>Steve Charman</t>
  </si>
  <si>
    <t>jbg54</t>
  </si>
  <si>
    <t>David Wilkie</t>
  </si>
  <si>
    <t>Thomas De Lello</t>
  </si>
  <si>
    <t>Rod Fer</t>
  </si>
  <si>
    <t>Jonathan Lee</t>
  </si>
  <si>
    <t>Max Headrom</t>
  </si>
  <si>
    <t>mike bar</t>
  </si>
  <si>
    <t>loki7389</t>
  </si>
  <si>
    <t>Søren Kierkegaard</t>
  </si>
  <si>
    <t>lifecloud2</t>
  </si>
  <si>
    <t>Mehdi Baghbadran</t>
  </si>
  <si>
    <t>Joshua Evans</t>
  </si>
  <si>
    <t>Erwan Moreau</t>
  </si>
  <si>
    <t>Christopher Bachman</t>
  </si>
  <si>
    <t>George Carlin</t>
  </si>
  <si>
    <t>mathxnoob</t>
  </si>
  <si>
    <t>Th. Suryadinata</t>
  </si>
  <si>
    <t>yo yo</t>
  </si>
  <si>
    <t>Michael Bierek</t>
  </si>
  <si>
    <t>Hyghor Paes L. Azevedo</t>
  </si>
  <si>
    <t>Vincent</t>
  </si>
  <si>
    <t>Manuel Popp</t>
  </si>
  <si>
    <t>Stephvon Dames</t>
  </si>
  <si>
    <t>Hollywood Clark</t>
  </si>
  <si>
    <t>Kamp Gallery</t>
  </si>
  <si>
    <t>Tom Liu</t>
  </si>
  <si>
    <t>Avinash Prasad 2</t>
  </si>
  <si>
    <t>Jennifer Cuddy</t>
  </si>
  <si>
    <t>Michele Ramos</t>
  </si>
  <si>
    <t>Sean Brogan</t>
  </si>
  <si>
    <t>Jordan Carter</t>
  </si>
  <si>
    <t>alyssa young</t>
  </si>
  <si>
    <t>canelita_tv</t>
  </si>
  <si>
    <t>ivan kirachen</t>
  </si>
  <si>
    <t>Yha Lou</t>
  </si>
  <si>
    <t>Michael Therrien</t>
  </si>
  <si>
    <t>Julebstube</t>
  </si>
  <si>
    <t>Carlos Penalver</t>
  </si>
  <si>
    <t>Chris Liddiard</t>
  </si>
  <si>
    <t>Tobias Kadachi</t>
  </si>
  <si>
    <t>HELENE</t>
  </si>
  <si>
    <t>Aubrey Stout</t>
  </si>
  <si>
    <t>CPHSDC</t>
  </si>
  <si>
    <t>Rochelle Eldredge</t>
  </si>
  <si>
    <t>MyBiPolarExperience</t>
  </si>
  <si>
    <t>Jonathan Jollimore</t>
  </si>
  <si>
    <t>Marjohn's Musings</t>
  </si>
  <si>
    <t>Polymorphic Doombooger</t>
  </si>
  <si>
    <t>Luka Radojevic</t>
  </si>
  <si>
    <t>Senzu Bean</t>
  </si>
  <si>
    <t>A_Greg</t>
  </si>
  <si>
    <t>_xD83D__xDD05_♥️ups ty</t>
  </si>
  <si>
    <t>Johan Claure C.</t>
  </si>
  <si>
    <t>James Powers</t>
  </si>
  <si>
    <t>Michael Gustavson</t>
  </si>
  <si>
    <t>John Wasinger</t>
  </si>
  <si>
    <t>TheHashian</t>
  </si>
  <si>
    <t>enter.</t>
  </si>
  <si>
    <t>Amazing Hero Art</t>
  </si>
  <si>
    <t>Fadhly El-Shirazy</t>
  </si>
  <si>
    <t>well. . .</t>
  </si>
  <si>
    <t>Peter Welsh</t>
  </si>
  <si>
    <t>William Lewis</t>
  </si>
  <si>
    <t>Brigit Pimm</t>
  </si>
  <si>
    <t>Martin Aranda</t>
  </si>
  <si>
    <t>Carlo Jones</t>
  </si>
  <si>
    <t>Ron Jaenisch</t>
  </si>
  <si>
    <t>hernandezjopa</t>
  </si>
  <si>
    <t>Apparatus 101</t>
  </si>
  <si>
    <t>Anna Turquoise</t>
  </si>
  <si>
    <t>Andrew Pleshakov</t>
  </si>
  <si>
    <t>S J Elliott</t>
  </si>
  <si>
    <t>Paradox Pictures</t>
  </si>
  <si>
    <t>Chiraz BenAbdelkader</t>
  </si>
  <si>
    <t>Jorge García Robles</t>
  </si>
  <si>
    <t>Sean O'Sullivan</t>
  </si>
  <si>
    <t>RAYAN THEORY</t>
  </si>
  <si>
    <t>Mikhail Kalatchev</t>
  </si>
  <si>
    <t>Nicolas Schaffer</t>
  </si>
  <si>
    <t>Big Think</t>
  </si>
  <si>
    <t>krisklev</t>
  </si>
  <si>
    <t>Ugy8Mj1ITK_e-U2UJop4AaABAg</t>
  </si>
  <si>
    <t>UgwagVqmYEDPBZUHnlF4AaABAg</t>
  </si>
  <si>
    <t>Ugy_wNDDX-ch4G33UmB4AaABAg</t>
  </si>
  <si>
    <t>UgwV9Jo-0vpmLVsYI0Z4AaABAg</t>
  </si>
  <si>
    <t>UgxShsTMoBEzg-U6B6R4AaABAg</t>
  </si>
  <si>
    <t>UghJwiWTiXqfEXgCoAEC</t>
  </si>
  <si>
    <t>Ugg5l0bgv4FJ1ngCoAEC</t>
  </si>
  <si>
    <t>Ugi47D45qVhztngCoAEC</t>
  </si>
  <si>
    <t>UggQB-XP675oVXgCoAEC</t>
  </si>
  <si>
    <t>UggJ2ZRhen4nmHgCoAEC</t>
  </si>
  <si>
    <t>UgjtJn_EPhdgeXgCoAEC</t>
  </si>
  <si>
    <t>UghfRwQOutVIaHgCoAEC</t>
  </si>
  <si>
    <t>UghAK6-BoXcryngCoAEC</t>
  </si>
  <si>
    <t>Ugh4jpx1VLtHMHgCoAEC</t>
  </si>
  <si>
    <t>Ugj2T6f1Glod23gCoAEC</t>
  </si>
  <si>
    <t>Ugi5OJRjRTbRjHgCoAEC</t>
  </si>
  <si>
    <t>UghnG5GFaVHvRXgCoAEC</t>
  </si>
  <si>
    <t>UggRqijNktuPhngCoAEC</t>
  </si>
  <si>
    <t>Ugiw409X0mYeoXgCoAEC</t>
  </si>
  <si>
    <t>UghN6LHXkeKz5XgCoAEC</t>
  </si>
  <si>
    <t>UgiBy4BHg8rfYngCoAEC</t>
  </si>
  <si>
    <t>UggOCDVLpNilNngCoAEC</t>
  </si>
  <si>
    <t>UgjryvYVaHrMnXgCoAEC</t>
  </si>
  <si>
    <t>Ugglh3YAqyBNhXgCoAEC</t>
  </si>
  <si>
    <t>UgwnNRPtvJuPO-VjGgR4AaABAg</t>
  </si>
  <si>
    <t>UgxWy2rNWi9-1Tuqv0N4AaABAg</t>
  </si>
  <si>
    <t>UgzrbLpolvtyhEgNQqJ4AaABAg</t>
  </si>
  <si>
    <t>UgyCaQk3fGGbRSy7mkd4AaABAg</t>
  </si>
  <si>
    <t>UgyV0Q63gnmeluZDGOp4AaABAg</t>
  </si>
  <si>
    <t>UgyHYacoMDUr_t2CixN4AaABAg</t>
  </si>
  <si>
    <t>wadBvDPeE4E</t>
  </si>
  <si>
    <t>none</t>
  </si>
  <si>
    <t xml:space="preserve"> http://www.youtube.com/watch?v=wadBvDPeE4E&amp;amp;t=33m00s</t>
  </si>
  <si>
    <t xml:space="preserve"> http://www.youtube.com/watch?v=wadBvDPeE4E&amp;amp;t=5m21s</t>
  </si>
  <si>
    <t xml:space="preserve"> http://www.youtube.com/watch?v=wadBvDPeE4E&amp;amp;t=50m29s</t>
  </si>
  <si>
    <t xml:space="preserve"> http://math.stackexchange.com/questions/1308713/clique-percolation-method-calculation http://math.stackexchange.com/questions/1308713/clique-percolation-method-calculation</t>
  </si>
  <si>
    <t xml:space="preserve"> http://www.youtube.com/watch?v=wadBvDPeE4E&amp;amp;t=06m20s</t>
  </si>
  <si>
    <t xml:space="preserve"> http://www.youtube.com/watch?v=wadBvDPeE4E&amp;amp;t=28m20s</t>
  </si>
  <si>
    <t xml:space="preserve"> https://youtu.be/K2OkFNaGWlw https://youtu.be/K2OkFNaGWlw</t>
  </si>
  <si>
    <t xml:space="preserve"> https://www.youtube.com/watch?v=wadBvDPeE4E&amp;amp;t=5m11s</t>
  </si>
  <si>
    <t xml:space="preserve"> http://www.youtube.com/watch?v=wadBvDPeE4E&amp;amp;t=5m00s</t>
  </si>
  <si>
    <t xml:space="preserve"> http://www.youtube.com/watch?v=wadBvDPeE4E&amp;amp;t=20m00s</t>
  </si>
  <si>
    <t xml:space="preserve"> http://www.youtube.com/watch?v=wadBvDPeE4E&amp;amp;t=25m00s</t>
  </si>
  <si>
    <t xml:space="preserve"> http://www.youtube.com/watch?v=wadBvDPeE4E&amp;amp;t=30m00s</t>
  </si>
  <si>
    <t xml:space="preserve"> http://www.youtube.com/watch?v=wadBvDPeE4E&amp;amp;t=35m00s</t>
  </si>
  <si>
    <t xml:space="preserve"> http://www.youtube.com/watch?v=wadBvDPeE4E&amp;amp;t=34m48s</t>
  </si>
  <si>
    <t xml:space="preserve"> http://www.youtube.com/watch?v=wadBvDPeE4E&amp;amp;t=36m00s</t>
  </si>
  <si>
    <t xml:space="preserve"> https://www.youtube.com/watch?v=wadBvDPeE4E&amp;amp;t=10m00s</t>
  </si>
  <si>
    <t xml:space="preserve"> https://www.youtube.com/watch?v=wadBvDPeE4E&amp;amp;t=26m00s</t>
  </si>
  <si>
    <t xml:space="preserve"> https://www.youtube.com/watch?v=wadBvDPeE4E&amp;amp;t=30m00s</t>
  </si>
  <si>
    <t xml:space="preserve"> https://www.youtube.com/watch?v=wadBvDPeE4E&amp;amp;t=34m00s</t>
  </si>
  <si>
    <t xml:space="preserve"> https://www.youtube.com/watch?v=wadBvDPeE4E&amp;amp;t=36m00s</t>
  </si>
  <si>
    <t xml:space="preserve"> https://www.youtube.com/watch?v=wadBvDPeE4E&amp;amp;t=14m36s https://www.youtube.com/watch?v=wadBvDPeE4E&amp;amp;t=15m00s</t>
  </si>
  <si>
    <t xml:space="preserve"> https://www.youtube.com/watch?time_continue=2&amp;amp;v=TTNdcgQjvfM https://www.youtube.com/watch?time_continue=2&amp;amp;v=TTNdcgQjvfM</t>
  </si>
  <si>
    <t xml:space="preserve"> https://www.youtube.com/watch?v=wadBvDPeE4E&amp;amp;t=15m00s</t>
  </si>
  <si>
    <t xml:space="preserve"> https://www.youtube.com/watch?v=wadBvDPeE4E&amp;amp;t=40m20s</t>
  </si>
  <si>
    <t xml:space="preserve"> https://www.youtube.com/watch?v=wadBvDPeE4E&amp;amp;t=5m16s</t>
  </si>
  <si>
    <t xml:space="preserve"> https://www.youtube.com/watch?v=wadBvDPeE4E&amp;amp;t=10m20s</t>
  </si>
  <si>
    <t xml:space="preserve"> https://www.youtube.com/watch?v=wadBvDPeE4E&amp;amp;t=13m00s</t>
  </si>
  <si>
    <t xml:space="preserve"> https://www.youtube.com/watch?v=wadBvDPeE4E&amp;amp;t=0m31s</t>
  </si>
  <si>
    <t xml:space="preserve"> https://www.youtube.com/watch?v=wadBvDPeE4E&amp;amp;t=1m59s</t>
  </si>
  <si>
    <t xml:space="preserve"> https://www.youtube.com/watch?v=wadBvDPeE4E&amp;amp;t=10m08s</t>
  </si>
  <si>
    <t xml:space="preserve"> https://www.youtube.com/watch?v=wadBvDPeE4E&amp;amp;t=16m03s</t>
  </si>
  <si>
    <t xml:space="preserve"> https://www.youtube.com/watch?v=wadBvDPeE4E&amp;amp;t=24m16s</t>
  </si>
  <si>
    <t xml:space="preserve"> https://www.youtube.com/watch?v=wadBvDPeE4E&amp;amp;t=39m15s</t>
  </si>
  <si>
    <t xml:space="preserve"> https://www.youtube.com/watch?v=wadBvDPeE4E&amp;amp;t=16m00s</t>
  </si>
  <si>
    <t xml:space="preserve"> https://bigth.ink/GetSmarter https://bigth.ink/GetSmarter</t>
  </si>
  <si>
    <t>youtube.com</t>
  </si>
  <si>
    <t>stackexchange.com stackexchange.com</t>
  </si>
  <si>
    <t>youtu.be youtu.be</t>
  </si>
  <si>
    <t>youtube.com youtube.com</t>
  </si>
  <si>
    <t>bigth.ink bigth.ink</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</si>
  <si>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</si>
  <si>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</si>
  <si>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</si>
  <si>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</si>
  <si>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</si>
  <si>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</si>
  <si>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</si>
  <si>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</si>
  <si>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</si>
  <si>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</si>
  <si>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</si>
  <si>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</si>
  <si>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</si>
  <si>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</si>
  <si>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Big Think is the leading source of expert-driven, actionable, educational content -- with thousands of videos, featuring experts ranging from Bill Clinton to Bill Nye, we help you get smarter, faster. Get actionable lessons from the world’s greatest thinkers &amp; doers. Our experts are either disrupting or leading their respective fields. We aim to help you explore the big ideas and core skills that define knowledge in the 21st century, so you can apply them to the questions and challenges in your own life. Other Frequent contributors include Michio Kaku &amp; Neil DeGrasse Tyson.
Head to Bigthink.com for a multitude of articles just as informative and satisfying as our videos. New articles posted daily on a range of intellectual topics. ​Join Big Think Edge, to gain access to an immense library of content. It features insight from many of the most celebrated and intelligent individuals in the world today.
   - Subscribe for daily videos.
   - Business inquiries and fan suggestions welcome.</t>
  </si>
  <si>
    <t>I do stuff.</t>
  </si>
  <si>
    <t>a channel i upload videos that nobody would watch</t>
  </si>
  <si>
    <t>Gruvia pls</t>
  </si>
  <si>
    <t>Common sense is, that commonsense isn't. The relative matter of the matter is nothing more than a matter of matter. These atoms, here read upon, are the atoms that other atoms acted upon. The order of disorder, with pockets of order, could not have been ordered. Cogito, Ergo, Sum Non.</t>
  </si>
  <si>
    <t>As technology is taking precedent in today's society, everyone in the western world is developing some form of an "inner geek." Some choose to ignore it, I embrace it!</t>
  </si>
  <si>
    <t>This channel is dedicated to everything League of Legends. To be more precise it's about commentating on matches friends have with others or even between themselves. We may even talk about champs and other things.</t>
  </si>
  <si>
    <t>The Back Wood Link is merely a collection of You-Tube videos, channels and websites that I've linked to for my convenience. My cynical mindset and twisted sense of humor are products of the environments, situations and experiences that I've been exposed to.This channel may be used as a platform to gain understanding into how the fundamentalist religious minds work when introduced to comments made from an unapologetic atheist within the social constraints of the YouTube environment. I also enjoy examining the minds of the truly insane ultra liberal douche bags and their ability to twist the truth into the most interesting versions of reality known to man. Sanity is not overrated in my world. Time to cast out a little bait and watch the fun begin.</t>
  </si>
  <si>
    <t>thanks for the support, i deeply appreciate it
here's my paypal donation link : https://www.paypal.me/khalifa2</t>
  </si>
  <si>
    <t>under construction</t>
  </si>
  <si>
    <t>I'm a 17 year old guy from Norway who likes listening to music! If you like bands like Metallica, Megadeth, CoB, Pantera or anything in that genre, feel free to leave a comment on this site. 
Besides listening to music, I love playing it on my computer (there is a great game called Frets on Fire, check it out) or doing sports. 
I'm currently trying to learn to play the guitar aswell, which is a very time-consuming project. But skills do not come from themselves, as you know. (with exception of Jason Becker and Michael Angelo Batio, of course, but they don't count since they're not human :D)</t>
  </si>
  <si>
    <t>there is a huge gap between intelligence and the ability to breed.</t>
  </si>
  <si>
    <t>Voltar's an old dude for a gamer and unabashedly faceplants into every game he plays; hopefully telling some kind of narrative along the way (and in theory getting better).  Because he's a music school dropout, he inserts music into most of his videos.</t>
  </si>
  <si>
    <t>Trying to understand is like trying to see through muddy water. Be still and allow the mud to settle.
"PATIENCE IS THE COMPANION OF WISDOM"</t>
  </si>
  <si>
    <t>Random thoughts of an Empty Headed Chocolate Bunny, (EH_CBunny!)</t>
  </si>
  <si>
    <t>I'm an ignorant fool. So are you.
(The screen name ingorantf00l with it's double zero was in no way intended to be an insult or ripoff of thunderf00t. The name without double zero was taken and this variation looked suitalbe. I I could change this I would. However, strating a new accaunt would be way too much work for this little misstake...)</t>
  </si>
  <si>
    <t>Who?  Me?  You stalking me?</t>
  </si>
  <si>
    <t>Scientism</t>
  </si>
  <si>
    <t>Most of my work is animations, VFX, or short films.</t>
  </si>
  <si>
    <t>Dank Souls</t>
  </si>
  <si>
    <t>More videos coming soon
Current Projects: Tales of Phantasia PSX</t>
  </si>
  <si>
    <t>I don't vote
I don't high five 
I don't claim to be an expert
I won't take your word for anything.</t>
  </si>
  <si>
    <t>epic pogchamp gamer</t>
  </si>
  <si>
    <t>sup</t>
  </si>
  <si>
    <t>Just enjoy your life</t>
  </si>
  <si>
    <t>De nada</t>
  </si>
  <si>
    <t>Un ser analógico en un mundo digital. Amante de lo intangible.</t>
  </si>
  <si>
    <t>The Hands between the Brain and the Heart</t>
  </si>
  <si>
    <t xml:space="preserve">Twitter: @Addy9063
Twitch: twitch.tv/professoraddy
Other Work: www.thelastdayshire.com
</t>
  </si>
  <si>
    <t>I'm studying IT and Economy and when I am at home I play piano, but very rarely (mainly at wekends) because my piano is at my parents house, and I am studying 60 km (km = 0,62mile OR mile = 1,6km) away from my hometown.
Unfortunately the world told me that i shlould learn in order to make money, and thats why I don't dedicate as much time for passions as I should.
I don't know notes that well to prepare sheets of my performances, so asking me for sheets is like asking a mason for a construction project (if you have better comparision - let me know).
and my name is Michał, or Michael if you want to americanize me.
hope you liked my videos (At least one for God sake ! )</t>
  </si>
  <si>
    <t xml:space="preserve">I am always looking to see what is said or shown to me in a new way, so I understand this better.  
Eat a healthy whole foods plant based diet for Optimal Health. IE: The Daily Dozen. </t>
  </si>
  <si>
    <t>An experiment in social commentary, science, philosophy, and other miscellaneous topics of interest.  All brought to you by a man in a sweater vest.</t>
  </si>
  <si>
    <t>Social Life on cooldown
Videos to be announced.</t>
  </si>
  <si>
    <t>This channel just shows just a bunch of things I do. Random shenanigans, personal achievement videos, the whole shebang.
If someone needs help with anything in-game, just leave me a message and I'll be sure to post a video about it if I have time. If you're on Mari, I could help you. My IGN is below.
Since I'm usually on Skype, there's random people talking in my videos. Never my voice, though. Because of my headset, the volume in some of my videos are messed up. I apologize for that. Just turn the volume allll the way up.
If you subscribe, thank you for supporting me~ If you just watch my videos, thanks for watching!
~Mabinogi NA~
Loytachi - On Break
~Mabinogi JP~
Loytachi - Dead
~Mabinogi TW ~
I forgot my IGN..</t>
  </si>
  <si>
    <t xml:space="preserve">Avatar Geek
</t>
  </si>
  <si>
    <t>Влог за пътят ми към успеха :) Говоря за всички добри принципи за успех и изкарване на пари, които научавам от милионери, милиардери и атлети от цял свят :)
Ако влога ми ви е от полза, споделете мнението си с някого :) обсъдете видяното и наученото, задавайте ми въпроси, чета всички коментари :)
Мотивация за успех и себе развитие за млади и  озряващи предприемачи :)
Обучение за постигане на върхови резултати! 
Предоставяне на списък с записи на най-добрите ментори от цял свят :)
Последвайте ме и в:
Facebook: https://www.facebook.com/DanIrinkov/    ---   Dan Irinko
Instagram: https://www.instagram.com/danailirinkov/
Twitter: @IrinkovD - Danail Irinkov</t>
  </si>
  <si>
    <t>Whatever I say, comment, leave a digital trace of my account in this platform - is a joke, satire, sarcasm and not to be taken seriously. It does not reflect my actual and direct opinion or position on the post or video I am interacting with. Consider this in the interpretation of things here</t>
  </si>
  <si>
    <t>@gnargnarhead</t>
  </si>
  <si>
    <t>A happy place of free speech, in a world of politically correct bullshitters, and Socially engineered drones.</t>
  </si>
  <si>
    <t>Join me =]</t>
  </si>
  <si>
    <t>Why are you here?
What can you do?</t>
  </si>
  <si>
    <t>An old youtube channel.</t>
  </si>
  <si>
    <t>Marc Wintervoss
Love the outdoors</t>
  </si>
  <si>
    <t xml:space="preserve">This channel has been set up to promote Quantum Atom Theory an artist theory on the dynamics of light, space and time. This theory explains a 3D geometrical process, based on the Inverse Square Law and the work of people like Newton, Faraday, Einstein and many others.  
Two postulates
1. The quantum wave particle function Ψ² or probability function explained by Schrödinger's wave equation represents the forward passage of time ∆E ∆t ≥ h/2π or Arrow of Time itself within each individual reference frame. We have  an emergent probabilistic future continuously unfolding with the exchange of photon ∆E=hf energy.
2. Heisenberg's Uncertainty Principle ∆×∆pᵪ≥h/4π  that is formed by the wave function is the same uncertainty we have with any future event within our own reference frame. The wave particle duality of light and matter (electrons) forms a blank canvas that we can interact with turning the possible into the actual. Light is a wave with particle characteristics as the future unfolds. 
</t>
  </si>
  <si>
    <t>College is getting busy, but this is too much fun to avoid.:D</t>
  </si>
  <si>
    <t xml:space="preserve">I enjoy gaming, philosophy, comedy, politics, science, music, design, art and whatever else I can't rant about or be entertained by.
</t>
  </si>
  <si>
    <t>Make Bucky (Buckminster fuller's) vision manifest for all life across all constructs. Starting with Earth. 
"A world that works for 100% of humanity without ecological offense or disadvantage of/to anyone."</t>
  </si>
  <si>
    <t>Disclaimer: I’m an assh@le who talks shit, I pokes bears and whack beehives id say it was for fun but its not, I’m learning always learning…testing testing 123 is this thing on? Eye Hate People, and because I don’t judge I’m all about equality…we all pretty much suck!</t>
  </si>
  <si>
    <t>Awesome profile is awesome.
I am bored. I am bored. I am bored.
Nothing better to do...</t>
  </si>
  <si>
    <t xml:space="preserve">Rap Savant from Montréal, Canada
</t>
  </si>
  <si>
    <t>Chemistry oriented videos ranging from inorganic synthesis to pyrotechnics demos. Occasionally other content will be posted, but for the most part just science.
RIP: My once prosperous youtube channel. (Total video views ≈100,000)
.</t>
  </si>
  <si>
    <t>likes movie popcorn, owns pants i think. needs to check wardrobe.</t>
  </si>
  <si>
    <t>I need a change in scene.</t>
  </si>
  <si>
    <t>Art - Philosophy - Music - Knowledge</t>
  </si>
  <si>
    <t>Sex, drugs and gangsta rap.</t>
  </si>
  <si>
    <t xml:space="preserve">Space is a dark place, where mighty forces and events take place, just like the internet. Enjoy a chronicle of random situations in games and maybe an occasional tutorial. </t>
  </si>
  <si>
    <t>CoreyDev.com</t>
  </si>
  <si>
    <t>Say hello to the bad guy</t>
  </si>
  <si>
    <t>yo</t>
  </si>
  <si>
    <t>I DO VAT I VANT.</t>
  </si>
  <si>
    <t>I guess I do unplanned tech unboxing videos now or something.</t>
  </si>
  <si>
    <t xml:space="preserve">I aim to support wide learning and interest in various things. If you have a question, comment or suggestion please feel free to contact me here: sandy.storey86@gmail.com
“Drink your tea slowly and reverently, as if it is the axis on which the world earth revolves - slowly, evenly, without rushing toward the future.”
-Thich Nhat Hanh
https://plumvillage.org
</t>
  </si>
  <si>
    <t>.</t>
  </si>
  <si>
    <t>The good, the true , the beautiful.</t>
  </si>
  <si>
    <t>None</t>
  </si>
  <si>
    <t>JJ BAER is my name and I'm hosting the world of imagination, creativity. it's mostly storytelling of the true nature.</t>
  </si>
  <si>
    <t>Мій погляд на соціум.</t>
  </si>
  <si>
    <t>I am an enterprise lecturer and researcher with extensive knowledge of local economy issues in many parts of Ghana. I have been working to bring social and economic change to communities through market-based approaches to development. This channel will exhibit some of the works I have been engaged in with my collaborators.</t>
  </si>
  <si>
    <t>This is a place where I keep some things that I love or do not love. If you are in here then, I must love you or maybe not...it's up to me to find out. I'm no genius...neither are you. I love and respect you, anyway, most likely.</t>
  </si>
  <si>
    <t>spiritual smoker</t>
  </si>
  <si>
    <t xml:space="preserve">Scooter rider.
Aberdeen SD.
I make how tos, edits and whatever.  </t>
  </si>
  <si>
    <t>#1 Body Language Expert in the World #1 Bestselling Author | Behavior Expert | Behavioral Tactics Creator for Uncle Sam</t>
  </si>
  <si>
    <t>Creativity Sparks Life</t>
  </si>
  <si>
    <t>so 2014-ish</t>
  </si>
  <si>
    <t>Expand your consciousness, know yourself and reality on a deeper level, maximize your human experience, become the best version of yourself. _xD83D__xDE4F__xD83C__xDFFC__xD83E__xDD8B__xD83D__xDE07_</t>
  </si>
  <si>
    <t>Dashboards to Desktops Armadillo Notext Desk. The Heads Up Platform for all Platforms. Car &amp; Truck Desks. DIY Places or Removes in (1) Second. The Safer, Legal, Hand Held Alternative. For the vehicularly inclined productive types that wanna git stuff done anytime! Recommended for stationary use only. Use only when stopped, just like the cops! http://www.dashboardstodesktops.com/
SMARTPHONE USAGE/TEXTING BEHIND THE WHEEL IS SMALL, HAZARDOUS, DANGEROUS &amp; ILLEGAL!   ANY AND ALL TIMES BEHIND THE WHEEL!  
COPS LOVE THE RED LIGHTS/INTERSECTIONS TO NAB THE TEXTER'S!
USE YOUR LARGER DEVICES WITH THE D2D, TO BE SAFER, TO BE LEGAL!
Court Co$t$ + Ticket Fee$ + ^ In$urance Premium$ ^ = Hand Held'$ : GO LARGE DEVICE!
D2D is THE SAFER, LEGAL, HAND HELD ALTERNATIVE. 
Providing Productively Platformed Expedience'D NavigationS for Effectively Safer DeviceS Operability, Anytime. #Armadillo #Notext #Desk by #D2D</t>
  </si>
  <si>
    <t>Come and see me irregularly upload random stuff.</t>
  </si>
  <si>
    <t>I have a obsession with reading books. Let’s have fun in this booktubers community. _xD83D__xDCDA__xD83D__xDCDA_</t>
  </si>
  <si>
    <t>Hey guys, I'm Marteen, aka Marra. I currently live on a farm in Scotland with my 3 horses, 2 sheep, 3 guinea pigs, 2 dogs, and a cat! I want to focus this channel on telling you about my animals and daily yard routines etc!! please subscribe and let me know your channels so i can subscribe too :)</t>
  </si>
  <si>
    <t>I dunno man. I'm interested in Effective Altruism, all things Psychology, various other social and behavioural science related...things and philosophy and stuffs.
I write too many immature comments on Youtube. Sorry.</t>
  </si>
  <si>
    <t>مسجد الشيطان</t>
  </si>
  <si>
    <t>These are short episodes with me playing my minecraft IGN of Colonel Graff. I commonly play vanilla Minecraft, and frequently play on mcctf.com. I also like to glitch and abuse mcctf.com and minecraft in general, so I hope I am both educational and entertaining!</t>
  </si>
  <si>
    <t>videos
(uploads)</t>
  </si>
  <si>
    <t>HLR</t>
  </si>
  <si>
    <t>Hello Everyone Please Feel Free To Call Me Dr. Mother,
Not everyone understands the dynamics of a society or culture, so yes there are those who need a practical understanding and application of the topics. Academia provides a more thorough study of these topics but this site is for those who want to understand a more down to earth approach... So our purpose is to share news, events, personalities, information and research that is beneficial to all citizens of the earth. 
We bring you news, personalities and information that can help to understand your role in society and culture on a local, national and global scale. We are the teachers of both psychology and sociology from a down to earth perspective and it is from this premise we connect to you to all the systems and agencies that influence your life.
I am the social-news mentor of the 21st. Century...</t>
  </si>
  <si>
    <t>Freedom Topic Videos, Samples of My Productions, Lighting Tutorials, Music, etc.</t>
  </si>
  <si>
    <t>TripleA here, long time gamer from the days of the original Wolfenstein up to today. 
I'm a fan of any game that strives for realism such as Arma (Czech) and iRacing (North American). My all time favourites have been made by Russian Developers, though. Red Orchestra, IL-2 Sturmovik and Rise of Flight are the games where I have dedicated the most hours combined.
But as much as I loved those great titles, only one game has ever inspired me to make my own Let's Play videos. That game is Escape from Tarkov by Battlestate Games, another Russian Developer. 
This game is about as hardcore as any first person military survival game can get, without being as prohibitive like Arma could sometimes be.
Currently in Beta, I've been a proud supporter since its Alpha days. Find out more at https://www.escapefromtarkov.com/
Thanks for visiting my channel. Now hit that subscribe button and show me some tushonka love.
Escape safely cheeky breeki!</t>
  </si>
  <si>
    <t>Meditation HIgh.</t>
  </si>
  <si>
    <t>Astroponics, news, etc.</t>
  </si>
  <si>
    <t>What's up guys
this is a nice day
don't you think?</t>
  </si>
  <si>
    <t>Personal Improvement Channel</t>
  </si>
  <si>
    <t>John 3:16says for GOD so loved the world that he gave his only begotten son that whosoever believes in him shall not perish but have everlasting life.
I will only be addressing facts.Whenever I give opinion(s) it will be to reinforce those facts.I’m very cautious about being out of pocket, the lane I will be addressing is carnality. It’s very dangerous to speak about things one does not personally understand from experience... For example if one is an electrician then one should speak on electrician... If one is an carpenter then one should speak on carpenter... But neither should speak on building a house... Proven ; true believers understand this concept of owning your lane...refraining as much as humanly possible from either a whistle blow or wet whistles from the lord GOD Almighty... Mark 1:17...the gift of sight has been given me as a herald of JESUS among many &amp; i will share with thee.
Http://www.patreon.com/holybiblelive
https://paypal.me/stPWJtechage?country.x=US&amp;locale.x=en_US</t>
  </si>
  <si>
    <t>Deviantart: https://emberglade.deviantart.com/
Commissions: https://artistsnclients.com/people/Emberglade</t>
  </si>
  <si>
    <t>It's just about me in my retirement years thinking about possibly stepping out a little with the giutar. I would love to find some kindered spirits in North Carolina's Charlotte, Hickory &amp; Statesville area for a blues band and fill up some of the time I have on my hands now. The Bar Babe, Diana made these three videos for me after they coaxed me up on stage at "Pop's Tavern" in the Village of Catawba right off of Exit 138 on I-40 where I live. I'll be looking around in the Raleigh/Durham/Chapple Hill area too.</t>
  </si>
  <si>
    <t xml:space="preserve">Errata: 
I have written on a lot of my comments that Karl Marx's work was only published in the 1930s. That information is wrong (obviously). What Prof. João Paulo Netto (UnB/Brazil) said is (paraphrasing): "What many don't realize is that 2 important books by Marx were published only in the 1930s. One is an early work that sheds light on the development of the German Philosopher. The other, perhaps more important, is known as "Grundrisse" and its full name is "Foundations of the critique of political economy 150 years later" - the work in which Marx describes his method of political economic analysis. 
So, as any great academic, Marx also recognized the shoulders of the many giants. 
</t>
  </si>
  <si>
    <t>Go Away _xD83E__xDD24_</t>
  </si>
  <si>
    <t>Songwriter - I'm using this channel to accumulate material for development.
Collaborators welcome...
Look for an announcement, once I've completed preparations.
_xD83D__xDE0A__xD83C__xDFB6_☮️_xD83D__xDE0E_</t>
  </si>
  <si>
    <t>intellectually stimulating  and entertaining at the same time.</t>
  </si>
  <si>
    <t xml:space="preserve">Commentaries for fans of South Park was my original idea but I realized that's a boring idea. 
Have you ever heard of pop psychology? It's psychology concepts in easy-to-remember nuggets.
This is pop philosophy. 
</t>
  </si>
  <si>
    <t xml:space="preserve">Follow me through insight, wisdom and drama as I document life. </t>
  </si>
  <si>
    <t>As an observant, thoughtful person, I frequently like to find connections between different ideas, art, poems, prose, evocative objects, current events, history and images. Some of my explorations should be obvious to everyone. Others seem far fetched, even to me. Come on along to ride my trains of thought. You never know where you will wind up, except, you just might find yourself pondering a few provoking thoughts outside the box.</t>
  </si>
  <si>
    <t xml:space="preserve">Know nothing say nothing stay stupid </t>
  </si>
  <si>
    <t>Ty _xD83D__xDE0A_</t>
  </si>
  <si>
    <t>Living in Japan, music and science lover. Travel enthusiast. A social nerd.</t>
  </si>
  <si>
    <t>"I have a MAGIC deep inside my soul,
And I share it with OTHERS, that is my goal."</t>
  </si>
  <si>
    <t>"Cintaku pada buku tidak akan pernah padam."</t>
  </si>
  <si>
    <t xml:space="preserve">Circular logic is the bane of my existence </t>
  </si>
  <si>
    <t>drawing art and tree cutting featuring photographers  view of the sky.
carlojonestreeman.wix.com/lotto 
carlojonestreeman@gmail.com</t>
  </si>
  <si>
    <t>Welcome visitors this is my YouTube workshop where I will be keeping all my most recent content available for public broadcasting use.   You can also follow me on FaceBook @52spreads/Apparatus for more content and exclusive details. Thanks for watching and enjoy!</t>
  </si>
  <si>
    <t>dimples r cute. lol</t>
  </si>
  <si>
    <t xml:space="preserve">WELCOME TO MY CHANNEL,  WHERE YOU SUBSCRIBE TO WATCH THE MOST OUTLANDISH THEORIES ABOUT OUR REALITY. </t>
  </si>
  <si>
    <t>bigthink</t>
  </si>
  <si>
    <t>akselladegaard</t>
  </si>
  <si>
    <t>parkerylnoemaneno</t>
  </si>
  <si>
    <t>robeonmew</t>
  </si>
  <si>
    <t>lucastanhuanwei</t>
  </si>
  <si>
    <t>thunderkat</t>
  </si>
  <si>
    <t>ehcbunny4real</t>
  </si>
  <si>
    <t>schaworth</t>
  </si>
  <si>
    <t>phantomcooper</t>
  </si>
  <si>
    <t>jonathanacostavalverde</t>
  </si>
  <si>
    <t>humbledemons</t>
  </si>
  <si>
    <t>leifurthor</t>
  </si>
  <si>
    <t>williamblacklight</t>
  </si>
  <si>
    <t>coffeeisnecessarynowpepper</t>
  </si>
  <si>
    <t>natadzadzamia</t>
  </si>
  <si>
    <t>nickharvey7</t>
  </si>
  <si>
    <t>shaneh</t>
  </si>
  <si>
    <t>adeelkhan1</t>
  </si>
  <si>
    <t>darkskiessiren</t>
  </si>
  <si>
    <t>curtisworthington</t>
  </si>
  <si>
    <t>aravindanumashankar</t>
  </si>
  <si>
    <t>rolandococom</t>
  </si>
  <si>
    <t>donmahaffeyweaverii</t>
  </si>
  <si>
    <t>lifecoachdyce</t>
  </si>
  <si>
    <t>erwineliecerguevarasolano</t>
  </si>
  <si>
    <t>obeysilence</t>
  </si>
  <si>
    <t>drmotherrants</t>
  </si>
  <si>
    <t>liquidcyberpunk</t>
  </si>
  <si>
    <t>alejandrocastrodelgado</t>
  </si>
  <si>
    <t>kampgallery</t>
  </si>
  <si>
    <t>michaelgustavsonarchitect</t>
  </si>
  <si>
    <t>johnwasinger</t>
  </si>
  <si>
    <t>rayantheory</t>
  </si>
  <si>
    <t>Open Channel URL in Browser</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</si>
  <si>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</si>
  <si>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</si>
  <si>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</si>
  <si>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</si>
  <si>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</si>
  <si>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</si>
  <si>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</si>
  <si>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</si>
  <si>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</si>
  <si>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</si>
  <si>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</si>
  <si>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</si>
  <si>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</si>
  <si>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</si>
  <si>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</si>
  <si>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</si>
  <si>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</si>
  <si>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</si>
  <si>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</si>
  <si>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</si>
  <si>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</si>
  <si>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</si>
  <si>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</si>
  <si>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</si>
  <si>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</si>
  <si>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</si>
  <si>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</si>
  <si>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</si>
  <si>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</si>
  <si>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</si>
  <si>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</si>
  <si>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</si>
  <si>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</si>
  <si>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</si>
  <si>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</si>
  <si>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</si>
  <si>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</si>
  <si>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</si>
  <si>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</si>
  <si>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</si>
  <si>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</si>
  <si>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</si>
  <si>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</si>
  <si>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</si>
  <si>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social</t>
  </si>
  <si>
    <t>like</t>
  </si>
  <si>
    <t>think</t>
  </si>
  <si>
    <t>sociology</t>
  </si>
  <si>
    <t>society</t>
  </si>
  <si>
    <t>good</t>
  </si>
  <si>
    <t>suicide</t>
  </si>
  <si>
    <t>life</t>
  </si>
  <si>
    <t>gt</t>
  </si>
  <si>
    <t>wadbvdpee4e</t>
  </si>
  <si>
    <t>great</t>
  </si>
  <si>
    <t>better</t>
  </si>
  <si>
    <t>time</t>
  </si>
  <si>
    <t>interesting</t>
  </si>
  <si>
    <t>understand</t>
  </si>
  <si>
    <t>feel</t>
  </si>
  <si>
    <t>problem</t>
  </si>
  <si>
    <t>study</t>
  </si>
  <si>
    <t>psychology</t>
  </si>
  <si>
    <t>things</t>
  </si>
  <si>
    <t>comment</t>
  </si>
  <si>
    <t>help</t>
  </si>
  <si>
    <t>well</t>
  </si>
  <si>
    <t>00</t>
  </si>
  <si>
    <t>talk</t>
  </si>
  <si>
    <t>network</t>
  </si>
  <si>
    <t>person</t>
  </si>
  <si>
    <t>right</t>
  </si>
  <si>
    <t>being</t>
  </si>
  <si>
    <t>structure</t>
  </si>
  <si>
    <t>college</t>
  </si>
  <si>
    <t>mind</t>
  </si>
  <si>
    <t>love</t>
  </si>
  <si>
    <t>lecture</t>
  </si>
  <si>
    <t>change</t>
  </si>
  <si>
    <t>lot</t>
  </si>
  <si>
    <t>man</t>
  </si>
  <si>
    <t>world</t>
  </si>
  <si>
    <t>behavior</t>
  </si>
  <si>
    <t>lectures</t>
  </si>
  <si>
    <t>bridge</t>
  </si>
  <si>
    <t>best</t>
  </si>
  <si>
    <t>science</t>
  </si>
  <si>
    <t>believe</t>
  </si>
  <si>
    <t>learn</t>
  </si>
  <si>
    <t>guy</t>
  </si>
  <si>
    <t>part</t>
  </si>
  <si>
    <t>idea</t>
  </si>
  <si>
    <t>amazing</t>
  </si>
  <si>
    <t>individual</t>
  </si>
  <si>
    <t>friends</t>
  </si>
  <si>
    <t>surface</t>
  </si>
  <si>
    <t>networks</t>
  </si>
  <si>
    <t>information</t>
  </si>
  <si>
    <t>human</t>
  </si>
  <si>
    <t>agree</t>
  </si>
  <si>
    <t>individuals</t>
  </si>
  <si>
    <t>fat</t>
  </si>
  <si>
    <t>work</t>
  </si>
  <si>
    <t>christakis</t>
  </si>
  <si>
    <t>end</t>
  </si>
  <si>
    <t>food</t>
  </si>
  <si>
    <t>lol</t>
  </si>
  <si>
    <t>keep</t>
  </si>
  <si>
    <t>sociological</t>
  </si>
  <si>
    <t>ve</t>
  </si>
  <si>
    <t>lives</t>
  </si>
  <si>
    <t>long</t>
  </si>
  <si>
    <t>knowledge</t>
  </si>
  <si>
    <t>big</t>
  </si>
  <si>
    <t>degree</t>
  </si>
  <si>
    <t>stupid</t>
  </si>
  <si>
    <t>kill</t>
  </si>
  <si>
    <t>ideas</t>
  </si>
  <si>
    <t>personal</t>
  </si>
  <si>
    <t>obesity</t>
  </si>
  <si>
    <t>words</t>
  </si>
  <si>
    <t>god</t>
  </si>
  <si>
    <t>friend</t>
  </si>
  <si>
    <t>thing</t>
  </si>
  <si>
    <t>hard</t>
  </si>
  <si>
    <t>influence</t>
  </si>
  <si>
    <t>school</t>
  </si>
  <si>
    <t>group</t>
  </si>
  <si>
    <t>bad</t>
  </si>
  <si>
    <t>stuff</t>
  </si>
  <si>
    <t>job</t>
  </si>
  <si>
    <t>sense</t>
  </si>
  <si>
    <t>capitalism</t>
  </si>
  <si>
    <t>thinking</t>
  </si>
  <si>
    <t>try</t>
  </si>
  <si>
    <t>care</t>
  </si>
  <si>
    <t>matter</t>
  </si>
  <si>
    <t>important</t>
  </si>
  <si>
    <t>control</t>
  </si>
  <si>
    <t>reason</t>
  </si>
  <si>
    <t>question</t>
  </si>
  <si>
    <t>money</t>
  </si>
  <si>
    <t>groups</t>
  </si>
  <si>
    <t>sound</t>
  </si>
  <si>
    <t>religion</t>
  </si>
  <si>
    <t>obese</t>
  </si>
  <si>
    <t>20</t>
  </si>
  <si>
    <t>real</t>
  </si>
  <si>
    <t>concept</t>
  </si>
  <si>
    <t>live</t>
  </si>
  <si>
    <t>shit</t>
  </si>
  <si>
    <t>perspective</t>
  </si>
  <si>
    <t>choice</t>
  </si>
  <si>
    <t>simple</t>
  </si>
  <si>
    <t>etc</t>
  </si>
  <si>
    <t>interested</t>
  </si>
  <si>
    <t>torus</t>
  </si>
  <si>
    <t>wrong</t>
  </si>
  <si>
    <t>kind</t>
  </si>
  <si>
    <t>research</t>
  </si>
  <si>
    <t>start</t>
  </si>
  <si>
    <t>data</t>
  </si>
  <si>
    <t>class</t>
  </si>
  <si>
    <t>wow</t>
  </si>
  <si>
    <t>sad</t>
  </si>
  <si>
    <t>nature</t>
  </si>
  <si>
    <t>read</t>
  </si>
  <si>
    <t>10</t>
  </si>
  <si>
    <t>act</t>
  </si>
  <si>
    <t>true</t>
  </si>
  <si>
    <t>watching</t>
  </si>
  <si>
    <t>ll</t>
  </si>
  <si>
    <t>appreciate</t>
  </si>
  <si>
    <t>university</t>
  </si>
  <si>
    <t>exist</t>
  </si>
  <si>
    <t>smart</t>
  </si>
  <si>
    <t>agent</t>
  </si>
  <si>
    <t>answer</t>
  </si>
  <si>
    <t>history</t>
  </si>
  <si>
    <t>eat</t>
  </si>
  <si>
    <t>jump</t>
  </si>
  <si>
    <t>16</t>
  </si>
  <si>
    <t>started</t>
  </si>
  <si>
    <t>evidence</t>
  </si>
  <si>
    <t>method</t>
  </si>
  <si>
    <t>assume</t>
  </si>
  <si>
    <t>guys</t>
  </si>
  <si>
    <t>plot</t>
  </si>
  <si>
    <t>far</t>
  </si>
  <si>
    <t>capital</t>
  </si>
  <si>
    <t>nicholas</t>
  </si>
  <si>
    <t>hope</t>
  </si>
  <si>
    <t>books</t>
  </si>
  <si>
    <t>theory</t>
  </si>
  <si>
    <t>write</t>
  </si>
  <si>
    <t>order</t>
  </si>
  <si>
    <t>negative</t>
  </si>
  <si>
    <t>dislike</t>
  </si>
  <si>
    <t>collective</t>
  </si>
  <si>
    <t>changing</t>
  </si>
  <si>
    <t>trying</t>
  </si>
  <si>
    <t>high</t>
  </si>
  <si>
    <t>personally</t>
  </si>
  <si>
    <t>won</t>
  </si>
  <si>
    <t>current</t>
  </si>
  <si>
    <t>white</t>
  </si>
  <si>
    <t>price</t>
  </si>
  <si>
    <t>dimensional</t>
  </si>
  <si>
    <t>flat</t>
  </si>
  <si>
    <t>sphere</t>
  </si>
  <si>
    <t>decision</t>
  </si>
  <si>
    <t>facts</t>
  </si>
  <si>
    <t>sciences</t>
  </si>
  <si>
    <t>scientific</t>
  </si>
  <si>
    <t>england</t>
  </si>
  <si>
    <t>stand</t>
  </si>
  <si>
    <t>choose</t>
  </si>
  <si>
    <t>die</t>
  </si>
  <si>
    <t>improve</t>
  </si>
  <si>
    <t>times</t>
  </si>
  <si>
    <t>15</t>
  </si>
  <si>
    <t>reality</t>
  </si>
  <si>
    <t>topic</t>
  </si>
  <si>
    <t>comments</t>
  </si>
  <si>
    <t>takes</t>
  </si>
  <si>
    <t>body</t>
  </si>
  <si>
    <t>agency</t>
  </si>
  <si>
    <t>resources</t>
  </si>
  <si>
    <t>check</t>
  </si>
  <si>
    <t>based</t>
  </si>
  <si>
    <t>place</t>
  </si>
  <si>
    <t>media</t>
  </si>
  <si>
    <t>yale</t>
  </si>
  <si>
    <t>down</t>
  </si>
  <si>
    <t>realize</t>
  </si>
  <si>
    <t>obvious</t>
  </si>
  <si>
    <t>action</t>
  </si>
  <si>
    <t>space</t>
  </si>
  <si>
    <t>opinion</t>
  </si>
  <si>
    <t>fascinating</t>
  </si>
  <si>
    <t>post</t>
  </si>
  <si>
    <t>case</t>
  </si>
  <si>
    <t>large</t>
  </si>
  <si>
    <t>understanding</t>
  </si>
  <si>
    <t>engineering</t>
  </si>
  <si>
    <t>form</t>
  </si>
  <si>
    <t>women</t>
  </si>
  <si>
    <t>talking</t>
  </si>
  <si>
    <t>simply</t>
  </si>
  <si>
    <t>totally</t>
  </si>
  <si>
    <t>major</t>
  </si>
  <si>
    <t>math</t>
  </si>
  <si>
    <t>english</t>
  </si>
  <si>
    <t>hate</t>
  </si>
  <si>
    <t>worth</t>
  </si>
  <si>
    <t>psychological</t>
  </si>
  <si>
    <t>heard</t>
  </si>
  <si>
    <t>foundation</t>
  </si>
  <si>
    <t>future</t>
  </si>
  <si>
    <t>experience</t>
  </si>
  <si>
    <t>normal</t>
  </si>
  <si>
    <t>equal</t>
  </si>
  <si>
    <t>lucky</t>
  </si>
  <si>
    <t>quality</t>
  </si>
  <si>
    <t>skills</t>
  </si>
  <si>
    <t>properties</t>
  </si>
  <si>
    <t>moment</t>
  </si>
  <si>
    <t>explained</t>
  </si>
  <si>
    <t>brilliant</t>
  </si>
  <si>
    <t>pretty</t>
  </si>
  <si>
    <t>concepts</t>
  </si>
  <si>
    <t>effects</t>
  </si>
  <si>
    <t>sounds</t>
  </si>
  <si>
    <t>perfect</t>
  </si>
  <si>
    <t>cool</t>
  </si>
  <si>
    <t>evil</t>
  </si>
  <si>
    <t>leave</t>
  </si>
  <si>
    <t>prove</t>
  </si>
  <si>
    <t>reasons</t>
  </si>
  <si>
    <t>explain</t>
  </si>
  <si>
    <t>damn</t>
  </si>
  <si>
    <t>forms</t>
  </si>
  <si>
    <t>dead</t>
  </si>
  <si>
    <t>public</t>
  </si>
  <si>
    <t>value</t>
  </si>
  <si>
    <t>helps</t>
  </si>
  <si>
    <t>killed</t>
  </si>
  <si>
    <t>hear</t>
  </si>
  <si>
    <t>practice</t>
  </si>
  <si>
    <t>muffins</t>
  </si>
  <si>
    <t>beer</t>
  </si>
  <si>
    <t>book</t>
  </si>
  <si>
    <t>31</t>
  </si>
  <si>
    <t>culture</t>
  </si>
  <si>
    <t>fact</t>
  </si>
  <si>
    <t>home</t>
  </si>
  <si>
    <t>fuck</t>
  </si>
  <si>
    <t>burden</t>
  </si>
  <si>
    <t>reading</t>
  </si>
  <si>
    <t>hand</t>
  </si>
  <si>
    <t>effect</t>
  </si>
  <si>
    <t>factors</t>
  </si>
  <si>
    <t>wish</t>
  </si>
  <si>
    <t>bit</t>
  </si>
  <si>
    <t>google</t>
  </si>
  <si>
    <t>dammit</t>
  </si>
  <si>
    <t>40</t>
  </si>
  <si>
    <t>prison</t>
  </si>
  <si>
    <t>parts</t>
  </si>
  <si>
    <t>believes</t>
  </si>
  <si>
    <t>field</t>
  </si>
  <si>
    <t>view</t>
  </si>
  <si>
    <t>14</t>
  </si>
  <si>
    <t>36</t>
  </si>
  <si>
    <t>30</t>
  </si>
  <si>
    <t>patterns</t>
  </si>
  <si>
    <t>purpose</t>
  </si>
  <si>
    <t>option</t>
  </si>
  <si>
    <t>speak</t>
  </si>
  <si>
    <t>depressed</t>
  </si>
  <si>
    <t>rest</t>
  </si>
  <si>
    <t>impossible</t>
  </si>
  <si>
    <t>degrees</t>
  </si>
  <si>
    <t>wait</t>
  </si>
  <si>
    <t>vs</t>
  </si>
  <si>
    <t>examples</t>
  </si>
  <si>
    <t>deep</t>
  </si>
  <si>
    <t>brain</t>
  </si>
  <si>
    <t>conditioned</t>
  </si>
  <si>
    <t>create</t>
  </si>
  <si>
    <t>becouse</t>
  </si>
  <si>
    <t>lt</t>
  </si>
  <si>
    <t>3d</t>
  </si>
  <si>
    <t>word</t>
  </si>
  <si>
    <t>jews</t>
  </si>
  <si>
    <t>critical</t>
  </si>
  <si>
    <t>smarter</t>
  </si>
  <si>
    <t>dimensions</t>
  </si>
  <si>
    <t>nodes</t>
  </si>
  <si>
    <t>socially</t>
  </si>
  <si>
    <t>gg</t>
  </si>
  <si>
    <t>wank</t>
  </si>
  <si>
    <t>affect</t>
  </si>
  <si>
    <t>golden</t>
  </si>
  <si>
    <t>content</t>
  </si>
  <si>
    <t>biological</t>
  </si>
  <si>
    <t>government</t>
  </si>
  <si>
    <t>learned</t>
  </si>
  <si>
    <t>presented</t>
  </si>
  <si>
    <t>sharing</t>
  </si>
  <si>
    <t>notes</t>
  </si>
  <si>
    <t>determine</t>
  </si>
  <si>
    <t>americans</t>
  </si>
  <si>
    <t>weight</t>
  </si>
  <si>
    <t>fiction</t>
  </si>
  <si>
    <t>literally</t>
  </si>
  <si>
    <t>seek</t>
  </si>
  <si>
    <t>extra</t>
  </si>
  <si>
    <t>decisions</t>
  </si>
  <si>
    <t>starting</t>
  </si>
  <si>
    <t>factor</t>
  </si>
  <si>
    <t>apply</t>
  </si>
  <si>
    <t>aspects</t>
  </si>
  <si>
    <t>assumed</t>
  </si>
  <si>
    <t>truth</t>
  </si>
  <si>
    <t>helping</t>
  </si>
  <si>
    <t>failed</t>
  </si>
  <si>
    <t>trees</t>
  </si>
  <si>
    <t>facebook</t>
  </si>
  <si>
    <t>explanation</t>
  </si>
  <si>
    <t>fast</t>
  </si>
  <si>
    <t>happy</t>
  </si>
  <si>
    <t>honest</t>
  </si>
  <si>
    <t>humans</t>
  </si>
  <si>
    <t>air</t>
  </si>
  <si>
    <t>allowed</t>
  </si>
  <si>
    <t>path</t>
  </si>
  <si>
    <t>correct</t>
  </si>
  <si>
    <t>aware</t>
  </si>
  <si>
    <t>terms</t>
  </si>
  <si>
    <t>connected</t>
  </si>
  <si>
    <t>mass</t>
  </si>
  <si>
    <t>linked</t>
  </si>
  <si>
    <t>death</t>
  </si>
  <si>
    <t>average</t>
  </si>
  <si>
    <t>studies</t>
  </si>
  <si>
    <t>issue</t>
  </si>
  <si>
    <t>fantastic</t>
  </si>
  <si>
    <t>loved</t>
  </si>
  <si>
    <t>error</t>
  </si>
  <si>
    <t>stopped</t>
  </si>
  <si>
    <t>lost</t>
  </si>
  <si>
    <t>1880</t>
  </si>
  <si>
    <t>mental</t>
  </si>
  <si>
    <t>process</t>
  </si>
  <si>
    <t>yeah</t>
  </si>
  <si>
    <t>minds</t>
  </si>
  <si>
    <t>called</t>
  </si>
  <si>
    <t>policy</t>
  </si>
  <si>
    <t>views</t>
  </si>
  <si>
    <t>notion</t>
  </si>
  <si>
    <t>studying</t>
  </si>
  <si>
    <t>model</t>
  </si>
  <si>
    <t>course</t>
  </si>
  <si>
    <t>subject</t>
  </si>
  <si>
    <t>28</t>
  </si>
  <si>
    <t>talks</t>
  </si>
  <si>
    <t>matters</t>
  </si>
  <si>
    <t>inequality</t>
  </si>
  <si>
    <t>physics</t>
  </si>
  <si>
    <t>hobby</t>
  </si>
  <si>
    <t>dark</t>
  </si>
  <si>
    <t>solution</t>
  </si>
  <si>
    <t>physical</t>
  </si>
  <si>
    <t>persons</t>
  </si>
  <si>
    <t>ignorance</t>
  </si>
  <si>
    <t>shape</t>
  </si>
  <si>
    <t>dots</t>
  </si>
  <si>
    <t>birth</t>
  </si>
  <si>
    <t>50</t>
  </si>
  <si>
    <t>black</t>
  </si>
  <si>
    <t>role</t>
  </si>
  <si>
    <t>continues</t>
  </si>
  <si>
    <t>vision</t>
  </si>
  <si>
    <t>btw</t>
  </si>
  <si>
    <t>problems</t>
  </si>
  <si>
    <t>sleep</t>
  </si>
  <si>
    <t>note</t>
  </si>
  <si>
    <t>changed</t>
  </si>
  <si>
    <t>loads</t>
  </si>
  <si>
    <t>born</t>
  </si>
  <si>
    <t>watched</t>
  </si>
  <si>
    <t>000</t>
  </si>
  <si>
    <t>open</t>
  </si>
  <si>
    <t>country</t>
  </si>
  <si>
    <t>beautiful</t>
  </si>
  <si>
    <t>apple</t>
  </si>
  <si>
    <t>show</t>
  </si>
  <si>
    <t>internet</t>
  </si>
  <si>
    <t>learning</t>
  </si>
  <si>
    <t>material</t>
  </si>
  <si>
    <t>changes</t>
  </si>
  <si>
    <t>chance</t>
  </si>
  <si>
    <t>function</t>
  </si>
  <si>
    <t>barrier</t>
  </si>
  <si>
    <t>image</t>
  </si>
  <si>
    <t>acceptance</t>
  </si>
  <si>
    <t>accepted</t>
  </si>
  <si>
    <t>hyper</t>
  </si>
  <si>
    <t>distort</t>
  </si>
  <si>
    <t>useless</t>
  </si>
  <si>
    <t>mad</t>
  </si>
  <si>
    <t>depression</t>
  </si>
  <si>
    <t>honestly</t>
  </si>
  <si>
    <t>biology</t>
  </si>
  <si>
    <t>useful</t>
  </si>
  <si>
    <t>available</t>
  </si>
  <si>
    <t>dike</t>
  </si>
  <si>
    <t>nets</t>
  </si>
  <si>
    <t>join</t>
  </si>
  <si>
    <t>britain</t>
  </si>
  <si>
    <t>sociologists</t>
  </si>
  <si>
    <t>exact</t>
  </si>
  <si>
    <t>mold</t>
  </si>
  <si>
    <t>statement</t>
  </si>
  <si>
    <t>searching</t>
  </si>
  <si>
    <t>health</t>
  </si>
  <si>
    <t>determined</t>
  </si>
  <si>
    <t>acute</t>
  </si>
  <si>
    <t>energy</t>
  </si>
  <si>
    <t>fundamental</t>
  </si>
  <si>
    <t>graph</t>
  </si>
  <si>
    <t>dr</t>
  </si>
  <si>
    <t>valuable</t>
  </si>
  <si>
    <t>removing</t>
  </si>
  <si>
    <t>deal</t>
  </si>
  <si>
    <t>gate</t>
  </si>
  <si>
    <t>natural</t>
  </si>
  <si>
    <t>line</t>
  </si>
  <si>
    <t>cut</t>
  </si>
  <si>
    <t>posting</t>
  </si>
  <si>
    <t>cares</t>
  </si>
  <si>
    <t>private</t>
  </si>
  <si>
    <t>75</t>
  </si>
  <si>
    <t>stop</t>
  </si>
  <si>
    <t>myspace</t>
  </si>
  <si>
    <t>story</t>
  </si>
  <si>
    <t>mestre</t>
  </si>
  <si>
    <t>cristákens</t>
  </si>
  <si>
    <t>operate</t>
  </si>
  <si>
    <t>faith</t>
  </si>
  <si>
    <t>organized</t>
  </si>
  <si>
    <t>finally</t>
  </si>
  <si>
    <t>intellectually</t>
  </si>
  <si>
    <t>appears</t>
  </si>
  <si>
    <t>ppl</t>
  </si>
  <si>
    <t>worry</t>
  </si>
  <si>
    <t>viewed</t>
  </si>
  <si>
    <t>forced</t>
  </si>
  <si>
    <t>longer</t>
  </si>
  <si>
    <t>jumped</t>
  </si>
  <si>
    <t>letters</t>
  </si>
  <si>
    <t>working</t>
  </si>
  <si>
    <t>living</t>
  </si>
  <si>
    <t>family</t>
  </si>
  <si>
    <t>wrote</t>
  </si>
  <si>
    <t>created</t>
  </si>
  <si>
    <t>driven</t>
  </si>
  <si>
    <t>positive</t>
  </si>
  <si>
    <t>analysis</t>
  </si>
  <si>
    <t>edge</t>
  </si>
  <si>
    <t>excellent</t>
  </si>
  <si>
    <t>straight</t>
  </si>
  <si>
    <t>mechanism</t>
  </si>
  <si>
    <t>display</t>
  </si>
  <si>
    <t>result</t>
  </si>
  <si>
    <t>support</t>
  </si>
  <si>
    <t>disease</t>
  </si>
  <si>
    <t>chemical</t>
  </si>
  <si>
    <t>state</t>
  </si>
  <si>
    <t>answers</t>
  </si>
  <si>
    <t>judge</t>
  </si>
  <si>
    <t>realized</t>
  </si>
  <si>
    <t>attack</t>
  </si>
  <si>
    <t>pause</t>
  </si>
  <si>
    <t>countries</t>
  </si>
  <si>
    <t>test</t>
  </si>
  <si>
    <t>recommend</t>
  </si>
  <si>
    <t>healthy</t>
  </si>
  <si>
    <t>teaching</t>
  </si>
  <si>
    <t>age</t>
  </si>
  <si>
    <t>1935</t>
  </si>
  <si>
    <t>carbon</t>
  </si>
  <si>
    <t>belief</t>
  </si>
  <si>
    <t>piece</t>
  </si>
  <si>
    <t>presentation</t>
  </si>
  <si>
    <t>15m00s</t>
  </si>
  <si>
    <t>power</t>
  </si>
  <si>
    <t>highly</t>
  </si>
  <si>
    <t>processes</t>
  </si>
  <si>
    <t>mindset</t>
  </si>
  <si>
    <t>commented</t>
  </si>
  <si>
    <t>listen</t>
  </si>
  <si>
    <t>ask</t>
  </si>
  <si>
    <t>claimed</t>
  </si>
  <si>
    <t>acceptable</t>
  </si>
  <si>
    <t>topics</t>
  </si>
  <si>
    <t>phd</t>
  </si>
  <si>
    <t>26</t>
  </si>
  <si>
    <t>11</t>
  </si>
  <si>
    <t>meet</t>
  </si>
  <si>
    <t>computer</t>
  </si>
  <si>
    <t>plots</t>
  </si>
  <si>
    <t>crap</t>
  </si>
  <si>
    <t>aids</t>
  </si>
  <si>
    <t>environment</t>
  </si>
  <si>
    <t>organism</t>
  </si>
  <si>
    <t>actual</t>
  </si>
  <si>
    <t>exists</t>
  </si>
  <si>
    <t>income</t>
  </si>
  <si>
    <t>difficult</t>
  </si>
  <si>
    <t>networking</t>
  </si>
  <si>
    <t>present</t>
  </si>
  <si>
    <t>jumping</t>
  </si>
  <si>
    <t>creating</t>
  </si>
  <si>
    <t>dude</t>
  </si>
  <si>
    <t>halloween</t>
  </si>
  <si>
    <t>guess</t>
  </si>
  <si>
    <t>specifically</t>
  </si>
  <si>
    <t>students</t>
  </si>
  <si>
    <t>completely</t>
  </si>
  <si>
    <t>bullshit</t>
  </si>
  <si>
    <t>population</t>
  </si>
  <si>
    <t>harvard</t>
  </si>
  <si>
    <t>intelligence</t>
  </si>
  <si>
    <t>questions</t>
  </si>
  <si>
    <t>attention</t>
  </si>
  <si>
    <t>basically</t>
  </si>
  <si>
    <t>express</t>
  </si>
  <si>
    <t>past</t>
  </si>
  <si>
    <t>explains</t>
  </si>
  <si>
    <t>structures</t>
  </si>
  <si>
    <t>personality</t>
  </si>
  <si>
    <t>functions</t>
  </si>
  <si>
    <t>seeking</t>
  </si>
  <si>
    <t>thinks</t>
  </si>
  <si>
    <t>majority</t>
  </si>
  <si>
    <t>race</t>
  </si>
  <si>
    <t>board</t>
  </si>
  <si>
    <t>plays</t>
  </si>
  <si>
    <t>final</t>
  </si>
  <si>
    <t>ill</t>
  </si>
  <si>
    <t>call</t>
  </si>
  <si>
    <t>29</t>
  </si>
  <si>
    <t>surely</t>
  </si>
  <si>
    <t>catch</t>
  </si>
  <si>
    <t>mention</t>
  </si>
  <si>
    <t>interest</t>
  </si>
  <si>
    <t>quote</t>
  </si>
  <si>
    <t>anti</t>
  </si>
  <si>
    <t>firepa</t>
  </si>
  <si>
    <t>online</t>
  </si>
  <si>
    <t>map</t>
  </si>
  <si>
    <t>choices</t>
  </si>
  <si>
    <t>unlocked</t>
  </si>
  <si>
    <t>18</t>
  </si>
  <si>
    <t>education</t>
  </si>
  <si>
    <t>modern</t>
  </si>
  <si>
    <t>eating</t>
  </si>
  <si>
    <t>artificial</t>
  </si>
  <si>
    <t>moss</t>
  </si>
  <si>
    <t>bro</t>
  </si>
  <si>
    <t>middle</t>
  </si>
  <si>
    <t>threat</t>
  </si>
  <si>
    <t>spend</t>
  </si>
  <si>
    <t>bernays</t>
  </si>
  <si>
    <t>jewish</t>
  </si>
  <si>
    <t>easily</t>
  </si>
  <si>
    <t>continued</t>
  </si>
  <si>
    <t>depressing</t>
  </si>
  <si>
    <t>raised</t>
  </si>
  <si>
    <t>happiness</t>
  </si>
  <si>
    <t>difference</t>
  </si>
  <si>
    <t>argument</t>
  </si>
  <si>
    <t>meant</t>
  </si>
  <si>
    <t>allowing</t>
  </si>
  <si>
    <t>student</t>
  </si>
  <si>
    <t>familiar</t>
  </si>
  <si>
    <t>13</t>
  </si>
  <si>
    <t>provide</t>
  </si>
  <si>
    <t>spacial</t>
  </si>
  <si>
    <t>dimension</t>
  </si>
  <si>
    <t>equi</t>
  </si>
  <si>
    <t>distant</t>
  </si>
  <si>
    <t>lay</t>
  </si>
  <si>
    <t>close</t>
  </si>
  <si>
    <t>approval</t>
  </si>
  <si>
    <t>piss</t>
  </si>
  <si>
    <t>colleges</t>
  </si>
  <si>
    <t>engage</t>
  </si>
  <si>
    <t>title</t>
  </si>
  <si>
    <t>connections</t>
  </si>
  <si>
    <t>pay</t>
  </si>
  <si>
    <t>feels</t>
  </si>
  <si>
    <t>huge</t>
  </si>
  <si>
    <t>game</t>
  </si>
  <si>
    <t>insight</t>
  </si>
  <si>
    <t>silly</t>
  </si>
  <si>
    <t>destroyed</t>
  </si>
  <si>
    <t>tools</t>
  </si>
  <si>
    <t>scientifics</t>
  </si>
  <si>
    <t>accept</t>
  </si>
  <si>
    <t>status</t>
  </si>
  <si>
    <t>blew</t>
  </si>
  <si>
    <t>omg</t>
  </si>
  <si>
    <t>insane</t>
  </si>
  <si>
    <t>city</t>
  </si>
  <si>
    <t>jeans</t>
  </si>
  <si>
    <t>definitions</t>
  </si>
  <si>
    <t>vocabulary</t>
  </si>
  <si>
    <t>told</t>
  </si>
  <si>
    <t>butt</t>
  </si>
  <si>
    <t>forgiven</t>
  </si>
  <si>
    <t>eternity</t>
  </si>
  <si>
    <t>covid</t>
  </si>
  <si>
    <t>slime</t>
  </si>
  <si>
    <t>follows</t>
  </si>
  <si>
    <t>observation</t>
  </si>
  <si>
    <t>include</t>
  </si>
  <si>
    <t>initial</t>
  </si>
  <si>
    <t>assuming</t>
  </si>
  <si>
    <t>predetermined</t>
  </si>
  <si>
    <t>responsibility</t>
  </si>
  <si>
    <t>connect</t>
  </si>
  <si>
    <t>ignore</t>
  </si>
  <si>
    <t>prevent</t>
  </si>
  <si>
    <t>nixon</t>
  </si>
  <si>
    <t>focused</t>
  </si>
  <si>
    <t>tree</t>
  </si>
  <si>
    <t>alive</t>
  </si>
  <si>
    <t>cheap</t>
  </si>
  <si>
    <t>actualize</t>
  </si>
  <si>
    <t>monitoring</t>
  </si>
  <si>
    <t>developed</t>
  </si>
  <si>
    <t>24</t>
  </si>
  <si>
    <t>destroying</t>
  </si>
  <si>
    <t>inherent</t>
  </si>
  <si>
    <t>destruction</t>
  </si>
  <si>
    <t>build</t>
  </si>
  <si>
    <t>children</t>
  </si>
  <si>
    <t>retired</t>
  </si>
  <si>
    <t>bunch</t>
  </si>
  <si>
    <t>system</t>
  </si>
  <si>
    <t>nietzsche</t>
  </si>
  <si>
    <t>legal</t>
  </si>
  <si>
    <t>saved</t>
  </si>
  <si>
    <t>impressed</t>
  </si>
  <si>
    <t>annoying</t>
  </si>
  <si>
    <t>probability</t>
  </si>
  <si>
    <t>statistics</t>
  </si>
  <si>
    <t>fault</t>
  </si>
  <si>
    <t>corporations</t>
  </si>
  <si>
    <t>alternative</t>
  </si>
  <si>
    <t>folks</t>
  </si>
  <si>
    <t>holism</t>
  </si>
  <si>
    <t>superior</t>
  </si>
  <si>
    <t>productive</t>
  </si>
  <si>
    <t>type</t>
  </si>
  <si>
    <t>relief</t>
  </si>
  <si>
    <t>doctors</t>
  </si>
  <si>
    <t>drugs</t>
  </si>
  <si>
    <t>societal</t>
  </si>
  <si>
    <t>spread</t>
  </si>
  <si>
    <t>humanity</t>
  </si>
  <si>
    <t>desperately</t>
  </si>
  <si>
    <t>crime</t>
  </si>
  <si>
    <t>unnecessary</t>
  </si>
  <si>
    <t>bloody</t>
  </si>
  <si>
    <t>values</t>
  </si>
  <si>
    <t>hmm</t>
  </si>
  <si>
    <t>parents</t>
  </si>
  <si>
    <t>socio</t>
  </si>
  <si>
    <t>topological</t>
  </si>
  <si>
    <t>hypersurface</t>
  </si>
  <si>
    <t>meaning</t>
  </si>
  <si>
    <t>connection</t>
  </si>
  <si>
    <t>remains</t>
  </si>
  <si>
    <t>fixed</t>
  </si>
  <si>
    <t>described</t>
  </si>
  <si>
    <t>variables</t>
  </si>
  <si>
    <t>durkheim</t>
  </si>
  <si>
    <t>chained</t>
  </si>
  <si>
    <t>land</t>
  </si>
  <si>
    <t>comparing</t>
  </si>
  <si>
    <t>unnatural</t>
  </si>
  <si>
    <t>glad</t>
  </si>
  <si>
    <t>holographic</t>
  </si>
  <si>
    <t>weapons</t>
  </si>
  <si>
    <t>political</t>
  </si>
  <si>
    <t>mutual</t>
  </si>
  <si>
    <t>respect</t>
  </si>
  <si>
    <t>interpretation</t>
  </si>
  <si>
    <t>string</t>
  </si>
  <si>
    <t>waste</t>
  </si>
  <si>
    <t>ridiculous</t>
  </si>
  <si>
    <t>framing</t>
  </si>
  <si>
    <t>sorts</t>
  </si>
  <si>
    <t>messed</t>
  </si>
  <si>
    <t>introduction</t>
  </si>
  <si>
    <t>não</t>
  </si>
  <si>
    <t>buy</t>
  </si>
  <si>
    <t>plan</t>
  </si>
  <si>
    <t>instantly</t>
  </si>
  <si>
    <t>demon</t>
  </si>
  <si>
    <t>attacking</t>
  </si>
  <si>
    <t>fled</t>
  </si>
  <si>
    <t>creature</t>
  </si>
  <si>
    <t>subjective</t>
  </si>
  <si>
    <t>insightful</t>
  </si>
  <si>
    <t>covered</t>
  </si>
  <si>
    <t>habits</t>
  </si>
  <si>
    <t>interests</t>
  </si>
  <si>
    <t>55</t>
  </si>
  <si>
    <t>water</t>
  </si>
  <si>
    <t>fan</t>
  </si>
  <si>
    <t>closer</t>
  </si>
  <si>
    <t>shows</t>
  </si>
  <si>
    <t>moral</t>
  </si>
  <si>
    <t>minutes</t>
  </si>
  <si>
    <t>wishes</t>
  </si>
  <si>
    <t>time_continue</t>
  </si>
  <si>
    <t>ttndcgqjvfm</t>
  </si>
  <si>
    <t>scientist</t>
  </si>
  <si>
    <t>trust</t>
  </si>
  <si>
    <t>survive</t>
  </si>
  <si>
    <t>fit</t>
  </si>
  <si>
    <t>kids</t>
  </si>
  <si>
    <t>avoid</t>
  </si>
  <si>
    <t>disagree</t>
  </si>
  <si>
    <t>observing</t>
  </si>
  <si>
    <t>irrationality</t>
  </si>
  <si>
    <t>central</t>
  </si>
  <si>
    <t>meaningful</t>
  </si>
  <si>
    <t>teach</t>
  </si>
  <si>
    <t>noticed</t>
  </si>
  <si>
    <t>attempts</t>
  </si>
  <si>
    <t>parent</t>
  </si>
  <si>
    <t>roles</t>
  </si>
  <si>
    <t>approve</t>
  </si>
  <si>
    <t>attempt</t>
  </si>
  <si>
    <t>fair</t>
  </si>
  <si>
    <t>telling</t>
  </si>
  <si>
    <t>behaviors</t>
  </si>
  <si>
    <t>advice</t>
  </si>
  <si>
    <t>famous</t>
  </si>
  <si>
    <t>advocate</t>
  </si>
  <si>
    <t>families</t>
  </si>
  <si>
    <t>goal</t>
  </si>
  <si>
    <t>decide</t>
  </si>
  <si>
    <t>level</t>
  </si>
  <si>
    <t>tool</t>
  </si>
  <si>
    <t>suppose</t>
  </si>
  <si>
    <t>structural</t>
  </si>
  <si>
    <t>ma</t>
  </si>
  <si>
    <t>14m36s</t>
  </si>
  <si>
    <t>embedded</t>
  </si>
  <si>
    <t>flesh</t>
  </si>
  <si>
    <t>36m00s</t>
  </si>
  <si>
    <t>34</t>
  </si>
  <si>
    <t>30m00s</t>
  </si>
  <si>
    <t>35</t>
  </si>
  <si>
    <t>k2okfnagwlw</t>
  </si>
  <si>
    <t>transition</t>
  </si>
  <si>
    <t>floating</t>
  </si>
  <si>
    <t>capitalist</t>
  </si>
  <si>
    <t>context</t>
  </si>
  <si>
    <t>character</t>
  </si>
  <si>
    <t>logic</t>
  </si>
  <si>
    <t>systems</t>
  </si>
  <si>
    <t>lesson</t>
  </si>
  <si>
    <t>serves</t>
  </si>
  <si>
    <t>greater</t>
  </si>
  <si>
    <t>mentions</t>
  </si>
  <si>
    <t>rich</t>
  </si>
  <si>
    <t>poor</t>
  </si>
  <si>
    <t>girl</t>
  </si>
  <si>
    <t>committed</t>
  </si>
  <si>
    <t>ending</t>
  </si>
  <si>
    <t>excuse</t>
  </si>
  <si>
    <t>chris</t>
  </si>
  <si>
    <t>super</t>
  </si>
  <si>
    <t>ideology</t>
  </si>
  <si>
    <t>dogmas</t>
  </si>
  <si>
    <t>socialism</t>
  </si>
  <si>
    <t>happened</t>
  </si>
  <si>
    <t>1st</t>
  </si>
  <si>
    <t>offensive</t>
  </si>
  <si>
    <t>frankly</t>
  </si>
  <si>
    <t>dumb</t>
  </si>
  <si>
    <t>100</t>
  </si>
  <si>
    <t>psycho</t>
  </si>
  <si>
    <t>soft</t>
  </si>
  <si>
    <t>nonsense</t>
  </si>
  <si>
    <t>law</t>
  </si>
  <si>
    <t>idiot</t>
  </si>
  <si>
    <t>worst</t>
  </si>
  <si>
    <t>describing</t>
  </si>
  <si>
    <t>depends</t>
  </si>
  <si>
    <t>everytime</t>
  </si>
  <si>
    <t>car</t>
  </si>
  <si>
    <t>collecting</t>
  </si>
  <si>
    <t>stackexchange</t>
  </si>
  <si>
    <t>1308713</t>
  </si>
  <si>
    <t>clique</t>
  </si>
  <si>
    <t>percolation</t>
  </si>
  <si>
    <t>calculation</t>
  </si>
  <si>
    <t>car0line</t>
  </si>
  <si>
    <t>adams</t>
  </si>
  <si>
    <t>chase</t>
  </si>
  <si>
    <t>grouped</t>
  </si>
  <si>
    <t>implement</t>
  </si>
  <si>
    <t>yohhanes</t>
  </si>
  <si>
    <t>experiences</t>
  </si>
  <si>
    <t>search</t>
  </si>
  <si>
    <t>worried</t>
  </si>
  <si>
    <t>overcome</t>
  </si>
  <si>
    <t>reach</t>
  </si>
  <si>
    <t>debate</t>
  </si>
  <si>
    <t>prefer</t>
  </si>
  <si>
    <t>higher</t>
  </si>
  <si>
    <t>imply</t>
  </si>
  <si>
    <t>superficial</t>
  </si>
  <si>
    <t>explanations</t>
  </si>
  <si>
    <t>characteristics</t>
  </si>
  <si>
    <t>basis</t>
  </si>
  <si>
    <t>fire</t>
  </si>
  <si>
    <t>transistor</t>
  </si>
  <si>
    <t>societies</t>
  </si>
  <si>
    <t>troll</t>
  </si>
  <si>
    <t>complain</t>
  </si>
  <si>
    <t>coming</t>
  </si>
  <si>
    <t>indoctrination</t>
  </si>
  <si>
    <t>undergo</t>
  </si>
  <si>
    <t>supposed</t>
  </si>
  <si>
    <t>week</t>
  </si>
  <si>
    <t>programed</t>
  </si>
  <si>
    <t>morals</t>
  </si>
  <si>
    <t>ideals</t>
  </si>
  <si>
    <t>meeting</t>
  </si>
  <si>
    <t>trans</t>
  </si>
  <si>
    <t>canvas</t>
  </si>
  <si>
    <t>blank</t>
  </si>
  <si>
    <t>painted</t>
  </si>
  <si>
    <t>creates</t>
  </si>
  <si>
    <t>reimagine</t>
  </si>
  <si>
    <t>entire</t>
  </si>
  <si>
    <t>dim</t>
  </si>
  <si>
    <t>pure</t>
  </si>
  <si>
    <t>predict</t>
  </si>
  <si>
    <t>react</t>
  </si>
  <si>
    <t>situations</t>
  </si>
  <si>
    <t>typo</t>
  </si>
  <si>
    <t>head</t>
  </si>
  <si>
    <t>standard</t>
  </si>
  <si>
    <t>flow</t>
  </si>
  <si>
    <t>approach</t>
  </si>
  <si>
    <t>insult</t>
  </si>
  <si>
    <t>lack</t>
  </si>
  <si>
    <t>equally</t>
  </si>
  <si>
    <t>left</t>
  </si>
  <si>
    <t>blame</t>
  </si>
  <si>
    <t>hatred</t>
  </si>
  <si>
    <t>crazy</t>
  </si>
  <si>
    <t>suicides</t>
  </si>
  <si>
    <t>remembered</t>
  </si>
  <si>
    <t>egoism</t>
  </si>
  <si>
    <t>practical</t>
  </si>
  <si>
    <t>count</t>
  </si>
  <si>
    <t>influenced</t>
  </si>
  <si>
    <t>greatly</t>
  </si>
  <si>
    <t>observe</t>
  </si>
  <si>
    <t>achieve</t>
  </si>
  <si>
    <t>14159</t>
  </si>
  <si>
    <t>complex</t>
  </si>
  <si>
    <t>easy</t>
  </si>
  <si>
    <t>gossip</t>
  </si>
  <si>
    <t>light</t>
  </si>
  <si>
    <t>importance</t>
  </si>
  <si>
    <t>strong</t>
  </si>
  <si>
    <t>politics</t>
  </si>
  <si>
    <t>euclid</t>
  </si>
  <si>
    <t>sum</t>
  </si>
  <si>
    <t>brought</t>
  </si>
  <si>
    <t>website</t>
  </si>
  <si>
    <t>contribution</t>
  </si>
  <si>
    <t>epidemiology</t>
  </si>
  <si>
    <t>thumbs</t>
  </si>
  <si>
    <t>naive</t>
  </si>
  <si>
    <t>32gb</t>
  </si>
  <si>
    <t>led</t>
  </si>
  <si>
    <t>hdtv</t>
  </si>
  <si>
    <t>camera</t>
  </si>
  <si>
    <t>tingling</t>
  </si>
  <si>
    <t>suicidal</t>
  </si>
  <si>
    <t>giant</t>
  </si>
  <si>
    <t>months</t>
  </si>
  <si>
    <t>training</t>
  </si>
  <si>
    <t>interaction</t>
  </si>
  <si>
    <t>describe</t>
  </si>
  <si>
    <t>mins</t>
  </si>
  <si>
    <t>mutter</t>
  </si>
  <si>
    <t>differences</t>
  </si>
  <si>
    <t>races</t>
  </si>
  <si>
    <t>properly</t>
  </si>
  <si>
    <t>automatically</t>
  </si>
  <si>
    <t>putting</t>
  </si>
  <si>
    <t>eliminate</t>
  </si>
  <si>
    <t>block</t>
  </si>
  <si>
    <t>islam</t>
  </si>
  <si>
    <t>borned</t>
  </si>
  <si>
    <t>genius</t>
  </si>
  <si>
    <t>perfectly</t>
  </si>
  <si>
    <t>member</t>
  </si>
  <si>
    <t>bautiful</t>
  </si>
  <si>
    <t>56</t>
  </si>
  <si>
    <t>knowing</t>
  </si>
  <si>
    <t>sadly</t>
  </si>
  <si>
    <t>solving</t>
  </si>
  <si>
    <t>edvard</t>
  </si>
  <si>
    <t>smoking</t>
  </si>
  <si>
    <t>cultural</t>
  </si>
  <si>
    <t>liking</t>
  </si>
  <si>
    <t>sick</t>
  </si>
  <si>
    <t>easier</t>
  </si>
  <si>
    <t>sentences</t>
  </si>
  <si>
    <t>sort</t>
  </si>
  <si>
    <t>philosophy</t>
  </si>
  <si>
    <t>psyches</t>
  </si>
  <si>
    <t>weather</t>
  </si>
  <si>
    <t>claim</t>
  </si>
  <si>
    <t>proves</t>
  </si>
  <si>
    <t>limited</t>
  </si>
  <si>
    <t>barriers</t>
  </si>
  <si>
    <t>insights</t>
  </si>
  <si>
    <t>existence</t>
  </si>
  <si>
    <t>absolutely</t>
  </si>
  <si>
    <t>remaining</t>
  </si>
  <si>
    <t>cont2</t>
  </si>
  <si>
    <t>cop</t>
  </si>
  <si>
    <t>trivial</t>
  </si>
  <si>
    <t>related</t>
  </si>
  <si>
    <t>breathing</t>
  </si>
  <si>
    <t>options</t>
  </si>
  <si>
    <t>previous</t>
  </si>
  <si>
    <t>experienced</t>
  </si>
  <si>
    <t>pick</t>
  </si>
  <si>
    <t>fun</t>
  </si>
  <si>
    <t>commenting</t>
  </si>
  <si>
    <t>likes</t>
  </si>
  <si>
    <t>artist</t>
  </si>
  <si>
    <t>uncertainty</t>
  </si>
  <si>
    <t>rationalization</t>
  </si>
  <si>
    <t>professor</t>
  </si>
  <si>
    <t>jew</t>
  </si>
  <si>
    <t>treat</t>
  </si>
  <si>
    <t>figure</t>
  </si>
  <si>
    <t>powerful</t>
  </si>
  <si>
    <t>positions</t>
  </si>
  <si>
    <t>thousands</t>
  </si>
  <si>
    <t>conversation</t>
  </si>
  <si>
    <t>gather</t>
  </si>
  <si>
    <t>specific</t>
  </si>
  <si>
    <t>adds</t>
  </si>
  <si>
    <t>rocks</t>
  </si>
  <si>
    <t>genetically</t>
  </si>
  <si>
    <t>engineered</t>
  </si>
  <si>
    <t>market</t>
  </si>
  <si>
    <t>caused</t>
  </si>
  <si>
    <t>increased</t>
  </si>
  <si>
    <t>considered</t>
  </si>
  <si>
    <t>imagine</t>
  </si>
  <si>
    <t>yay</t>
  </si>
  <si>
    <t>spiral</t>
  </si>
  <si>
    <t>situation</t>
  </si>
  <si>
    <t>safety</t>
  </si>
  <si>
    <t>preventing</t>
  </si>
  <si>
    <t>building</t>
  </si>
  <si>
    <t>effective</t>
  </si>
  <si>
    <t>educated</t>
  </si>
  <si>
    <t>subscribed</t>
  </si>
  <si>
    <t>continue</t>
  </si>
  <si>
    <t>style</t>
  </si>
  <si>
    <t>save</t>
  </si>
  <si>
    <t>inspired</t>
  </si>
  <si>
    <t>picture</t>
  </si>
  <si>
    <t>informal</t>
  </si>
  <si>
    <t>emoticons</t>
  </si>
  <si>
    <t>stating</t>
  </si>
  <si>
    <t>solutions</t>
  </si>
  <si>
    <t>posted</t>
  </si>
  <si>
    <t>reply</t>
  </si>
  <si>
    <t>following</t>
  </si>
  <si>
    <t>language</t>
  </si>
  <si>
    <t>response</t>
  </si>
  <si>
    <t>2d</t>
  </si>
  <si>
    <t>07</t>
  </si>
  <si>
    <t>05</t>
  </si>
  <si>
    <t>hypercube</t>
  </si>
  <si>
    <t>lines</t>
  </si>
  <si>
    <t>jargon</t>
  </si>
  <si>
    <t>curved</t>
  </si>
  <si>
    <t>proving</t>
  </si>
  <si>
    <t>term</t>
  </si>
  <si>
    <t>street</t>
  </si>
  <si>
    <t>seeks</t>
  </si>
  <si>
    <t>pissed</t>
  </si>
  <si>
    <t>access</t>
  </si>
  <si>
    <t>faster</t>
  </si>
  <si>
    <t>38</t>
  </si>
  <si>
    <t>wtf</t>
  </si>
  <si>
    <t>blah</t>
  </si>
  <si>
    <t>minded</t>
  </si>
  <si>
    <t>ignorant</t>
  </si>
  <si>
    <t>bastards</t>
  </si>
  <si>
    <t>collectivism</t>
  </si>
  <si>
    <t>individuality</t>
  </si>
  <si>
    <t>49</t>
  </si>
  <si>
    <t>clicked</t>
  </si>
  <si>
    <t>communicating</t>
  </si>
  <si>
    <t>holon</t>
  </si>
  <si>
    <t>distorted</t>
  </si>
  <si>
    <t>logical</t>
  </si>
  <si>
    <t>grid</t>
  </si>
  <si>
    <t>peel</t>
  </si>
  <si>
    <t>odd</t>
  </si>
  <si>
    <t>wrap</t>
  </si>
  <si>
    <t>_</t>
  </si>
  <si>
    <t>smoke</t>
  </si>
  <si>
    <t>haha</t>
  </si>
  <si>
    <t>camp</t>
  </si>
  <si>
    <t>hang</t>
  </si>
  <si>
    <t>bigth</t>
  </si>
  <si>
    <t>ink</t>
  </si>
  <si>
    <t>getsmarter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</si>
  <si>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</si>
  <si>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</si>
  <si>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</si>
  <si>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</si>
  <si>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</si>
  <si>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</si>
  <si>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</si>
  <si>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</si>
  <si>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</si>
  <si>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</si>
  <si>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</si>
  <si>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</si>
  <si>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</si>
  <si>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</si>
  <si>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</si>
  <si>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</si>
  <si>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</si>
  <si>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</si>
  <si>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</si>
  <si>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</si>
  <si>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</si>
  <si>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</si>
  <si>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</si>
  <si>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</si>
  <si>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</si>
  <si>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</si>
  <si>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</si>
  <si>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</si>
  <si>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</si>
  <si>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</si>
  <si>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</si>
  <si>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</si>
  <si>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</si>
  <si>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</si>
  <si>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</si>
  <si>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</si>
  <si>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</si>
  <si>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</si>
  <si>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</si>
  <si>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</si>
  <si>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</si>
  <si>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</si>
  <si>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</si>
  <si>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</si>
  <si>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</si>
  <si>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</si>
  <si>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</si>
  <si>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</si>
  <si>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</si>
  <si>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</si>
  <si>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</si>
  <si>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</si>
  <si>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</si>
  <si>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</si>
  <si>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</si>
  <si>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</si>
  <si>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</si>
  <si>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Top 10 Vertices, Ranked by Betweenness Centrality</t>
  </si>
  <si>
    <t>Top URLs In Comment in Entire Graph</t>
  </si>
  <si>
    <t>https://www.youtube.com/watch?v=wadBvDPeE4E&amp;amp;t=15m00s</t>
  </si>
  <si>
    <t>https://www.youtube.com/watch?time_continue=2&amp;amp;v=TTNdcgQjvfM</t>
  </si>
  <si>
    <t>https://www.youtube.com/watch?v=wadBvDPeE4E&amp;amp;t=14m36s</t>
  </si>
  <si>
    <t>https://youtu.be/K2OkFNaGWlw</t>
  </si>
  <si>
    <t>http://math.stackexchange.com/questions/1308713/clique-percolation-method-calculation</t>
  </si>
  <si>
    <t>https://bigth.ink/GetSmarter</t>
  </si>
  <si>
    <t>https://www.youtube.com/watch?v=wadBvDPeE4E&amp;amp;t=16m00s</t>
  </si>
  <si>
    <t>https://www.youtube.com/watch?v=wadBvDPeE4E&amp;amp;t=39m15s</t>
  </si>
  <si>
    <t>https://www.youtube.com/watch?v=wadBvDPeE4E&amp;amp;t=24m16s</t>
  </si>
  <si>
    <t>https://www.youtube.com/watch?v=wadBvDPeE4E&amp;amp;t=16m03s</t>
  </si>
  <si>
    <t>Entire Graph Count</t>
  </si>
  <si>
    <t>Top URLs In Comment in G1</t>
  </si>
  <si>
    <t>https://www.youtube.com/watch?v=wadBvDPeE4E&amp;amp;t=0m31s</t>
  </si>
  <si>
    <t>Top URLs In Comment in G2</t>
  </si>
  <si>
    <t>G1 Count</t>
  </si>
  <si>
    <t>Top URLs In Comment in G3</t>
  </si>
  <si>
    <t>G2 Count</t>
  </si>
  <si>
    <t>https://www.youtube.com/watch?v=wadBvDPeE4E&amp;amp;t=13m00s</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</si>
  <si>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</si>
  <si>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</si>
  <si>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</si>
  <si>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</si>
  <si>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</si>
  <si>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</si>
  <si>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</si>
  <si>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</si>
  <si>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</si>
  <si>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</si>
  <si>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</si>
  <si>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</si>
  <si>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</si>
  <si>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</si>
  <si>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</si>
  <si>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</si>
  <si>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https://www.youtube.com/watch?v=wadBvDPeE4E&amp;amp;t=15m00s https://bigth.ink/GetSmarter https://www.youtube.com/watch?time_continue=2&amp;amp;v=TTNdcgQjvfM https://www.youtube.com/watch?v=wadBvDPeE4E&amp;amp;t=14m36s https://youtu.be/K2OkFNaGWlw http://math.stackexchange.com/questions/1308713/clique-percolation-method-calculation https://www.youtube.com/watch?v=wadBvDPeE4E&amp;amp;t=16m00s https://www.youtube.com/watch?v=wadBvDPeE4E&amp;amp;t=39m15s https://www.youtube.com/watch?v=wadBvDPeE4E&amp;amp;t=24m16s https://www.youtube.com/watch?v=wadBvDPeE4E&amp;amp;t=0m31s</t>
  </si>
  <si>
    <t>http://www.youtube.com/watch?v=wadBvDPeE4E&amp;amp;t=5m21s</t>
  </si>
  <si>
    <t>http://www.youtube.com/watch?v=wadBvDPeE4E&amp;amp;t=06m20s</t>
  </si>
  <si>
    <t>Top Domains In Comment in Entire Graph</t>
  </si>
  <si>
    <t>youtu.be</t>
  </si>
  <si>
    <t>stackexchange.com</t>
  </si>
  <si>
    <t>bigth.ink</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</si>
  <si>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</si>
  <si>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</si>
  <si>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</si>
  <si>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</si>
  <si>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</si>
  <si>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</si>
  <si>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</si>
  <si>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</si>
  <si>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</si>
  <si>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</si>
  <si>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</si>
  <si>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bigth.ink youtu.be stackexchange.com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</si>
  <si>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</si>
  <si>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</si>
  <si>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</si>
  <si>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</si>
  <si>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</si>
  <si>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</si>
  <si>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</si>
  <si>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</si>
  <si>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</si>
  <si>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</si>
  <si>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</si>
  <si>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</si>
  <si>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</si>
  <si>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</si>
  <si>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</si>
  <si>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</si>
  <si>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</si>
  <si>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</si>
  <si>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</si>
  <si>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</si>
  <si>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</si>
  <si>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</si>
  <si>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</si>
  <si>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</si>
  <si>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people social like think good suicide gt society wadbvdpee4e life</t>
  </si>
  <si>
    <t>behavior sociology structure social human psychology agent part people individual</t>
  </si>
  <si>
    <t>capitalism world foundation people society birth conditioned believe lives exist</t>
  </si>
  <si>
    <t>man car0line adams</t>
  </si>
  <si>
    <t>interesting love sociology agree great</t>
  </si>
  <si>
    <t>help good life hate suicide believe friends family keep think</t>
  </si>
  <si>
    <t>people change social prison changing christakis right sociological individual thinking</t>
  </si>
  <si>
    <t>creating home social networks influence</t>
  </si>
  <si>
    <t>degrees people smart major 100 soft google like facts evidence</t>
  </si>
  <si>
    <t>better equal life born work 1880 14159</t>
  </si>
  <si>
    <t>question comment people americans food eat hobby society</t>
  </si>
  <si>
    <t>evidence scientific method science searching prove like explain reality start</t>
  </si>
  <si>
    <t>inequality social income friend groups people</t>
  </si>
  <si>
    <t>Top Word Pairs in Comment in Entire Graph</t>
  </si>
  <si>
    <t>gt,gt</t>
  </si>
  <si>
    <t>social,networks</t>
  </si>
  <si>
    <t>social,network</t>
  </si>
  <si>
    <t>big,think</t>
  </si>
  <si>
    <t>right,change</t>
  </si>
  <si>
    <t>social,structure</t>
  </si>
  <si>
    <t>human,behavior</t>
  </si>
  <si>
    <t>high,school</t>
  </si>
  <si>
    <t>sound,effects</t>
  </si>
  <si>
    <t>social,capital</t>
  </si>
  <si>
    <t>Top Word Pairs in Comment in G1</t>
  </si>
  <si>
    <t>average,person</t>
  </si>
  <si>
    <t>15,00</t>
  </si>
  <si>
    <t>lt,lt</t>
  </si>
  <si>
    <t>Top Word Pairs in Comment in G2</t>
  </si>
  <si>
    <t>part,structure</t>
  </si>
  <si>
    <t>behavior,group</t>
  </si>
  <si>
    <t>individual,behavior</t>
  </si>
  <si>
    <t>takes,care</t>
  </si>
  <si>
    <t>sociology,psychology</t>
  </si>
  <si>
    <t>sociology,explain</t>
  </si>
  <si>
    <t>social,behavior</t>
  </si>
  <si>
    <t>structure,agent</t>
  </si>
  <si>
    <t>part,agent</t>
  </si>
  <si>
    <t>Top Word Pairs in Comment in G3</t>
  </si>
  <si>
    <t>conditioned,believe</t>
  </si>
  <si>
    <t>capitalism,foundation</t>
  </si>
  <si>
    <t>vision,future</t>
  </si>
  <si>
    <t>understanding,concept</t>
  </si>
  <si>
    <t>indoctrination,undergo</t>
  </si>
  <si>
    <t>undergo,birth</t>
  </si>
  <si>
    <t>birth,conditioned</t>
  </si>
  <si>
    <t>believe,supposed</t>
  </si>
  <si>
    <t>supposed,work</t>
  </si>
  <si>
    <t>work,40</t>
  </si>
  <si>
    <t>Top Word Pairs in Comment in G4</t>
  </si>
  <si>
    <t>car0line,adams</t>
  </si>
  <si>
    <t>Top Word Pairs in Comment in G5</t>
  </si>
  <si>
    <t>Top Word Pairs in Comment in G6</t>
  </si>
  <si>
    <t>friends,family</t>
  </si>
  <si>
    <t>worth,time</t>
  </si>
  <si>
    <t>Top Word Pairs in Comment in G7</t>
  </si>
  <si>
    <t>changing,people</t>
  </si>
  <si>
    <t>change,christakis</t>
  </si>
  <si>
    <t>Top Word Pairs in Comment in G8</t>
  </si>
  <si>
    <t>creating,home</t>
  </si>
  <si>
    <t>networks,influence</t>
  </si>
  <si>
    <t>Top Word Pairs in Comment in G9</t>
  </si>
  <si>
    <t>Top Word Pairs in Comment in G10</t>
  </si>
  <si>
    <t>degrees,google</t>
  </si>
  <si>
    <t>facts,evidence</t>
  </si>
  <si>
    <t>evidence,prove</t>
  </si>
  <si>
    <t>Top Word Pairs in Comment</t>
  </si>
  <si>
    <t>gt,gt  social,network  big,think  social,networks  high,school  sound,effects  social,capital  average,person  15,00  lt,lt</t>
  </si>
  <si>
    <t>human,behavior  part,structure  behavior,group  individual,behavior  takes,care  sociology,psychology  sociology,explain  social,behavior  structure,agent  part,agent</t>
  </si>
  <si>
    <t>conditioned,believe  capitalism,foundation  vision,future  understanding,concept  indoctrination,undergo  undergo,birth  birth,conditioned  believe,supposed  supposed,work  work,40</t>
  </si>
  <si>
    <t>friends,family  worth,time</t>
  </si>
  <si>
    <t>right,change  changing,people  change,christakis</t>
  </si>
  <si>
    <t>creating,home  social,networks  networks,influence</t>
  </si>
  <si>
    <t>degrees,google  facts,evidence  evidence,prove</t>
  </si>
  <si>
    <t>scientific,method  searching,evidence</t>
  </si>
  <si>
    <t>income,inequality  inequality,social  social,inequality  friend,groups</t>
  </si>
  <si>
    <t>URLs In Comment by Count</t>
  </si>
  <si>
    <t>http://www.youtube.com/watch?v=wadBvDPeE4E&amp;amp;t=33m00s</t>
  </si>
  <si>
    <t>http://www.youtube.com/watch?v=wadBvDPeE4E&amp;amp;t=50m29s</t>
  </si>
  <si>
    <t>http://www.youtube.com/watch?v=wadBvDPeE4E&amp;amp;t=28m20s</t>
  </si>
  <si>
    <t>https://www.youtube.com/watch?v=wadBvDPeE4E&amp;amp;t=5m11s</t>
  </si>
  <si>
    <t>https://www.youtube.com/watch?v=wadBvDPeE4E&amp;amp;t=36m00s https://www.youtube.com/watch?v=wadBvDPeE4E&amp;amp;t=34m00s https://www.youtube.com/watch?v=wadBvDPeE4E&amp;amp;t=30m00s https://www.youtube.com/watch?v=wadBvDPeE4E&amp;amp;t=26m00s https://www.youtube.com/watch?v=wadBvDPeE4E&amp;amp;t=10m00s http://www.youtube.com/watch?v=wadBvDPeE4E&amp;amp;t=36m00s http://www.youtube.com/watch?v=wadBvDPeE4E&amp;amp;t=34m48s http://www.youtube.com/watch?v=wadBvDPeE4E&amp;amp;t=35m00s http://www.youtube.com/watch?v=wadBvDPeE4E&amp;amp;t=30m00s http://www.youtube.com/watch?v=wadBvDPeE4E&amp;amp;t=25m00s</t>
  </si>
  <si>
    <t>https://www.youtube.com/watch?v=wadBvDPeE4E&amp;amp;t=14m36s https://www.youtube.com/watch?v=wadBvDPeE4E&amp;amp;t=15m00s</t>
  </si>
  <si>
    <t>https://www.youtube.com/watch?v=wadBvDPeE4E&amp;amp;t=40m20s</t>
  </si>
  <si>
    <t>https://www.youtube.com/watch?v=wadBvDPeE4E&amp;amp;t=5m16s</t>
  </si>
  <si>
    <t>https://www.youtube.com/watch?v=wadBvDPeE4E&amp;amp;t=10m20s</t>
  </si>
  <si>
    <t>https://www.youtube.com/watch?v=wadBvDPeE4E&amp;amp;t=24m16s https://www.youtube.com/watch?v=wadBvDPeE4E&amp;amp;t=16m03s https://www.youtube.com/watch?v=wadBvDPeE4E&amp;amp;t=10m08s https://www.youtube.com/watch?v=wadBvDPeE4E&amp;amp;t=1m59s https://www.youtube.com/watch?v=wadBvDPeE4E&amp;amp;t=0m31s</t>
  </si>
  <si>
    <t>URLs In Comment by Salience</t>
  </si>
  <si>
    <t>Domains In Comment by Count</t>
  </si>
  <si>
    <t>Domains In Comment by Salience</t>
  </si>
  <si>
    <t>Hashtags In Comment by Count</t>
  </si>
  <si>
    <t>Hashtags In Comment by Salience</t>
  </si>
  <si>
    <t>Top Words in Comment by Count</t>
  </si>
  <si>
    <t>firts guys best</t>
  </si>
  <si>
    <t>bigth ink getsmarter smarter faster daily</t>
  </si>
  <si>
    <t>hah greek heard</t>
  </si>
  <si>
    <t>denmark pay shcool university</t>
  </si>
  <si>
    <t>provoking ve long time</t>
  </si>
  <si>
    <t>jesus lucky bastards</t>
  </si>
  <si>
    <t>sweden</t>
  </si>
  <si>
    <t>group fat people save 56 mins basically eating hang learn</t>
  </si>
  <si>
    <t>thoroughly enjoyed</t>
  </si>
  <si>
    <t>won mad piece paper social mobility</t>
  </si>
  <si>
    <t>study lot answer try suit guess perspective open minded better</t>
  </si>
  <si>
    <t>intelligence haha cool worried university research lol called hope high</t>
  </si>
  <si>
    <t>college learn stuff degree</t>
  </si>
  <si>
    <t>social networks title fairly misleading interesting facebook myspace glad started</t>
  </si>
  <si>
    <t>fat people prefers hang</t>
  </si>
  <si>
    <t>big think balls deep</t>
  </si>
  <si>
    <t>college degree learn people better job money pay mad idea</t>
  </si>
  <si>
    <t>love watching learning shit</t>
  </si>
  <si>
    <t>individuality basis moral society collectivism wrong collective responsibility bullshit excuse</t>
  </si>
  <si>
    <t>camp won fat grouped large yellow dots bullying friends fun</t>
  </si>
  <si>
    <t>crazy people</t>
  </si>
  <si>
    <t>great good</t>
  </si>
  <si>
    <t>like christians</t>
  </si>
  <si>
    <t>clicked title dislike people assume everbody follows</t>
  </si>
  <si>
    <t>long love lectures tv show informative</t>
  </si>
  <si>
    <t>study sociology increased interest bigthink</t>
  </si>
  <si>
    <t>epic ve watched start end amazing</t>
  </si>
  <si>
    <t>words george carlin adam smith invisible hand extends middle digit</t>
  </si>
  <si>
    <t>haha owned</t>
  </si>
  <si>
    <t>big think best shit burn lol</t>
  </si>
  <si>
    <t>right marked spam sociology psychological youtuber behavior involved</t>
  </si>
  <si>
    <t>think mad wrong field study</t>
  </si>
  <si>
    <t>good like _ smoke fat friend nuke social network greater</t>
  </si>
  <si>
    <t>paid college degree learn</t>
  </si>
  <si>
    <t>odd subtitles</t>
  </si>
  <si>
    <t>dammit speak english words familiar gt</t>
  </si>
  <si>
    <t>sudden compulsion muffins beer</t>
  </si>
  <si>
    <t>παμε ρε ελλαδαρααααα</t>
  </si>
  <si>
    <t>students university excellent job teaching skills problem engage prof better</t>
  </si>
  <si>
    <t>opencourseware homepage section engineering</t>
  </si>
  <si>
    <t>wireless selling information profit socialism good fighting</t>
  </si>
  <si>
    <t>bigthink actual lecture sound bites cool better</t>
  </si>
  <si>
    <t>like happily basics electric engineering diploma feels missing big picture</t>
  </si>
  <si>
    <t>surface flat sphere torus distort image connections understand information dimensions</t>
  </si>
  <si>
    <t>ideas learning approach</t>
  </si>
  <si>
    <t>gotta like argumentation skills</t>
  </si>
  <si>
    <t>sociological facts propagate political systems worldwide</t>
  </si>
  <si>
    <t>stuff incredible</t>
  </si>
  <si>
    <t>keep ill sharing</t>
  </si>
  <si>
    <t>holy sh long</t>
  </si>
  <si>
    <t>holon simply seeks express voice opinion heard information interaction philosophy</t>
  </si>
  <si>
    <t>think social cultural factors influence ignorant stupid pick</t>
  </si>
  <si>
    <t>social pathology lecture peter joseph</t>
  </si>
  <si>
    <t>hate things</t>
  </si>
  <si>
    <t>people think like care communicating good ve true enjoy communicate</t>
  </si>
  <si>
    <t>clicked dislike judged book cover stupid</t>
  </si>
  <si>
    <t>lmaooo high school herbs complain people labeling</t>
  </si>
  <si>
    <t>prompt closer camera obvious speakers belief distracts viewer takes speech</t>
  </si>
  <si>
    <t>49 metohodological lol error 38 50</t>
  </si>
  <si>
    <t>leave comments think commenting seeking social acceptance plenty people solely</t>
  </si>
  <si>
    <t>brilliant loving lectures big think topics people</t>
  </si>
  <si>
    <t>following try fit conformist conformists</t>
  </si>
  <si>
    <t>realised long wtf</t>
  </si>
  <si>
    <t>degree society agree engineering pursued career altogether function proving expertise</t>
  </si>
  <si>
    <t>great practice notes lectures college</t>
  </si>
  <si>
    <t>group mentality follower leader surely thinking</t>
  </si>
  <si>
    <t>social acceptance speak well</t>
  </si>
  <si>
    <t>simple true part society safer</t>
  </si>
  <si>
    <t>lucky think better good down absolutely grossly misunderstood kill life</t>
  </si>
  <si>
    <t>23 unhappy ignorant bastards dislike amazing</t>
  </si>
  <si>
    <t>subscribed bigthink</t>
  </si>
  <si>
    <t>fucking love segments good</t>
  </si>
  <si>
    <t>psychology gt lot student ll dammit helping 10 troll strongly</t>
  </si>
  <si>
    <t>skipped class operate kids lol sounds messed context</t>
  </si>
  <si>
    <t>create comparing assembly carbon atoms graphite vs diamonds assemblies social</t>
  </si>
  <si>
    <t>answer simple apply mud wounds</t>
  </si>
  <si>
    <t>good like increase intellectual material</t>
  </si>
  <si>
    <t>trolling seek acceptance engage response piss retaliate form like people</t>
  </si>
  <si>
    <t>wank blah</t>
  </si>
  <si>
    <t>damn end realized heard physicist scientist stead</t>
  </si>
  <si>
    <t>hope continues</t>
  </si>
  <si>
    <t>liking long talks depth analysis usual good ideas keep bt</t>
  </si>
  <si>
    <t>think born raised</t>
  </si>
  <si>
    <t>gg bridge suicide socially average person word think 38 35</t>
  </si>
  <si>
    <t>interested sociology change word hyperdimensional</t>
  </si>
  <si>
    <t>comment useless comments english ellipses wrong end love commented released</t>
  </si>
  <si>
    <t>enjoyable love psychological sociological talks great sociology crime law straightforward</t>
  </si>
  <si>
    <t>college colleges critical access resources difficult provide paces people test</t>
  </si>
  <si>
    <t>psycho psyches mind socios society large groups interacctions</t>
  </si>
  <si>
    <t>like literally thing podium</t>
  </si>
  <si>
    <t>people friends like feel close school loads lot socially negative</t>
  </si>
  <si>
    <t>55 dates posted</t>
  </si>
  <si>
    <t>people myspace social networking sight giggle</t>
  </si>
  <si>
    <t>social network friends</t>
  </si>
  <si>
    <t>surface dimensional network plot torus nodes 31 hyper space sphere</t>
  </si>
  <si>
    <t>knowledge life totally changes experience things perspectives experienced academy nowadays</t>
  </si>
  <si>
    <t>weird watched times feel information clearer listen time</t>
  </si>
  <si>
    <t>capitalism world foundation birth conditioned believe lives people exist society</t>
  </si>
  <si>
    <t>6fifcj3ileo feature user</t>
  </si>
  <si>
    <t>perfect keep</t>
  </si>
  <si>
    <t>well error thing time posted reply imply exempt condition inferred</t>
  </si>
  <si>
    <t>solutions power apologetics state interventions optimal problem social concern translate</t>
  </si>
  <si>
    <t>smarter people</t>
  </si>
  <si>
    <t>study personal inspired behavior personally sad interpreted observation attack expressed</t>
  </si>
  <si>
    <t>think simple grate save thousands lives people surely being unsuccessful</t>
  </si>
  <si>
    <t>big think best</t>
  </si>
  <si>
    <t>experience continue wow dr christakis blew mind fact posting comment</t>
  </si>
  <si>
    <t>psychology think social favourite branch study difference sociology</t>
  </si>
  <si>
    <t>obesity epidemic</t>
  </si>
  <si>
    <t>15 idea things talking educated feel smarter being subscribed bigthink</t>
  </si>
  <si>
    <t>great sadly posting sharing fb considered cool majority people views</t>
  </si>
  <si>
    <t>dammit speak english words familiar gt guys fast</t>
  </si>
  <si>
    <t>science hobby</t>
  </si>
  <si>
    <t>question people americans eat society food lol good guess ll</t>
  </si>
  <si>
    <t>feel comment delir</t>
  </si>
  <si>
    <t>suicide bridge barrier preventing person building great intervention unsuspected individuals</t>
  </si>
  <si>
    <t>mentioned kill society stopped</t>
  </si>
  <si>
    <t>dope</t>
  </si>
  <si>
    <t>social capital</t>
  </si>
  <si>
    <t>guy president</t>
  </si>
  <si>
    <t>suicide negative spiral current 28 20 allan watts trees appling</t>
  </si>
  <si>
    <t>think lectures better</t>
  </si>
  <si>
    <t>hope job</t>
  </si>
  <si>
    <t>sociology student yay</t>
  </si>
  <si>
    <t>28 02 leviathan ftw</t>
  </si>
  <si>
    <t>afraid vidual lectures appreciate normal lecture</t>
  </si>
  <si>
    <t>meant 500 bit couple jew country enslavement body soul people</t>
  </si>
  <si>
    <t>properties determine fuck imagine beautiful fundemental physical atomic particles chemical</t>
  </si>
  <si>
    <t>food quality problem society gather specific hard country realize question</t>
  </si>
  <si>
    <t>figure people value knowledge powerful positions jewish dude double space</t>
  </si>
  <si>
    <t>jews control media argument religion man bloody hear jew ethnic</t>
  </si>
  <si>
    <t>sad incredibly boring majors</t>
  </si>
  <si>
    <t>everytime professor floating university ends lecture happy feel like better</t>
  </si>
  <si>
    <t>man pimp ass blazer nurture nature</t>
  </si>
  <si>
    <t>feel smarter listening sleep</t>
  </si>
  <si>
    <t>wanna kill</t>
  </si>
  <si>
    <t>decision disease rationalization burden well advantage pause jump guy greatly</t>
  </si>
  <si>
    <t>function theory time uncertainty interesting invitation artist physics light based</t>
  </si>
  <si>
    <t>yeah guy aids think mind understand commenting pretty wrote letter</t>
  </si>
  <si>
    <t>society being social structuring difference improve eliminate problem average person</t>
  </si>
  <si>
    <t>fuck insane reading suicide notes long takes hit water guy</t>
  </si>
  <si>
    <t>trigger warning suicide</t>
  </si>
  <si>
    <t>good insights</t>
  </si>
  <si>
    <t>suicide bridge kill marko kraguljac talk pick single words gees</t>
  </si>
  <si>
    <t>appreciate normal lectures o_o</t>
  </si>
  <si>
    <t>gt understand read cont2 body god etc time continued material</t>
  </si>
  <si>
    <t>good believes science think feel control mind weather claim post</t>
  </si>
  <si>
    <t>learning ethical rules minds changed true individuals change embedded dogmas</t>
  </si>
  <si>
    <t>understand spend bad words fast like kind hard prefer trying</t>
  </si>
  <si>
    <t>bernays edvard group psychology advocate smoking women symbol liberation started</t>
  </si>
  <si>
    <t>sadly infinitely resources devoted collecting data purpose commercial marketing solving</t>
  </si>
  <si>
    <t>oooh located social network depends jeans</t>
  </si>
  <si>
    <t>knowing sociology nicely nicholas christakis</t>
  </si>
  <si>
    <t>mcluhanesian</t>
  </si>
  <si>
    <t>beautiful amazing realize start physical chemical biological psychological sociological properties</t>
  </si>
  <si>
    <t>helps perspective gt man collective madness destroyed reason sociology class</t>
  </si>
  <si>
    <t>56 11 10 great help write note</t>
  </si>
  <si>
    <t>wish honestly money brains harvard care guy card carrying skull</t>
  </si>
  <si>
    <t>genius perfectly nicholas chris</t>
  </si>
  <si>
    <t>love lectures</t>
  </si>
  <si>
    <t>idk man think eat muffins beer best friend down</t>
  </si>
  <si>
    <t>worry watching lectures sparks interests passions improve life keep expanding</t>
  </si>
  <si>
    <t>wait start studying psychology sociology uni guys awesome</t>
  </si>
  <si>
    <t>science bro</t>
  </si>
  <si>
    <t>people borned agree elvisitor matter pls critical policial ideology produce</t>
  </si>
  <si>
    <t>groups mention threat persons problems quoted hansson2000 intention speak jews</t>
  </si>
  <si>
    <t>information good matter learn 40 00 minutes onward begun think</t>
  </si>
  <si>
    <t>think bro</t>
  </si>
  <si>
    <t>spread californians middle gain weight lose xd</t>
  </si>
  <si>
    <t>interesting good shit</t>
  </si>
  <si>
    <t>shot time network</t>
  </si>
  <si>
    <t>man long better leave rest tomorrow appreciate effort vid</t>
  </si>
  <si>
    <t>jump ridiculously simplified examples social capital putting guards footpath prevents</t>
  </si>
  <si>
    <t>friend muffins beer terrible combination suggested copy behaviour ahahahaha laugh</t>
  </si>
  <si>
    <t>watching lecture idea helping groups people time sounds great caution</t>
  </si>
  <si>
    <t>hc4yp9b0hz8 sociology</t>
  </si>
  <si>
    <t>thumbs watching</t>
  </si>
  <si>
    <t>giant ending cake</t>
  </si>
  <si>
    <t>gratest subject holle show tks professors</t>
  </si>
  <si>
    <t>lumonosity fuckoff work</t>
  </si>
  <si>
    <t>solve obesity problem</t>
  </si>
  <si>
    <t>believe phrase groupthink awesome lecture</t>
  </si>
  <si>
    <t>grrrrr england</t>
  </si>
  <si>
    <t>moss ssh trying sleep like being totally rude waking appreciate</t>
  </si>
  <si>
    <t>food correct differences races simple obese being shit obesity think</t>
  </si>
  <si>
    <t>map mutter 40 england great britain grumble mumble</t>
  </si>
  <si>
    <t>grand ma told ve mins</t>
  </si>
  <si>
    <t>interesting people materialistic view society views jung collective subconscious emphasis</t>
  </si>
  <si>
    <t>ouroboros uroborus serpent biting tail 1600 bc egypt destruction training</t>
  </si>
  <si>
    <t>university learn</t>
  </si>
  <si>
    <t>noticed nicholas hand motion threw</t>
  </si>
  <si>
    <t>sociology anti scientific post modernist obfuscation</t>
  </si>
  <si>
    <t>think times</t>
  </si>
  <si>
    <t>learned months school good lectures interesting degree teach ve high</t>
  </si>
  <si>
    <t>14 26 30 understand concepts education 15 00</t>
  </si>
  <si>
    <t>51 people obese suicidal giant advertisment</t>
  </si>
  <si>
    <t>methodological holism brought</t>
  </si>
  <si>
    <t>libertarian senses tingling</t>
  </si>
  <si>
    <t>started slosh lost composure</t>
  </si>
  <si>
    <t>suicide problem acute life interestingly voluntarism tingling antiperverse antimasturbation statist</t>
  </si>
  <si>
    <t>gt price apple unlocked 32gb white led 3d hdtv recommend</t>
  </si>
  <si>
    <t>wait guy med school cutting class operate children catch</t>
  </si>
  <si>
    <t>people social naive assume structure ruttie problem thinking choices burdened</t>
  </si>
  <si>
    <t>muffins beer damn christakis social contagions</t>
  </si>
  <si>
    <t>movies amazing confounded observing pal change being loser ladies man</t>
  </si>
  <si>
    <t>best lecture ve heard sociology thumbs</t>
  </si>
  <si>
    <t>smart map england wales scotland thing</t>
  </si>
  <si>
    <t>long scheme things</t>
  </si>
  <si>
    <t>great contribution social epidemiology</t>
  </si>
  <si>
    <t>interesting believe watched 2am</t>
  </si>
  <si>
    <t>firepa check guys extraordinary website called money online start working</t>
  </si>
  <si>
    <t>studying mandarin chinese logic think large interested starting humanitarian organization</t>
  </si>
  <si>
    <t>watching 5am</t>
  </si>
  <si>
    <t>white open countries trying anti whites think shit black quoting</t>
  </si>
  <si>
    <t>gt lt brought 710 000 28 money cashcowcloud</t>
  </si>
  <si>
    <t>quote parts sum person fat euclid thinks understand conclusion like</t>
  </si>
  <si>
    <t>italian politics</t>
  </si>
  <si>
    <t>influence interest understand aspects profesor ideas concluse strenght people conections</t>
  </si>
  <si>
    <t>begging question</t>
  </si>
  <si>
    <t>guy geography lesson disappointed mention elias talk exclusion</t>
  </si>
  <si>
    <t>cut chase</t>
  </si>
  <si>
    <t>09 14 dark laughed</t>
  </si>
  <si>
    <t>great sheds light importance sociology 21st century important matters governance</t>
  </si>
  <si>
    <t>wadbvdpee4e 33m00s 33 00 juicy piece gossip circulating pft hear</t>
  </si>
  <si>
    <t>prygler like answer questions pretty sociology hard understand social science</t>
  </si>
  <si>
    <t>watched man smart discredit feel information common knowledge presented fancy</t>
  </si>
  <si>
    <t>organized great easy true fashion like patterns discussed</t>
  </si>
  <si>
    <t>14159 jo equal strive better order thrive 1880 1935 ln</t>
  </si>
  <si>
    <t>typo wadbvdpee4e 5m21s 21 1880</t>
  </si>
  <si>
    <t>better equal life born work seams like aspirations achieve gosh</t>
  </si>
  <si>
    <t>корисне відео про соціологію якою її бачать закордоном</t>
  </si>
  <si>
    <t>great introductory talk interesting disciplines highly informed influenced sociological approaches</t>
  </si>
  <si>
    <t>neck</t>
  </si>
  <si>
    <t>people suicides prevented installing nets catch jumpers eiffel tower etc</t>
  </si>
  <si>
    <t>facts evidence prove man biology major yale md harvard phd</t>
  </si>
  <si>
    <t>truth remembered letters people lie reasons committing suicides cowards cares</t>
  </si>
  <si>
    <t>becouse people good feel networks like live think stupid interested</t>
  </si>
  <si>
    <t>psychologists watching wondering determining character personality etc root being important</t>
  </si>
  <si>
    <t>interesting coming sociological background</t>
  </si>
  <si>
    <t>dots society like dr christakis sociological science religious influence corporations</t>
  </si>
  <si>
    <t>eric ziak assume thinks lyk ll stay bad complain</t>
  </si>
  <si>
    <t>troll dike purpose dam</t>
  </si>
  <si>
    <t>believe poor indigent well representation nameless</t>
  </si>
  <si>
    <t>largest structure money</t>
  </si>
  <si>
    <t>social status assumed achieved money capitalist ideas</t>
  </si>
  <si>
    <t>outstanding pitch valuable distinctions articlated people seeking leverage social capital</t>
  </si>
  <si>
    <t>psychology collective brain well characteristics individual sociology understand examples transistor</t>
  </si>
  <si>
    <t>behavior sociology social agent structure part psychology human psychological terms</t>
  </si>
  <si>
    <t>structure human crux agent vs debate agency important causative factor</t>
  </si>
  <si>
    <t>human behavior individual takes care horrible episode universities history shame</t>
  </si>
  <si>
    <t>help support good yohhanes reading message worried life undeniably hard</t>
  </si>
  <si>
    <t>worth time feel available action suicide life tiresome competition longer</t>
  </si>
  <si>
    <t>like faith yohhanes think express avoid frustrations meet life advice</t>
  </si>
  <si>
    <t>bruh</t>
  </si>
  <si>
    <t>agreeing hate good tool prevent suicide</t>
  </si>
  <si>
    <t>nat herron ask sociology bachelors</t>
  </si>
  <si>
    <t>sociology basically study people grouped isolated documentary taught college understood</t>
  </si>
  <si>
    <t>car0line adams lloll</t>
  </si>
  <si>
    <t>man wish longer</t>
  </si>
  <si>
    <t>algorithm discouraging social networks funnily</t>
  </si>
  <si>
    <t>chase hughes</t>
  </si>
  <si>
    <t>listen doze content</t>
  </si>
  <si>
    <t>car0line adams pqr</t>
  </si>
  <si>
    <t>unfortunately attention span population decreasing</t>
  </si>
  <si>
    <t>math stackexchange questions 1308713 clique percolation method calculation professional help</t>
  </si>
  <si>
    <t>option car choose course depends stuff reinvents wheel everytime exists</t>
  </si>
  <si>
    <t>degrees smart 100 people soft major google fuck tard psycho</t>
  </si>
  <si>
    <t>completely lost shit die lololol</t>
  </si>
  <si>
    <t>awesome presentation school</t>
  </si>
  <si>
    <t>philoamericana sad</t>
  </si>
  <si>
    <t>ve disrespected students yale</t>
  </si>
  <si>
    <t>offensive stefan tallaj rodriguez specifically reported hand wife topic halloween</t>
  </si>
  <si>
    <t>people jk curious well flirted halloween refused accept costume roles</t>
  </si>
  <si>
    <t>mike kane nutshell coconut guess curiously happened</t>
  </si>
  <si>
    <t>sociology socialism</t>
  </si>
  <si>
    <t>sociology victim ideology totally based marxism subversion mitchs dogmas marxists</t>
  </si>
  <si>
    <t>social science deal definition pseudoscience saborfrancias sociology field study idiology</t>
  </si>
  <si>
    <t>interesting agree david esteban rojas ospina sociology josé yánez great</t>
  </si>
  <si>
    <t>excellent interesting</t>
  </si>
  <si>
    <t>loved interesting thankyou</t>
  </si>
  <si>
    <t>great talk like resources learn practice ideas commented biggest excuse</t>
  </si>
  <si>
    <t>social networks influence creating home 007sting joke dude christakis yale</t>
  </si>
  <si>
    <t>great talk</t>
  </si>
  <si>
    <t>people kill minds committed started action change simply life analysis</t>
  </si>
  <si>
    <t>removal forests</t>
  </si>
  <si>
    <t>durkheim place damn love sociology best choice life</t>
  </si>
  <si>
    <t>wow lot sense</t>
  </si>
  <si>
    <t>inequality social income friend groups people wadbvdpee4e 06m20s 06 20</t>
  </si>
  <si>
    <t>good society think organism wadbvdpee4e 28m20s 28 20 talks essentially</t>
  </si>
  <si>
    <t>exceptions women muslim families religion personally acception environment well good</t>
  </si>
  <si>
    <t>än schwotzen bildschöm hob isch1</t>
  </si>
  <si>
    <t>whoa mind blown</t>
  </si>
  <si>
    <t>sociology live die capitalist models modalities context capitalism reveal rational</t>
  </si>
  <si>
    <t>floating university fu branches central kansas ck</t>
  </si>
  <si>
    <t>life loose good fiends meet death friend healing human social</t>
  </si>
  <si>
    <t>extremely fascinating introduction subject</t>
  </si>
  <si>
    <t>transition sound tweaky</t>
  </si>
  <si>
    <t>k2okfnagwlw awesome</t>
  </si>
  <si>
    <t>nitpick wadbvdpee4e 5m11s 11 charlotte perkins gilman lived 1860 1935</t>
  </si>
  <si>
    <t>wadbvdpee4e 00 36m00s 36 34 30m00s 30 34m00s 26m00s 26</t>
  </si>
  <si>
    <t>like words wise oxgoads collected sayings firmly embedded nails shepherd</t>
  </si>
  <si>
    <t>lecture wonderful learn vocabulary toefl test</t>
  </si>
  <si>
    <t>wadbvdpee4e 14m36s 14 36 15m00s 15 00 wow idea suicide</t>
  </si>
  <si>
    <t>good lecture</t>
  </si>
  <si>
    <t>njrdymirfdadd</t>
  </si>
  <si>
    <t>sociology love phd psychology favority topics down earth series started</t>
  </si>
  <si>
    <t>change neutral view suppose explanation notion social christakis purposefully urging</t>
  </si>
  <si>
    <t>change changing right people individual sociology society social christakis study</t>
  </si>
  <si>
    <t>people policy irrationality social think parent try thinking things approve</t>
  </si>
  <si>
    <t>prison sociological people better christakis great social scientist communicates esoteric</t>
  </si>
  <si>
    <t>siocology failed</t>
  </si>
  <si>
    <t>love lecture great work</t>
  </si>
  <si>
    <t>aaaaa sabendo legal em inglês youtude lixo nem pra colocar</t>
  </si>
  <si>
    <t>time_continue ttndcgqjvfm treatment pneumonia 10 minutes phone invented amazing thing</t>
  </si>
  <si>
    <t>wadbvdpee4e 15m00s 15 00 collective reality power social networks</t>
  </si>
  <si>
    <t>best talk ve listened far</t>
  </si>
  <si>
    <t>suicide notes lol sounds like justifying act moral</t>
  </si>
  <si>
    <t>amazing talk fascinating</t>
  </si>
  <si>
    <t>individuals end presentation noteworthy 119 dislike contents 2k liked shows</t>
  </si>
  <si>
    <t>wadbvdpee4e 40m20s 40 20</t>
  </si>
  <si>
    <t>wow insightful piece fan hard sciences drawn closer social science</t>
  </si>
  <si>
    <t>lethargism mass suicide social popular belief age ethereal nwo astral</t>
  </si>
  <si>
    <t>air trees valuable regulate carbon expert clean right</t>
  </si>
  <si>
    <t>wadbvdpee4e 5m16s 16 75 life died age 55 1880 1935</t>
  </si>
  <si>
    <t>starting talk memetics</t>
  </si>
  <si>
    <t>teaching explained</t>
  </si>
  <si>
    <t>sociology awesome</t>
  </si>
  <si>
    <t>words google facebook good stealing habits interests analytical information being</t>
  </si>
  <si>
    <t>recommend watching lost robert redford ll learn life</t>
  </si>
  <si>
    <t>think defintions stand test time</t>
  </si>
  <si>
    <t>mold covered rail network britain england countries island win</t>
  </si>
  <si>
    <t>guy slow down bit add pause audience laughter stand comedy</t>
  </si>
  <si>
    <t>mestre yale não foi escutado</t>
  </si>
  <si>
    <t>content awesome sound effects annoying better</t>
  </si>
  <si>
    <t>mind instantly realized demon fled creature change time wadbvdpee4e 10m20s</t>
  </si>
  <si>
    <t>strip agency believe japanese shtf buy ticket plan</t>
  </si>
  <si>
    <t>mas você não ouviu seu mestre yale nicholas cristákens</t>
  </si>
  <si>
    <t>best channels far keep guys</t>
  </si>
  <si>
    <t>useful introduction social networks studies sociology great job</t>
  </si>
  <si>
    <t>captions sorts messed tot</t>
  </si>
  <si>
    <t>fantastic loved pic catalan castellers</t>
  </si>
  <si>
    <t>obese people obvious reason cluster social disapproval obesity inherent nicholas</t>
  </si>
  <si>
    <t>studies waste ridiculous sociologists answers fraudian psychology</t>
  </si>
  <si>
    <t>holographic mechanism mutual modulation interference positioning obsession imminent death nuclear</t>
  </si>
  <si>
    <t>ron berst distress unnatural choice sexual gratification glad straight</t>
  </si>
  <si>
    <t>nature idea doctor things commonly confront closely linked interdependently connected</t>
  </si>
  <si>
    <t>surface created socio topological hypersurface people variables sociology terms correct</t>
  </si>
  <si>
    <t>wrote letters</t>
  </si>
  <si>
    <t>hmm parents working people living hand mouth detrimental effect community</t>
  </si>
  <si>
    <t>love lectures goosebumps reading suicide letters respectable</t>
  </si>
  <si>
    <t>interesting lecture help relating lot concepts dealing pandemic helps perspective</t>
  </si>
  <si>
    <t>people dead negative phenomenon joying matter jumps alive jumped bloody</t>
  </si>
  <si>
    <t>help better society allowed burden ppl shit relief social societal</t>
  </si>
  <si>
    <t>social part network life capital holism emergence superior order being</t>
  </si>
  <si>
    <t>honest intellectually enlightening well organized complete finally big thinking impressed</t>
  </si>
  <si>
    <t>feel well operate good faith confident wrong happy talk like</t>
  </si>
  <si>
    <t>alternative idea</t>
  </si>
  <si>
    <t>theme interesting explanation runs fast wkwkwk</t>
  </si>
  <si>
    <t>great teacher</t>
  </si>
  <si>
    <t>ugh sound effects great clicky sounding</t>
  </si>
  <si>
    <t>então esse mestre yale cristákens</t>
  </si>
  <si>
    <t>society individual suicide act link fragmented real problem blaming fault</t>
  </si>
  <si>
    <t>guy friend trees lol facebook myspace check upload</t>
  </si>
  <si>
    <t>wadbvdpee4e 16 24m16s 24 16m03s 03 10m08s 10 08 1m59s</t>
  </si>
  <si>
    <t>failed probability statistics</t>
  </si>
  <si>
    <t>books read lecture recommendations</t>
  </si>
  <si>
    <t>perfect helping stop disinformation read book write</t>
  </si>
  <si>
    <t>omg sound effects annoying</t>
  </si>
  <si>
    <t>man muffins pretty good lagger beer nice</t>
  </si>
  <si>
    <t>suicide legal social restraints place individuals contemplating lives saved</t>
  </si>
  <si>
    <t>75 life amazingly dead 20</t>
  </si>
  <si>
    <t>god dead killed nietzsche</t>
  </si>
  <si>
    <t>data reality theory assumed waiting hear private public fantasy aspects</t>
  </si>
  <si>
    <t>dando boura</t>
  </si>
  <si>
    <t>wow time covid sad cares check man standing bridge callous</t>
  </si>
  <si>
    <t>amazing idea talk knowledge filled absolutley posting</t>
  </si>
  <si>
    <t>retired surgeon killed person time guy sounds like mao work</t>
  </si>
  <si>
    <t>cut class surgery children hospital unsettling lol</t>
  </si>
  <si>
    <t>hope helps build social network line history books mind</t>
  </si>
  <si>
    <t>yea people learn</t>
  </si>
  <si>
    <t>social obesity far like work capital public good monitoring destroying</t>
  </si>
  <si>
    <t>right life government god world society prevent exercising fundamental ultimatelly</t>
  </si>
  <si>
    <t>fans guys</t>
  </si>
  <si>
    <t>think surprised comments long social responsibility takes lot extra energy</t>
  </si>
  <si>
    <t>great topic individuals talk cared acute time believe</t>
  </si>
  <si>
    <t>literally scientific method start idea seek conduct research collect evidence</t>
  </si>
  <si>
    <t>science searching evidence like scientific method explain started statement prove</t>
  </si>
  <si>
    <t>wadbvdpee4e 39m15s 15 slime mold determine best routing railways england</t>
  </si>
  <si>
    <t>apt covid times</t>
  </si>
  <si>
    <t>reads suicide notes eerie</t>
  </si>
  <si>
    <t>brilliant sharing</t>
  </si>
  <si>
    <t>start wadbvdpee4e 16m00s 16 00</t>
  </si>
  <si>
    <t>ve studied sociology</t>
  </si>
  <si>
    <t>suicide evil life butt forgiven die bridge stand taboo hellish</t>
  </si>
  <si>
    <t>definitions wrong researched learned proper denotative vocabulary words mathematicians sociologists</t>
  </si>
  <si>
    <t>england great britain</t>
  </si>
  <si>
    <t>sheep wear ripped jeans tattoos feel cool rebellious</t>
  </si>
  <si>
    <t>study yoga time join obesity network</t>
  </si>
  <si>
    <t>government nets sizable port city</t>
  </si>
  <si>
    <t>encouragement</t>
  </si>
  <si>
    <t>dike analogy perfect switched psychology sociology</t>
  </si>
  <si>
    <t>man insane matrix</t>
  </si>
  <si>
    <t>omg trouble sleeping</t>
  </si>
  <si>
    <t>effects amazing lectures sound silly feel like sounds available microsoft</t>
  </si>
  <si>
    <t>amazing blew mind lot think love concepts useful personal growth</t>
  </si>
  <si>
    <t>sciences scientifics sociology history psicology like biology chemistry tools moralistics</t>
  </si>
  <si>
    <t>silly distracting noises kind decoration great content filter noise honestly</t>
  </si>
  <si>
    <t>golden insight</t>
  </si>
  <si>
    <t>game changer understand idea groups facts ideas revolutionary christakis explained</t>
  </si>
  <si>
    <t>feels like kill skydiving rush endorphins adrenaline brings depression moment</t>
  </si>
  <si>
    <t>Top Words in Comment by Salience</t>
  </si>
  <si>
    <t>people job money mad degree idea exist changed dramatically things</t>
  </si>
  <si>
    <t>camp grouped large yellow dots bullying friends fun kill being</t>
  </si>
  <si>
    <t>smoke fat friend nuke social network greater sound movie hunting</t>
  </si>
  <si>
    <t>surface flat understand information dimensions distorted logical grid peel lay</t>
  </si>
  <si>
    <t>simply seeks express voice opinion heard information interaction philosophy wikipedia</t>
  </si>
  <si>
    <t>society agree engineering pursued career altogether function proving expertise term</t>
  </si>
  <si>
    <t>think lucky better absolutely grossly misunderstood kill life hard work</t>
  </si>
  <si>
    <t>psychology lot ll student dammit helping 10 troll strongly interested</t>
  </si>
  <si>
    <t>comment useless english comments ellipses wrong end love commented released</t>
  </si>
  <si>
    <t>critical difficult colleges access resources provide paces people test ideas</t>
  </si>
  <si>
    <t>friends people close school loads approval dislike comment society feel</t>
  </si>
  <si>
    <t>surface torus dimensional impossible plot 31 space 16 reason equi</t>
  </si>
  <si>
    <t>error time posted reply imply exempt condition inferred knowingly knowing</t>
  </si>
  <si>
    <t>personal inspired behavior personally sad interpreted observation attack expressed human</t>
  </si>
  <si>
    <t>think social favourite branch study difference sociology psychology</t>
  </si>
  <si>
    <t>society question people americans eat food lol good guess ll</t>
  </si>
  <si>
    <t>specific hard obesity eat food problem society quality gather country</t>
  </si>
  <si>
    <t>figure people jewish dude double space sentences ridiculous explanation lacking</t>
  </si>
  <si>
    <t>guy aids think mind understand commenting pretty wrote letter wait</t>
  </si>
  <si>
    <t>bridge kill suicide marko kraguljac talk pick single words gees</t>
  </si>
  <si>
    <t>understand gt 000 chance breathing read cont2 body god etc</t>
  </si>
  <si>
    <t>believes claim things agree aware society decision moment science think</t>
  </si>
  <si>
    <t>bad like kind hard prefer trying analyze tend easily habit</t>
  </si>
  <si>
    <t>ssh trying sleep like being totally rude waking appreciate comment</t>
  </si>
  <si>
    <t>differences simple obese being shit obesity food think politically nature</t>
  </si>
  <si>
    <t>open white trying anti whites think shit black quoting euclid</t>
  </si>
  <si>
    <t>parts sum person fat euclid thinks understand conclusion like normal</t>
  </si>
  <si>
    <t>great easy true fashion like patterns discussed organized</t>
  </si>
  <si>
    <t>born work seams like aspirations achieve gosh feel depressed true</t>
  </si>
  <si>
    <t>brain sociology understand examples transistor won computer ignorance misinterpreted arising</t>
  </si>
  <si>
    <t>agent part sociology structure psychology talk problem structures personality superficial</t>
  </si>
  <si>
    <t>behavior individual takes care horrible episode universities history shame chapter</t>
  </si>
  <si>
    <t>victim ideology totally based marxism subversion mitchs dogmas marxists freudian</t>
  </si>
  <si>
    <t>agree david esteban rojas ospina sociology josé yánez great information</t>
  </si>
  <si>
    <t>36m00s 36 34 30m00s 30 34m00s 26m00s 26 10m00s 10</t>
  </si>
  <si>
    <t>wadbvdpee4e wow idea suicide 14m36s 14 36 15m00s 15 00</t>
  </si>
  <si>
    <t>prison people better christakis great social scientist communicates esoteric concepts</t>
  </si>
  <si>
    <t>slow down bit add pause audience laughter stand comedy information</t>
  </si>
  <si>
    <t>16 24m16s 24 16m03s 03 10m08s 10 08 1m59s 59</t>
  </si>
  <si>
    <t>science searching evidence scientific method started statement prove sound motive</t>
  </si>
  <si>
    <t>Top Word Pairs in Comment by Count</t>
  </si>
  <si>
    <t>firts,guys  guys,best</t>
  </si>
  <si>
    <t>bigth,ink  ink,getsmarter  smarter,faster  faster,daily  daily,bigth  getsmarter,bigth</t>
  </si>
  <si>
    <t>hah,greek  greek,heard</t>
  </si>
  <si>
    <t>denmark,pay  pay,shcool  shcool,university</t>
  </si>
  <si>
    <t>provoking,ve  ve,long  long,time</t>
  </si>
  <si>
    <t>jesus,lucky  lucky,bastards</t>
  </si>
  <si>
    <t>fat,people  save,56  56,mins  mins,basically  basically,group  group,eating  eating,fat  fat,fat  people,hang  hang,fat</t>
  </si>
  <si>
    <t>thoroughly,enjoyed</t>
  </si>
  <si>
    <t>won,mad  mad,piece  piece,paper  paper,social  social,mobility</t>
  </si>
  <si>
    <t>lot,answer  answer,try  try,suit  suit,guess  guess,perspective  perspective,open  open,minded  minded,better  better,beginn  beginn,practive</t>
  </si>
  <si>
    <t>haha,cool  cool,worried  worried,university  university,research  research,lol  called,intelligence  intelligence,intelligence  hope,high  high,school  school,case</t>
  </si>
  <si>
    <t>college,learn  learn,stuff  stuff,college  college,degree</t>
  </si>
  <si>
    <t>social,networks  networks,title  title,fairly  fairly,misleading  misleading,interesting  interesting,facebook  facebook,myspace  myspace,glad  glad,started  started,hesitation</t>
  </si>
  <si>
    <t>fat,people  people,prefers  prefers,hang  hang,fat</t>
  </si>
  <si>
    <t>big,think  think,balls  balls,deep</t>
  </si>
  <si>
    <t>idea,college  college,exist  exist,changed  changed,dramatically  dramatically,college  college,degree  degree,learn  learn,things  things,love  love,better</t>
  </si>
  <si>
    <t>love,watching  watching,learning  learning,shit</t>
  </si>
  <si>
    <t>individuality,basis  basis,moral  moral,society  society,collectivism  collectivism,wrong  collective,responsibility  responsibility,bullshit  bullshit,excuse  excuse,controlling  controlling,people</t>
  </si>
  <si>
    <t>grouped,large  large,yellow  yellow,dots  dots,camp  camp,won  won,fat  fat,camp  bullying,friends  friends,fat  fat,fun</t>
  </si>
  <si>
    <t>crazy,people</t>
  </si>
  <si>
    <t>great,good</t>
  </si>
  <si>
    <t>like,christians</t>
  </si>
  <si>
    <t>clicked,title  title,dislike  dislike,people  people,assume  assume,everbody  everbody,follows</t>
  </si>
  <si>
    <t>love,long  long,lectures  lectures,long  long,tv  tv,show  show,informative</t>
  </si>
  <si>
    <t>study,study  study,sociology  sociology,increased  increased,interest  interest,bigthink</t>
  </si>
  <si>
    <t>epic,ve  ve,watched  watched,start  start,end  end,amazing</t>
  </si>
  <si>
    <t>words,george  george,carlin  carlin,adam  adam,smith  smith,invisible  invisible,hand  hand,extends  extends,middle  middle,digit</t>
  </si>
  <si>
    <t>haha,owned</t>
  </si>
  <si>
    <t>big,think  think,best  best,shit  shit,burn  burn,lol</t>
  </si>
  <si>
    <t>right,marked  marked,spam  spam,sociology  sociology,psychological  psychological,youtuber  youtuber,behavior  behavior,involved</t>
  </si>
  <si>
    <t>think,mad  mad,wrong  wrong,field  field,study</t>
  </si>
  <si>
    <t>nuke,social  social,network  network,greater  greater,good  sound,like  like,movie  movie,good  good,hunting  hunting,_  _,love</t>
  </si>
  <si>
    <t>paid,college  college,degree  degree,learn</t>
  </si>
  <si>
    <t>odd,subtitles</t>
  </si>
  <si>
    <t>dammit,speak  speak,english  english,words  words,familiar  familiar,gt</t>
  </si>
  <si>
    <t>sudden,compulsion  compulsion,muffins  muffins,beer</t>
  </si>
  <si>
    <t>παμε,ρε  ρε,ελλαδαρααααα</t>
  </si>
  <si>
    <t>university,excellent  excellent,job  job,teaching  teaching,skills  skills,problem  problem,students  students,engage  engage,prof  prof,better  better,students</t>
  </si>
  <si>
    <t>opencourseware,homepage  homepage,section  section,engineering</t>
  </si>
  <si>
    <t>wireless,selling  selling,information  information,profit  socialism,good  good,fighting</t>
  </si>
  <si>
    <t>bigthink,actual  actual,lecture  lecture,sound  sound,bites  bites,cool  cool,better</t>
  </si>
  <si>
    <t>happily,like  like,basics  basics,electric  electric,engineering  engineering,diploma  diploma,feels  feels,like  like,missing  missing,big  big,picture</t>
  </si>
  <si>
    <t>peel,surface  lay,flat  flat,image  properly,understand  understand,understand  understand,information  information,displayed  displayed,specifically  specifically,display  display,information</t>
  </si>
  <si>
    <t>learning,ideas  ideas,approach  approach,ideas</t>
  </si>
  <si>
    <t>gotta,like  like,argumentation  argumentation,skills</t>
  </si>
  <si>
    <t>sociological,facts  facts,propagate  propagate,political  political,systems  systems,worldwide</t>
  </si>
  <si>
    <t>stuff,incredible</t>
  </si>
  <si>
    <t>keep,ill  ill,keep  keep,sharing</t>
  </si>
  <si>
    <t>holy,sh  sh,long</t>
  </si>
  <si>
    <t>simply,seeks  seeks,express  express,voice  voice,opinion  opinion,heard  heard,information  information,interaction  holon,philosophy  philosophy,wikipedia  wikipedia,dot</t>
  </si>
  <si>
    <t>think,social  social,cultural  cultural,factors  factors,influence  influence,ignorant  ignorant,stupid  stupid,pick</t>
  </si>
  <si>
    <t>social,pathology  pathology,lecture  lecture,peter  peter,joseph</t>
  </si>
  <si>
    <t>hate,things</t>
  </si>
  <si>
    <t>people,like  care,think  good,ve  ve,true  true,people  like,care  think,care  think,enjoy  enjoy,communicating  communicating,people</t>
  </si>
  <si>
    <t>clicked,dislike  dislike,judged  judged,book  book,cover  cover,stupid</t>
  </si>
  <si>
    <t>lmaooo,high  high,school  school,herbs  herbs,complain  complain,people  people,labeling</t>
  </si>
  <si>
    <t>prompt,closer  closer,camera  camera,obvious  obvious,speakers  speakers,belief  belief,distracts  distracts,viewer  viewer,takes  takes,speech</t>
  </si>
  <si>
    <t>metohodological,lol  lol,error  error,49  49,38  38,49  49,50</t>
  </si>
  <si>
    <t>think,commenting  commenting,seeking  seeking,social  social,acceptance  acceptance,plenty  plenty,people  people,leave  leave,comments  comments,solely  solely,piss</t>
  </si>
  <si>
    <t>loving,lectures  lectures,big  big,think  think,brilliant  brilliant,topics  topics,brilliant  brilliant,people</t>
  </si>
  <si>
    <t>following,try  try,fit  fit,conformist  conformist,conformists</t>
  </si>
  <si>
    <t>realised,long  long,wtf</t>
  </si>
  <si>
    <t>agree,degree  degree,engineering  engineering,pursued  pursued,career  career,altogether  altogether,function  function,society  society,degree  degree,society  society,proving</t>
  </si>
  <si>
    <t>great,practice  practice,notes  notes,lectures  lectures,college</t>
  </si>
  <si>
    <t>group,mentality  mentality,follower  follower,leader  leader,surely  surely,thinking</t>
  </si>
  <si>
    <t>social,acceptance  acceptance,speak  speak,well</t>
  </si>
  <si>
    <t>simple,true  true,part  part,society  society,safer</t>
  </si>
  <si>
    <t>think,lucky  absolutely,grossly  grossly,misunderstood  misunderstood,lucky  lucky,kill  kill,life  life,better  better,hard  hard,work  work,good</t>
  </si>
  <si>
    <t>23,unhappy  unhappy,ignorant  ignorant,bastards  bastards,dislike  dislike,amazing</t>
  </si>
  <si>
    <t>subscribed,bigthink</t>
  </si>
  <si>
    <t>fucking,love  love,segments  segments,good</t>
  </si>
  <si>
    <t>psychology,student  helping,gt  10,troll  strongly,interested  interested,psychology  psychology,worth  worth,lot  lot,options  options,study  study,like</t>
  </si>
  <si>
    <t>skipped,class  class,operate  operate,kids  kids,lol  lol,sounds  sounds,messed  messed,context</t>
  </si>
  <si>
    <t>comparing,assembly  assembly,carbon  carbon,atoms  atoms,create  create,graphite  graphite,vs  vs,diamonds  diamonds,assemblies  assemblies,social  social,networks</t>
  </si>
  <si>
    <t>answer,simple  simple,apply  apply,mud  mud,wounds</t>
  </si>
  <si>
    <t>good,like  like,increase  increase,intellectual  intellectual,material</t>
  </si>
  <si>
    <t>trolling,seek  seek,acceptance  acceptance,engage  engage,response  response,piss  piss,retaliate  retaliate,form  form,like  like,people  people,love</t>
  </si>
  <si>
    <t>wank,wank  wank,blah  blah,blah  blah,wank</t>
  </si>
  <si>
    <t>damn,end  end,realized  realized,heard  heard,physicist  physicist,scientist  scientist,stead</t>
  </si>
  <si>
    <t>hope,continues</t>
  </si>
  <si>
    <t>liking,long  long,talks  talks,depth  depth,analysis  analysis,usual  usual,good  good,ideas  ideas,keep  keep,bt</t>
  </si>
  <si>
    <t>think,born  born,raised</t>
  </si>
  <si>
    <t>gg,bridge  bridge,suicide  average,person  think,gg  38,35  35,wtf  wtf,wow  wow,fantastic  suicide,barrier  barrier,socially</t>
  </si>
  <si>
    <t>interested,sociology  sociology,change  change,word  word,hyperdimensional</t>
  </si>
  <si>
    <t>useless,comment  useless,comments  ellipses,wrong  wrong,end  end,comment  comment,love  love,comment  comment,commented  commented,released  released,literally</t>
  </si>
  <si>
    <t>enjoyable,love  love,psychological  psychological,sociological  sociological,talks  talks,great  great,sociology  sociology,crime  crime,law  law,straightforward  straightforward,like</t>
  </si>
  <si>
    <t>access,resources  colleges,provide  colleges,paces  paces,people  people,test  test,ideas  ideas,access  resources,engage  engage,effective  effective,fixed</t>
  </si>
  <si>
    <t>psycho,psyches  psyches,mind  mind,socios  socios,society  society,large  large,groups  groups,interacctions</t>
  </si>
  <si>
    <t>like,literally  literally,thing  thing,podium</t>
  </si>
  <si>
    <t>loads,friends  close,friends  friends,high  high,school  lot,people  people,stopped  stopped,people  negative,approval  people,dislike  comment,social</t>
  </si>
  <si>
    <t>55,dates  dates,posted</t>
  </si>
  <si>
    <t>people,myspace  myspace,social  social,networking  networking,sight  sight,giggle</t>
  </si>
  <si>
    <t>social,network  network,friends</t>
  </si>
  <si>
    <t>equi,distant  31,13  social,networks  spacial,dimension  hyper,dimensional  flat,surface  curved,surface  surface,sphere  people,right  right,head</t>
  </si>
  <si>
    <t>totally,knowledge  knowledge,changes  changes,life  life,experience  experience,things  things,perspectives  perspectives,experienced  experienced,life  life,knowledge  knowledge,academy</t>
  </si>
  <si>
    <t>weird,watched  watched,times  times,feel  feel,information  information,clearer  clearer,listen  listen,time</t>
  </si>
  <si>
    <t>6fifcj3ileo,feature  feature,user</t>
  </si>
  <si>
    <t>perfect,keep</t>
  </si>
  <si>
    <t>well,time  time,posted  posted,reply  reply,imply  imply,exempt  exempt,condition  condition,inferred  inferred,knowingly  knowingly,knowing  knowing,following</t>
  </si>
  <si>
    <t>power,apologetics  apologetics,state  state,interventions  interventions,optimal  optimal,solutions  solutions,problem  problem,social  social,concern  concern,translate  translate,voluntary</t>
  </si>
  <si>
    <t>smarter,people</t>
  </si>
  <si>
    <t>inspired,study  personally,sad  sad,interpreted  interpreted,observation  observation,personal  personal,attack  attack,expressed  expressed,inspired  study,human  human,behavior</t>
  </si>
  <si>
    <t>think,simple  simple,grate  grate,save  save,thousands  thousands,lives  lives,people  people,surely  surely,being  being,unsuccessful  unsuccessful,golden</t>
  </si>
  <si>
    <t>big,think  think,best</t>
  </si>
  <si>
    <t>wow,dr  dr,christakis  christakis,blew  blew,mind  mind,fact  fact,posting  posting,comment  comment,predetermined  predetermined,structure  structure,current</t>
  </si>
  <si>
    <t>think,social  social,psychology  psychology,favourite  favourite,branch  branch,study  difference,sociology  sociology,psychology</t>
  </si>
  <si>
    <t>obesity,epidemic</t>
  </si>
  <si>
    <t>15,idea  idea,things  things,talking  talking,educated  educated,feel  feel,smarter  smarter,being  being,subscribed  subscribed,bigthink</t>
  </si>
  <si>
    <t>great,sadly  sadly,posting  posting,sharing  sharing,fb  fb,considered  considered,cool  cool,majority  majority,people  people,views  views,interest</t>
  </si>
  <si>
    <t>dammit,speak  speak,english  english,words  words,familiar  familiar,gt  guys,fast</t>
  </si>
  <si>
    <t>science,hobby</t>
  </si>
  <si>
    <t>lol,good  good,question  question,guess  guess,ll  ll,reading  reading,seeking  seeking,people  people,interested  interested,talk  talk,class</t>
  </si>
  <si>
    <t>feel,comment  comment,delir</t>
  </si>
  <si>
    <t>suicide,intervention  intervention,unsuspected  unsuspected,individuals  individuals,case  case,golden  golden,gate  gate,bridge  bridge,safety  safety,help  help,reduce</t>
  </si>
  <si>
    <t>mentioned,kill  kill,society  society,stopped</t>
  </si>
  <si>
    <t>guy,president</t>
  </si>
  <si>
    <t>28,20  20,allan  allan,watts  watts,trees  trees,appling  appling,rocks  rocks,peopleing  11,00  00,reason  reason,suicide</t>
  </si>
  <si>
    <t>think,lectures  lectures,better</t>
  </si>
  <si>
    <t>hope,job</t>
  </si>
  <si>
    <t>sociology,student  student,yay</t>
  </si>
  <si>
    <t>28,02  02,leviathan  leviathan,ftw</t>
  </si>
  <si>
    <t>afraid,vidual  vidual,lectures  lectures,appreciate  appreciate,normal  normal,lecture</t>
  </si>
  <si>
    <t>meant,500  bit,couple  couple,jew  jew,country  country,enslavement  enslavement,body  body,soul  soul,people  people,mexican  mexican,citizen</t>
  </si>
  <si>
    <t>fuck,imagine  imagine,beautiful  beautiful,fundemental  fundemental,physical  physical,properties  properties,atomic  atomic,particles  particles,determine  determine,chemical  chemical,properties</t>
  </si>
  <si>
    <t>quality,food  genetically,engineered  comment,interesting  interesting,conversation  gather,specific  specific,goal  goal,hard  hard,country  country,meant  meant,consolidate</t>
  </si>
  <si>
    <t>value,knowledge  powerful,positions  dude,double  double,space  space,sentences  sentences,ridiculous  ridiculous,explanation  explanation,lacking  lacking,man  man,figure</t>
  </si>
  <si>
    <t>man,jews  jews,control  control,bloody  bloody,media  media,hear  hear,argument  argument,jew  jew,ethnic  ethnic,group  group,conspired</t>
  </si>
  <si>
    <t>sad,incredibly  incredibly,boring  boring,majors</t>
  </si>
  <si>
    <t>everytime,professor  professor,floating  floating,university  university,ends  ends,lecture  lecture,happy  happy,feel  feel,like  like,better  better,person</t>
  </si>
  <si>
    <t>man,pimp  pimp,ass  ass,blazer  nurture,nature</t>
  </si>
  <si>
    <t>feel,smarter  smarter,listening  listening,sleep</t>
  </si>
  <si>
    <t>wanna,kill</t>
  </si>
  <si>
    <t>well,advantage  advantage,pause  pause,jump  guy,greatly  greatly,influenced  influenced,decision  decision,effect  effect,disease  disease,rationalization  rationalization,decision</t>
  </si>
  <si>
    <t>interesting,invitation  invitation,artist  artist,theory  theory,physics  physics,light  light,time  time,theory  theory,based  based,postulates  postulates,quantum</t>
  </si>
  <si>
    <t>yeah,understand  understand,commenting  yeah,pretty  pretty,guy  guy,aids  aids,wrote  wrote,letter  letter,think  think,wait  wait,live</t>
  </si>
  <si>
    <t>social,structuring  structuring,difference  difference,improve  improve,society  society,eliminate  eliminate,problem  problem,average  average,person  person,presented  presented,like</t>
  </si>
  <si>
    <t>fuck,insane  insane,reading  reading,suicide  suicide,notes  notes,long  long,takes  takes,hit  hit,water  water,guy  guy,nuttttsssss</t>
  </si>
  <si>
    <t>trigger,warning  warning,suicide</t>
  </si>
  <si>
    <t>good,insights</t>
  </si>
  <si>
    <t>marko,kraguljac  kraguljac,talk  talk,suicide  suicide,pick  pick,single  single,words  words,gees  gees,bored  btw,schopenhauer  schopenhauer,ultimate</t>
  </si>
  <si>
    <t>appreciate,normal  normal,lectures  lectures,o_o</t>
  </si>
  <si>
    <t>cont2,gt  continued,gt  read,remaining  remaining,comments  comments,chained  chained,answered  gt,highly  highly,recommend  recommend,check  check,sadhguru</t>
  </si>
  <si>
    <t>control,mind  claim,believes  good,bad  think,clarification  clarification,continued  continued,block  block,starting  starting,feel  feel,end  end,attain</t>
  </si>
  <si>
    <t>ethical,rules  rules,minds  minds,changed  changed,true  true,individuals  individuals,change  change,embedded  embedded,learning  learning,dogmas  dogmas,questioning</t>
  </si>
  <si>
    <t>words,fast  prefer,spend  spend,trying  trying,analyze  analyze,understand  understand,tend  tend,easily  easily,bad  bad,habit  habit,spending</t>
  </si>
  <si>
    <t>edvard,bernays  bernays,group  group,psychology  psychology,advocate  advocate,smoking  smoking,women  women,symbol  symbol,liberation  liberation,bernays  bernays,started</t>
  </si>
  <si>
    <t>sadly,infinitely  infinitely,resources  resources,devoted  devoted,collecting  collecting,data  data,purpose  purpose,commercial  commercial,marketing  marketing,solving  solving,social</t>
  </si>
  <si>
    <t>oooh,located  located,social  social,network  network,depends  depends,jeans</t>
  </si>
  <si>
    <t>knowing,sociology  sociology,nicely  nicely,nicholas  nicholas,christakis</t>
  </si>
  <si>
    <t>beautiful,amazing  amazing,realize  realize,start  start,physical  physical,chemical  chemical,biological  biological,psychological  psychological,sociological  sociological,properties  properties,interdependent</t>
  </si>
  <si>
    <t>helps,perspective  perspective,gt  gt,man  man,collective  collective,madness  madness,destroyed  destroyed,reason  sociology,class  class,understand  understand,better</t>
  </si>
  <si>
    <t>56,11  11,10  10,great  great,help  help,write  write,note</t>
  </si>
  <si>
    <t>bautiful,lol</t>
  </si>
  <si>
    <t>honestly,wish  wish,money  money,brains  brains,harvard  harvard,care  care,guy  guy,card  card,carrying  carrying,skull  skull,bones</t>
  </si>
  <si>
    <t>genius,perfectly  perfectly,nicholas  nicholas,chris</t>
  </si>
  <si>
    <t>love,lectures</t>
  </si>
  <si>
    <t>idk,man  man,think  think,eat  eat,muffins  muffins,beer  beer,best  best,friend  friend,down</t>
  </si>
  <si>
    <t>worry,watching  watching,lectures  lectures,sparks  sparks,interests  interests,passions  passions,improve  improve,life  life,keep  keep,expanding  expanding,mind</t>
  </si>
  <si>
    <t>wait,start  start,studying  studying,psychology  psychology,sociology  sociology,uni  uni,guys  guys,awesome</t>
  </si>
  <si>
    <t>science,bro</t>
  </si>
  <si>
    <t>agree,elvisitor  pls,critical  critical,policial  policial,ideology  ideology,produce  produce,people  people,kill  kill,themself  themself,borned  borned,people</t>
  </si>
  <si>
    <t>persons,groups  quoted,hansson2000  hansson2000,intention  speak,jews  jews,unit  unit,winterviews  winterviews,mention  mention,threat  threat,fundamental  fundamental,islam</t>
  </si>
  <si>
    <t>40,00  00,minutes  minutes,onward  onward,begun  begun,think  think,sopa  sopa,public  public,good  good,information  information,censored</t>
  </si>
  <si>
    <t>think,bro</t>
  </si>
  <si>
    <t>spread,californians  californians,middle  middle,gain  gain,weight  weight,lose  lose,xd</t>
  </si>
  <si>
    <t>interesting,good  good,shit</t>
  </si>
  <si>
    <t>shot,time  time,network</t>
  </si>
  <si>
    <t>man,long  long,better  better,leave  leave,rest  rest,tomorrow  tomorrow,appreciate  appreciate,effort  effort,vid</t>
  </si>
  <si>
    <t>ridiculously,simplified  simplified,examples  examples,social  social,capital  putting,guards  guards,footpath  footpath,prevents  prevents,suicide  suicide,takes  takes,choice</t>
  </si>
  <si>
    <t>muffins,beer  beer,terrible  terrible,combination  combination,friend  friend,suggested  suggested,copy  copy,friend  friend,behaviour  behaviour,ahahahaha  ahahahaha,laugh</t>
  </si>
  <si>
    <t>watching,lecture  lecture,idea  idea,helping  helping,groups  groups,people  people,time  time,sounds  sounds,great  great,caution  caution,putting</t>
  </si>
  <si>
    <t>hc4yp9b0hz8,sociology</t>
  </si>
  <si>
    <t>thumbs,watching</t>
  </si>
  <si>
    <t>giant,ending  ending,cake</t>
  </si>
  <si>
    <t>gratest,subject  subject,holle  holle,show  show,tks  tks,professors</t>
  </si>
  <si>
    <t>lumonosity,fuckoff  fuckoff,work</t>
  </si>
  <si>
    <t>solve,obesity  obesity,problem</t>
  </si>
  <si>
    <t>believe,phrase  phrase,groupthink  groupthink,awesome  awesome,lecture</t>
  </si>
  <si>
    <t>grrrrr,england</t>
  </si>
  <si>
    <t>ssh,moss  moss,trying  trying,sleep  sleep,like  like,being  being,totally  totally,rude  rude,waking  moss,appreciate  appreciate,comment</t>
  </si>
  <si>
    <t>think,politically  politically,correct  correct,nature  nature,modern  modern,western  western,culture  culture,differences  differences,races  races,dangerous  dangerous,mindset</t>
  </si>
  <si>
    <t>40,map  map,england  england,map  map,great  great,britain  britain,mutter  mutter,mutter  mutter,grumble  grumble,mumble</t>
  </si>
  <si>
    <t>grand,ma  ma,told  told,ve  ve,mins</t>
  </si>
  <si>
    <t>interesting,materialistic  materialistic,view  view,society  society,people  people,views  views,jung  jung,collective  collective,subconscious  subconscious,interesting  interesting,emphasis</t>
  </si>
  <si>
    <t>ouroboros,uroborus  uroborus,serpent  serpent,biting  biting,tail  tail,1600  1600,bc  bc,egypt  egypt,destruction  destruction,training  theoretical,practical</t>
  </si>
  <si>
    <t>university,learn</t>
  </si>
  <si>
    <t>noticed,nicholas  nicholas,hand  hand,motion  motion,threw</t>
  </si>
  <si>
    <t>sociology,anti  anti,scientific  scientific,post  post,modernist  modernist,obfuscation</t>
  </si>
  <si>
    <t>think,times</t>
  </si>
  <si>
    <t>lectures,interesting  interesting,degree  degree,teach  teach,ve  ve,learned  learned,months  months,high  high,school  school,college  college,months</t>
  </si>
  <si>
    <t>26,30  understand,concepts  concepts,education  15,00</t>
  </si>
  <si>
    <t>51,people  people,obese  obese,suicidal  giant,advertisment</t>
  </si>
  <si>
    <t>methodological,holism  holism,brought</t>
  </si>
  <si>
    <t>libertarian,senses  senses,tingling</t>
  </si>
  <si>
    <t>started,slosh  slosh,lost  lost,composure</t>
  </si>
  <si>
    <t>suicide,acute  interestingly,voluntarism  voluntarism,tingling  tingling,antiperverse  antiperverse,antimasturbation  antimasturbation,statist  statist,service  assume,fact  fact,26  26,1200</t>
  </si>
  <si>
    <t>gt,gt  unlocked,price  recommend,apple  apple,iphone  iphone,model  model,32gb  32gb,black  black,unlocked  price,385  385,samsung</t>
  </si>
  <si>
    <t>wait,guy  guy,med  med,school  school,cutting  cutting,class  class,operate  operate,children  children,catch</t>
  </si>
  <si>
    <t>naive,assume  ruttie,problem  problem,thinking  thinking,people  people,choices  choices,burdened  burdened,participate  participate,social  social,structures  structures,order</t>
  </si>
  <si>
    <t>muffins,beer  beer,damn  damn,christakis  christakis,social  social,contagions</t>
  </si>
  <si>
    <t>movies,amazing  amazing,confounded  confounded,observing  observing,pal  pal,change  change,being  being,loser  loser,ladies  ladies,man  man,women</t>
  </si>
  <si>
    <t>best,lecture  lecture,ve  ve,heard  heard,sociology  sociology,thumbs</t>
  </si>
  <si>
    <t>smart,map  map,england  england,wales  wales,scotland  scotland,thing</t>
  </si>
  <si>
    <t>long,scheme  scheme,things</t>
  </si>
  <si>
    <t>great,contribution  contribution,social  social,epidemiology</t>
  </si>
  <si>
    <t>interesting,believe  believe,watched  watched,2am</t>
  </si>
  <si>
    <t>guys,check  check,extraordinary  extraordinary,website  website,called  called,firepa  firepa,money  money,online  online,start  start,working  working,home</t>
  </si>
  <si>
    <t>studying,mandarin  mandarin,chinese  chinese,logic  logic,think  think,large  large,interested  interested,starting  starting,humanitarian  humanitarian,organization  organization,include</t>
  </si>
  <si>
    <t>watching,5am</t>
  </si>
  <si>
    <t>countries,white  trying,anti  anti,whites  whites,open  open,open  open,think  think,countries  white,shit  shit,black  black,white</t>
  </si>
  <si>
    <t>gt,gt  lt,lt  gt,brought  brought,710  710,000  000,28  28,lt  lt,money  money,cashcowcloud</t>
  </si>
  <si>
    <t>sum,parts  quote,euclid  euclid,thinks  thinks,understand  understand,conclusion  parts,like  like,quote  quote,normal  normal,person  person,society</t>
  </si>
  <si>
    <t>italian,politics</t>
  </si>
  <si>
    <t>interest,understand  understand,aspects  aspects,profesor  profesor,ideas  ideas,concluse  concluse,strenght  strenght,influence  influence,people  people,conections  conections,influence</t>
  </si>
  <si>
    <t>begging,question</t>
  </si>
  <si>
    <t>guy,geography  geography,lesson  lesson,disappointed  disappointed,mention  mention,elias  elias,talk  talk,exclusion</t>
  </si>
  <si>
    <t>cut,chase</t>
  </si>
  <si>
    <t>09,14  14,dark  dark,laughed</t>
  </si>
  <si>
    <t>great,sheds  sheds,light  light,importance  importance,sociology  sociology,21st  21st,century  century,important  important,matters  matters,governance  governance,commerce</t>
  </si>
  <si>
    <t>wadbvdpee4e,33m00s  33m00s,33  33,00  00,juicy  juicy,piece  piece,gossip  gossip,circulating  circulating,pft  pft,hear</t>
  </si>
  <si>
    <t>prygler,like  like,answer  answer,questions  pretty,sociology  sociology,hard  hard,understand  understand,social  social,science  science,fascinating</t>
  </si>
  <si>
    <t>watched,man  man,smart  smart,discredit  discredit,feel  feel,information  information,common  common,knowledge  knowledge,presented  presented,fancy  fancy,scientific</t>
  </si>
  <si>
    <t>great,organized  organized,easy  true,organized  organized,fashion  fashion,like  like,patterns  patterns,discussed</t>
  </si>
  <si>
    <t>equal,strive  strive,better  better,order  order,thrive  1880,14159  14159,1935  1935,ln  ln,2sin3  2sin3,14159  14159,75</t>
  </si>
  <si>
    <t>typo,wadbvdpee4e  wadbvdpee4e,5m21s  5m21s,21  21,1880</t>
  </si>
  <si>
    <t>seams,like  like,equal  equal,aspirations  aspirations,better  better,achieve  achieve,life  life,gosh  gosh,feel  feel,depressed  true,fact</t>
  </si>
  <si>
    <t>корисне,відео  відео,про  про,соціологію  соціологію,якою  якою,її  її,бачать  бачать,закордоном</t>
  </si>
  <si>
    <t>great,introductory  introductory,talk  talk,interesting  interesting,disciplines  disciplines,highly  highly,informed  informed,influenced  influenced,sociological  sociological,approaches  approaches,archaeology</t>
  </si>
  <si>
    <t>suicides,prevented  prevented,installing  installing,nets  nets,catch  catch,jumpers  jumpers,eiffel  eiffel,tower  tower,etc  etc,count  count,people</t>
  </si>
  <si>
    <t>facts,evidence  evidence,prove  man,biology  biology,major  major,yale  yale,md  md,harvard  harvard,phd  phd,soc  soc,exact</t>
  </si>
  <si>
    <t>letters,truth  truth,people  people,lie  lie,reasons  reasons,committing  committing,suicides  suicides,remembered  remembered,cowards  cowards,remembered  remembered,cares</t>
  </si>
  <si>
    <t>feel,good  feel,bad  suicide,individual  individual,act  act,choice  choice,choice  choice,opinion  opinion,pure  pure,fiction  fiction,predict</t>
  </si>
  <si>
    <t>psychologists,watching  watching,wondering  wondering,determining  determining,character  character,personality  personality,etc  etc,root  root,being  being,important  important,developed</t>
  </si>
  <si>
    <t>interesting,coming  coming,sociological  sociological,background</t>
  </si>
  <si>
    <t>like,dr  dr,christakis  christakis,sociological  sociological,science  science,religious  religious,influence  influence,corporations  corporations,policy  policy,makers  makers,game</t>
  </si>
  <si>
    <t>eric,ziak  ziak,assume  assume,thinks  thinks,lyk  lyk,ll  ll,stay  stay,bad  bad,complain</t>
  </si>
  <si>
    <t>troll,dike  dike,purpose  purpose,dam</t>
  </si>
  <si>
    <t>believe,poor  poor,indigent  indigent,well  well,representation  representation,nameless</t>
  </si>
  <si>
    <t>largest,structure  structure,money</t>
  </si>
  <si>
    <t>social,status  status,assumed  assumed,achieved  achieved,money  money,capitalist  capitalist,ideas</t>
  </si>
  <si>
    <t>outstanding,pitch  pitch,valuable  valuable,distinctions  distinctions,articlated  articlated,people  people,seeking  seeking,leverage  leverage,social  social,capital  capital,productive</t>
  </si>
  <si>
    <t>transistor,won  well,ignorance  ignorance,misinterpreted  misinterpreted,characteristics  characteristics,arising  arising,collective  collective,perspective  perspective,individuals  individuals,psychology  psychology,individual</t>
  </si>
  <si>
    <t>part,structure  sociology,psychology  human,behavior  sociology,explain  social,behavior  structure,agent  part,agent  psychology,understand  understand,human  behavior,talk</t>
  </si>
  <si>
    <t>crux,agent  agent,vs  vs,structure  structure,debate  debate,human  human,agency  agency,structure  structure,important  important,causative  causative,factor</t>
  </si>
  <si>
    <t>takes,care  horrible,episode  episode,universities  universities,history  history,shame  shame,chapter  chapter,human  human,life  human,behavior  behavior,group</t>
  </si>
  <si>
    <t>yohhanes,reading  reading,message  message,worried  worried,life  life,undeniably  undeniably,hard  hard,strength  strength,support  support,overcome  overcome,dark</t>
  </si>
  <si>
    <t>worth,time  feel,available  available,action  action,suicide  suicide,life  life,tiresome  tiresome,competition  competition,longer  longer,believe  believe,god</t>
  </si>
  <si>
    <t>yohhanes,think  think,express  express,avoid  avoid,frustrations  frustrations,meet  meet,life  life,like  like,advice  advice,offered  offered,comment</t>
  </si>
  <si>
    <t>agreeing,hate  hate,good  good,tool  tool,prevent  prevent,suicide</t>
  </si>
  <si>
    <t>nat,herron  herron,ask  ask,sociology  sociology,bachelors</t>
  </si>
  <si>
    <t>sociology,basically  basically,study  study,people  people,grouped  grouped,isolated  isolated,documentary  documentary,taught  taught,college  college,understood  understood,implement</t>
  </si>
  <si>
    <t>car0line,adams  adams,lloll</t>
  </si>
  <si>
    <t>man,wish  wish,longer</t>
  </si>
  <si>
    <t>algorithm,discouraging  discouraging,social  social,networks  networks,funnily</t>
  </si>
  <si>
    <t>chase,hughes</t>
  </si>
  <si>
    <t>listen,doze  doze,content</t>
  </si>
  <si>
    <t>car0line,adams  adams,pqr</t>
  </si>
  <si>
    <t>unfortunately,attention  attention,span  span,population  population,decreasing</t>
  </si>
  <si>
    <t>math,stackexchange  stackexchange,questions  questions,1308713  1308713,clique  clique,percolation  percolation,method  method,calculation  professional,help  help,question  question,cpm</t>
  </si>
  <si>
    <t>course,depends  depends,stuff  stuff,option  option,reinvents  reinvents,wheel  wheel,everytime  everytime,car  car,exists  exists,knowledge  knowledge,choosing</t>
  </si>
  <si>
    <t>degrees,google  100,fuck  fuck,tard  tard,psycho  psycho,babble  babble,people  people,soft  soft,science  science,soft  soft,nonsense</t>
  </si>
  <si>
    <t>completely,lost  lost,shit  shit,die  die,lololol</t>
  </si>
  <si>
    <t>awesome,presentation  presentation,school</t>
  </si>
  <si>
    <t>great,presentation</t>
  </si>
  <si>
    <t>philoamericana,sad</t>
  </si>
  <si>
    <t>ve,disrespected  disrespected,students  students,yale</t>
  </si>
  <si>
    <t>stefan,tallaj  tallaj,rodriguez  rodriguez,specifically  specifically,reported  reported,hand  hand,wife  wife,topic  topic,offensive  offensive,halloween  halloween,costumes</t>
  </si>
  <si>
    <t>jk,curious  curious,well  flirted,people  people,halloween  halloween,refused  refused,accept  accept,people  people,costume  costume,roles  roles,november</t>
  </si>
  <si>
    <t>mike,kane  kane,nutshell  nutshell,coconut  coconut,guess  curiously,happened</t>
  </si>
  <si>
    <t>sociology,socialism</t>
  </si>
  <si>
    <t>victim,ideology  ideology,sociology  sociology,totally  totally,based  based,marxism  marxism,subversion  mitchs,dogmas  dogmas,sociology  sociology,marxists  marxists,freudian</t>
  </si>
  <si>
    <t>social,science  science,deal  deal,definition  definition,pseudoscience  saborfrancias,sociology  sociology,field  field,study  study,idiology  idiology,facts  facts,straight</t>
  </si>
  <si>
    <t>david,esteban  esteban,rojas  rojas,ospina  ospina,sociology  sociology,interesting  josé,yánez  yánez,agree  agree,great  great,information  marteen,cowan</t>
  </si>
  <si>
    <t>excellent,interesting</t>
  </si>
  <si>
    <t>loved,interesting  interesting,thankyou</t>
  </si>
  <si>
    <t>great,great  great,talk  talk,like  like,resources  resources,learn  learn,practice  practice,ideas  ideas,commented  biggest,excuse  excuse,society</t>
  </si>
  <si>
    <t>social,networks  networks,influence  influence,creating  creating,home  007sting,joke  joke,dude  dude,christakis  christakis,yale  yale,halloween</t>
  </si>
  <si>
    <t>creating,home  home,social  social,networks  networks,influence</t>
  </si>
  <si>
    <t>great,talk</t>
  </si>
  <si>
    <t>people,kill  kill,started  started,action  action,change  change,minds  minds,people  people,simply  simply,life  life,analysis  analysis,people</t>
  </si>
  <si>
    <t>removal,forests</t>
  </si>
  <si>
    <t>durkheim,place  place,damn  damn,love  love,sociology  sociology,best  best,choice  choice,life</t>
  </si>
  <si>
    <t>wow,lot  lot,sense</t>
  </si>
  <si>
    <t>income,inequality  inequality,social  social,inequality  friend,groups  wadbvdpee4e,06m20s  06m20s,06  06,20  20,relate  relate,income  social,inclusion</t>
  </si>
  <si>
    <t>wadbvdpee4e,28m20s  28m20s,28  28,20  20,talks  talks,essentially  essentially,patterns  patterns,society  society,creepy  creepy,goverment  goverment,view</t>
  </si>
  <si>
    <t>exceptions,women  women,muslim  muslim,families  families,religion  religion,personally  personally,acception  acception,environment  environment,well  well,good  good,lesson</t>
  </si>
  <si>
    <t>än,schwotzen  schwotzen,bildschöm  bildschöm,hob  hob,isch1</t>
  </si>
  <si>
    <t>whoa,mind  mind,blown</t>
  </si>
  <si>
    <t>capitalist,models  models,modalities  modalities,context  context,capitalism  capitalism,sociology  sociology,reveal  reveal,rational  rational,actionable  actionable,items  items,improve</t>
  </si>
  <si>
    <t>floating,university  university,fu  fu,branches  branches,central  central,kansas  kansas,ck</t>
  </si>
  <si>
    <t>life,loose  loose,good  good,fiends  fiends,meet  meet,death  death,friend  friend,healing  healing,human  human,social  social,network</t>
  </si>
  <si>
    <t>extremely,fascinating  fascinating,introduction  introduction,subject</t>
  </si>
  <si>
    <t>transition,sound  sound,tweaky</t>
  </si>
  <si>
    <t>awesome,k2okfnagwlw  k2okfnagwlw,k2okfnagwlw</t>
  </si>
  <si>
    <t>nitpick,wadbvdpee4e  wadbvdpee4e,5m11s  5m11s,11  11,charlotte  charlotte,perkins  perkins,gilman  gilman,lived  lived,1860  1860,1935  1935,1880</t>
  </si>
  <si>
    <t>wadbvdpee4e,36m00s  36m00s,36  36,00  wadbvdpee4e,30m00s  30m00s,30  30,00  wadbvdpee4e,34m00s  34m00s,34  34,00  wadbvdpee4e,26m00s</t>
  </si>
  <si>
    <t>words,wise  wise,like  like,oxgoads  oxgoads,collected  collected,sayings  sayings,like  like,firmly  firmly,embedded  embedded,nails  nails,shepherd</t>
  </si>
  <si>
    <t>lecture,wonderful  wonderful,learn  learn,vocabulary  vocabulary,toefl  toefl,test</t>
  </si>
  <si>
    <t>wadbvdpee4e,14m36s  14m36s,14  14,36  36,wadbvdpee4e  wadbvdpee4e,15m00s  15m00s,15  15,00  wow,idea  idea,suicide</t>
  </si>
  <si>
    <t>good,lecture</t>
  </si>
  <si>
    <t>favority,topics  topics,down  down,earth  earth,series  series,sociology  sociology,started  started,love  love,topic  topic,eficient  eficient,phd</t>
  </si>
  <si>
    <t>neutral,view  view,suppose  suppose,explanation  explanation,notion  notion,social  social,change  change,christakis  christakis,purposefully  purposefully,urging  urging,change</t>
  </si>
  <si>
    <t>right,change  changing,social  social,structure  structure,change  change,individual  individual,changing  changing,individual  individual,valid  valid,constructive  constructive,goal</t>
  </si>
  <si>
    <t>minivanjack,appreciate  appreciate,observing  observing,irrationality  irrationality,presenter  presenter,mindset  mindset,concepts  concepts,irrationality  irrationality,called  called,social  social,sciences</t>
  </si>
  <si>
    <t>christakis,great  great,social  social,scientist  scientist,communicates  communicates,esoteric  esoteric,concepts  concepts,retired  retired,20  20,jail  jail,prison</t>
  </si>
  <si>
    <t>siocology,failed</t>
  </si>
  <si>
    <t>love,lecture  lecture,great  great,work</t>
  </si>
  <si>
    <t>aaaaa,sabendo  sabendo,legal  legal,em  em,inglês  inglês,youtude  youtude,lixo  lixo,nem  nem,pra  pra,colocar  colocar,uma</t>
  </si>
  <si>
    <t>time_continue,ttndcgqjvfm  treatment,pneumonia  pneumonia,10  10,minutes  minutes,phone  phone,invented  invented,amazing  amazing,thing  thing,videofile  videofile,treats</t>
  </si>
  <si>
    <t>wadbvdpee4e,15m00s  15m00s,15  15,00  00,collective  collective,reality  reality,power  power,social  social,networks</t>
  </si>
  <si>
    <t>best,talk  talk,ve  ve,listened  listened,far</t>
  </si>
  <si>
    <t>suicide,notes  notes,lol  lol,sounds  sounds,like  like,justifying  justifying,act  act,moral</t>
  </si>
  <si>
    <t>amazing,talk  talk,fascinating</t>
  </si>
  <si>
    <t>end,presentation  presentation,noteworthy  noteworthy,119  119,individuals  individuals,dislike  dislike,contents  contents,2k  2k,liked  liked,shows  shows,varied</t>
  </si>
  <si>
    <t>wadbvdpee4e,40m20s  40m20s,40  40,20</t>
  </si>
  <si>
    <t>wow,insightful  insightful,piece  piece,fan  fan,hard  hard,sciences  sciences,drawn  drawn,closer  closer,social  social,science</t>
  </si>
  <si>
    <t>lethargism,mass  mass,suicide  suicide,social  social,popular  popular,belief  belief,age  age,ethereal  ethereal,nwo  nwo,astral  astral,projection</t>
  </si>
  <si>
    <t>air,valuable  valuable,trees  trees,regulate  regulate,carbon  carbon,expert  expert,trees  trees,clean  clean,air  air,right</t>
  </si>
  <si>
    <t>wadbvdpee4e,5m16s  5m16s,16  16,75  75,life  life,died  died,age  age,55  55,1880  1880,1935  1935,huh</t>
  </si>
  <si>
    <t>starting,talk  talk,memetics</t>
  </si>
  <si>
    <t>teaching,explained</t>
  </si>
  <si>
    <t>sociology,awesome</t>
  </si>
  <si>
    <t>words,google  google,facebook  facebook,good  good,stealing  stealing,habits  habits,interests  interests,analytical  analytical,information  information,being  being,sell</t>
  </si>
  <si>
    <t>recommend,watching  watching,lost  lost,robert  robert,redford  redford,ll  ll,learn  learn,life</t>
  </si>
  <si>
    <t>think,defintions  defintions,stand  stand,test  test,time</t>
  </si>
  <si>
    <t>rail,network  network,britain  britain,england  england,mold  mold,covered  covered,countries  countries,island  island,covered  covered,win  win,mold</t>
  </si>
  <si>
    <t>slow,down  down,bit  bit,add  add,pause  pause,audience  audience,laughter  laughter,guy  guy,stand  stand,comedy  information,insightful</t>
  </si>
  <si>
    <t>mestre,yale  yale,não  não,foi  foi,escutado</t>
  </si>
  <si>
    <t>content,awesome  awesome,sound  sound,effects  effects,annoying  annoying,better</t>
  </si>
  <si>
    <t>instantly,realized  wadbvdpee4e,10m20s  10m20s,10  10,20  20,instantly  realized,demon  demon,attacking  attacking,yrs  yrs,fled  fled,deception</t>
  </si>
  <si>
    <t>strip,agency  agency,believe  believe,japanese  japanese,shtf  shtf,buy  buy,ticket  ticket,plan</t>
  </si>
  <si>
    <t>mas,você  você,não  não,ouviu  ouviu,seu  seu,mestre  mestre,yale  yale,nicholas  nicholas,cristákens</t>
  </si>
  <si>
    <t>best,channels  channels,far  far,keep  keep,guys</t>
  </si>
  <si>
    <t>useful,introduction  introduction,social  social,networks  networks,studies  studies,sociology  sociology,great  great,job</t>
  </si>
  <si>
    <t>captions,sorts  sorts,messed  messed,tot</t>
  </si>
  <si>
    <t>fantastic,loved  loved,pic  pic,catalan  catalan,castellers</t>
  </si>
  <si>
    <t>obese,people  obvious,reason  reason,obese  people,cluster  cluster,social  social,disapproval  disapproval,obesity  obesity,inherent  inherent,nicholas  nicholas,christakis</t>
  </si>
  <si>
    <t>waste,ridiculous  ridiculous,studies  studies,sociologists  sociologists,studies  studies,answers  answers,fraudian  fraudian,psychology</t>
  </si>
  <si>
    <t>holographic,modulation  modulation,mechanism  mechanism,interference  interference,positioning  positioning,obsession  obsession,imminent  imminent,death  death,nuclear  nuclear,weapons  weapons,display</t>
  </si>
  <si>
    <t>ron,berst  berst,distress  distress,unnatural  unnatural,choice  choice,sexual  sexual,gratification  gratification,glad  glad,straight</t>
  </si>
  <si>
    <t>idea,doctor  doctor,things  things,commonly  commonly,confront  confront,closely  closely,linked  linked,interdependently  interdependently,connected  connected,being  being,nature</t>
  </si>
  <si>
    <t>terms,socio  socio,topological  topological,hypersurface  hypersurface,correct  correct,meaning  meaning,complicated  complicated,socio  socio,social  social,topological  topological,important</t>
  </si>
  <si>
    <t>wrote,letters</t>
  </si>
  <si>
    <t>hmm,parents  parents,working  working,people  people,living  living,hand  hand,mouth  mouth,detrimental  detrimental,effect  effect,community  community,society</t>
  </si>
  <si>
    <t>love,lectures  goosebumps,reading  reading,suicide  suicide,letters  letters,respectable</t>
  </si>
  <si>
    <t>interesting,lecture  lecture,help  help,relating  relating,lot  lot,concepts  concepts,dealing  dealing,pandemic  pandemic,helps  helps,perspective</t>
  </si>
  <si>
    <t>dead,negative  negative,phenomenon  phenomenon,joying  joying,matter  matter,people  people,jumps  jumps,alive  alive,jumped  jumped,bloody  bloody,bridge</t>
  </si>
  <si>
    <t>help,ppl  ppl,live  live,anguish  anguish,life  life,piles  piles,shit  shit,deposited  deposited,eventually  eventually,air  air,peneteate</t>
  </si>
  <si>
    <t>part,social  social,network  network,holism  holism,emergence  emergence,social  social,life  life,superior  superior,order  order,being  being,perfect</t>
  </si>
  <si>
    <t>intellectually,honest  enlightening,well  well,organized  organized,complete  finally,big  big,thinking  thinking,impressed  guy,intellectually  honest,awesome  awesome,honest</t>
  </si>
  <si>
    <t>feel,well  well,operate  operate,good  good,faith  faith,confident  confident,wrong  wrong,happy  happy,talk  talk,like</t>
  </si>
  <si>
    <t>alternative,idea</t>
  </si>
  <si>
    <t>theme,interesting  interesting,explanation  explanation,runs  runs,fast  fast,wkwkwk</t>
  </si>
  <si>
    <t>great,teacher</t>
  </si>
  <si>
    <t>ugh,sound  sound,effects  effects,great  clicky,sounding</t>
  </si>
  <si>
    <t>então,esse  esse,mestre  mestre,yale  yale,cristákens</t>
  </si>
  <si>
    <t>suicide,individual  individual,act  act,society  society,link  link,society  society,fragmented  fragmented,real  real,problem  problem,blaming  blaming,individual</t>
  </si>
  <si>
    <t>guy,friend  friend,trees  lol,facebook  facebook,myspace  myspace,check  check,upload</t>
  </si>
  <si>
    <t>wadbvdpee4e,24m16s  24m16s,24  24,16  wadbvdpee4e,16m03s  16m03s,16  16,03  wadbvdpee4e,10m08s  10m08s,10  10,08  wadbvdpee4e,1m59s</t>
  </si>
  <si>
    <t>failed,probability  probability,statistics</t>
  </si>
  <si>
    <t>books,read  read,lecture  lecture,recommendations</t>
  </si>
  <si>
    <t>perfect,helping  helping,stop  stop,disinformation  disinformation,read  read,book  book,write</t>
  </si>
  <si>
    <t>omg,sound  sound,effects  effects,annoying</t>
  </si>
  <si>
    <t>man,muffins  muffins,pretty  pretty,good  good,lagger  lagger,beer  beer,nice</t>
  </si>
  <si>
    <t>suicide,legal  legal,social  social,restraints  restraints,place  place,individuals  individuals,contemplating  contemplating,lives  lives,saved</t>
  </si>
  <si>
    <t>75,life  life,amazingly  amazingly,dead  dead,20</t>
  </si>
  <si>
    <t>god,dead  dead,killed  killed,nietzsche  nietzsche,nietzsche  nietzsche,dead  dead,god  god,killed  killed,god</t>
  </si>
  <si>
    <t>waiting,hear  hear,private  private,public  public,fantasy  fantasy,reality  reality,aspects  aspects,person  person,blured  blured,pursuite  pursuite,data</t>
  </si>
  <si>
    <t>dando,boura</t>
  </si>
  <si>
    <t>wow,time  time,covid  covid,sad  sad,cares  cares,check  check,man  man,standing  standing,bridge  bridge,callous  callous,bunch</t>
  </si>
  <si>
    <t>idea,talk  talk,amazing  amazing,knowledge  knowledge,filled  filled,absolutley  absolutley,amazing  amazing,posting</t>
  </si>
  <si>
    <t>retired,surgeon  surgeon,killed  killed,person  person,time  time,guy  guy,sounds  sounds,like  like,mao  mao,work  work,change</t>
  </si>
  <si>
    <t>cut,class  class,surgery  surgery,children  children,hospital  hospital,unsettling  unsettling,lol</t>
  </si>
  <si>
    <t>hope,helps  helps,build  build,social  social,network  network,line  line,history  history,books  books,mind</t>
  </si>
  <si>
    <t>yea,people  people,learn</t>
  </si>
  <si>
    <t>public,good  2022,obesity  obesity,plot  plot,amounts  amounts,forms  forms,sugar  sugar,food  food,starting  starting,richard  richard,milhouse</t>
  </si>
  <si>
    <t>right,life  right,world  world,right  life,society  society,government  government,right  right,prevent  prevent,exercising  exercising,fundamental  fundamental,right</t>
  </si>
  <si>
    <t>fans,guys</t>
  </si>
  <si>
    <t>surprised,comments  comments,think  think,long  long,social  social,responsibility  responsibility,takes  takes,lot  lot,extra  extra,energy  energy,think</t>
  </si>
  <si>
    <t>great,topic  topic,individuals  individuals,talk  talk,cared  cared,acute  acute,time  time,believe</t>
  </si>
  <si>
    <t>literally,scientific  scientific,method  method,start  start,idea  idea,seek  seek,conduct  conduct,research  research,collect  collect,evidence  evidence,hopefully</t>
  </si>
  <si>
    <t>searching,evidence  scientific,method  started,statement  statement,searching  evidence,prove  prove,searching  evidence,sound  sound,like  like,scientific  method,motive</t>
  </si>
  <si>
    <t>wadbvdpee4e,39m15s  39m15s,15  15,slime  slime,mold  mold,determine  determine,best  best,routing  routing,railways  railways,england</t>
  </si>
  <si>
    <t>apt,covid  covid,times</t>
  </si>
  <si>
    <t>reads,suicide  suicide,notes  notes,eerie</t>
  </si>
  <si>
    <t>brilliant,sharing</t>
  </si>
  <si>
    <t>start,wadbvdpee4e  wadbvdpee4e,16m00s  16m00s,16  16,00</t>
  </si>
  <si>
    <t>ve,studied  studied,sociology</t>
  </si>
  <si>
    <t>suicide,life  butt,suicide  stand,evil  evil,taboo  taboo,suicide  life,hellish  hellish,choose  choose,end  end,stuff  stuff,judgement</t>
  </si>
  <si>
    <t>wrong,researched  researched,learned  learned,proper  proper,denotative  denotative,definitions  definitions,vocabulary  vocabulary,words  words,mathematicians  mathematicians,sociologists  sociologists,originated</t>
  </si>
  <si>
    <t>england,great  great,britain</t>
  </si>
  <si>
    <t>sheep,wear  wear,ripped  ripped,jeans  jeans,tattoos  tattoos,feel  feel,cool  cool,rebellious</t>
  </si>
  <si>
    <t>study,yoga  yoga,time  time,join  join,obesity  obesity,network</t>
  </si>
  <si>
    <t>government,nets  nets,sizable  sizable,port  port,city</t>
  </si>
  <si>
    <t>dike,analogy  analogy,perfect  perfect,switched  switched,psychology  psychology,sociology</t>
  </si>
  <si>
    <t>man,insane  insane,matrix</t>
  </si>
  <si>
    <t>omg,trouble  trouble,sleeping</t>
  </si>
  <si>
    <t>amazing,lectures  lectures,sound  sound,effects  effects,silly  silly,feel  feel,like  like,sounds  sounds,effects  effects,available  available,microsoft</t>
  </si>
  <si>
    <t>amazing,blew  blew,mind  mind,lot  lot,think  think,love  love,concepts  concepts,useful  useful,personal  personal,growth</t>
  </si>
  <si>
    <t>sociology,history  history,psicology  psicology,sciences  sciences,like  like,biology  biology,chemistry  chemistry,tools  tools,scientifics  scientifics,moralistics  moralistics,scientifics</t>
  </si>
  <si>
    <t>silly,distracting  distracting,noises  noises,kind  kind,decoration  decoration,great  great,content  content,filter  filter,noise  noise,honestly  honestly,editor</t>
  </si>
  <si>
    <t>golden,insight</t>
  </si>
  <si>
    <t>game,changer  changer,understand  understand,idea  idea,groups  groups,facts  facts,ideas  ideas,revolutionary  revolutionary,christakis  christakis,explained  explained,brilliant</t>
  </si>
  <si>
    <t>feels,like  like,kill  kill,skydiving  skydiving,rush  rush,endorphins  endorphins,adrenaline  adrenaline,brings  brings,depression  depression,moment  moment,wrong</t>
  </si>
  <si>
    <t>Top Word Pairs in Comment by Salience</t>
  </si>
  <si>
    <t>loads,friends  close,friends  friends,high  high,school  negative,approval  people,dislike  comment,social  lot,people  people,stopped  stopped,people</t>
  </si>
  <si>
    <t>equi,distant  curved,surface  31,13  social,networks  spacial,dimension  hyper,dimensional  flat,surface  surface,sphere  people,right  right,head</t>
  </si>
  <si>
    <t>conditioned,believe  capitalism,foundation  vision,future  understanding,concept  pinchi,bruha  bruha,indoctrination  concept,indoctrination  capitalism,idea  idea,alternative  alternative,system</t>
  </si>
  <si>
    <t>dude,double  double,space  space,sentences  sentences,ridiculous  ridiculous,explanation  explanation,lacking  lacking,man  man,figure  figure,smarter  smarter,people</t>
  </si>
  <si>
    <t>claim,believes  control,mind  good,bad  think,clarification  clarification,continued  continued,block  block,starting  starting,feel  feel,end  end,attain</t>
  </si>
  <si>
    <t>prefer,spend  spend,trying  trying,analyze  analyze,understand  understand,tend  tend,easily  easily,bad  bad,habit  habit,spending  spending,extra</t>
  </si>
  <si>
    <t>trying,anti  anti,whites  whites,open  open,open  open,think  think,countries  white,shit  shit,black  black,white  quoting,euclid</t>
  </si>
  <si>
    <t>part,structure  sociology,psychology  structure,agent  part,agent  human,behavior  sociology,explain  social,behavior  psychology,understand  understand,human  behavior,talk</t>
  </si>
  <si>
    <t>wow,idea  idea,suicide  wadbvdpee4e,14m36s  14m36s,14  14,36  36,wadbvdpee4e  wadbvdpee4e,15m00s  15m00s,15  15,00</t>
  </si>
  <si>
    <t>Count of Published At</t>
  </si>
  <si>
    <t>Row Labels</t>
  </si>
  <si>
    <t>Grand Total</t>
  </si>
  <si>
    <t>2012</t>
  </si>
  <si>
    <t>Oct</t>
  </si>
  <si>
    <t>20-Oct</t>
  </si>
  <si>
    <t>21-Oct</t>
  </si>
  <si>
    <t>22-Oct</t>
  </si>
  <si>
    <t>23-Oct</t>
  </si>
  <si>
    <t>24-Oct</t>
  </si>
  <si>
    <t>25-Oct</t>
  </si>
  <si>
    <t>26-Oct</t>
  </si>
  <si>
    <t>27-Oct</t>
  </si>
  <si>
    <t>28-Oct</t>
  </si>
  <si>
    <t>29-Oct</t>
  </si>
  <si>
    <t>Nov</t>
  </si>
  <si>
    <t>1-Nov</t>
  </si>
  <si>
    <t>2-Nov</t>
  </si>
  <si>
    <t>4-Nov</t>
  </si>
  <si>
    <t>7-Nov</t>
  </si>
  <si>
    <t>8-Nov</t>
  </si>
  <si>
    <t>9-Nov</t>
  </si>
  <si>
    <t>10-Nov</t>
  </si>
  <si>
    <t>11-Nov</t>
  </si>
  <si>
    <t>13-Nov</t>
  </si>
  <si>
    <t>14-Nov</t>
  </si>
  <si>
    <t>15-Nov</t>
  </si>
  <si>
    <t>19-Nov</t>
  </si>
  <si>
    <t>Dec</t>
  </si>
  <si>
    <t>5-Dec</t>
  </si>
  <si>
    <t>6-Dec</t>
  </si>
  <si>
    <t>10-Dec</t>
  </si>
  <si>
    <t>12-Dec</t>
  </si>
  <si>
    <t>17-Dec</t>
  </si>
  <si>
    <t>23-Dec</t>
  </si>
  <si>
    <t>29-Dec</t>
  </si>
  <si>
    <t>31-Dec</t>
  </si>
  <si>
    <t>2013</t>
  </si>
  <si>
    <t>Jan</t>
  </si>
  <si>
    <t>7-Jan</t>
  </si>
  <si>
    <t>16-Jan</t>
  </si>
  <si>
    <t>21-Jan</t>
  </si>
  <si>
    <t>30-Jan</t>
  </si>
  <si>
    <t>Feb</t>
  </si>
  <si>
    <t>2-Feb</t>
  </si>
  <si>
    <t>6-Feb</t>
  </si>
  <si>
    <t>7-Feb</t>
  </si>
  <si>
    <t>8-Feb</t>
  </si>
  <si>
    <t>15-Feb</t>
  </si>
  <si>
    <t>Mar</t>
  </si>
  <si>
    <t>10-Mar</t>
  </si>
  <si>
    <t>13-Mar</t>
  </si>
  <si>
    <t>14-Mar</t>
  </si>
  <si>
    <t>15-Mar</t>
  </si>
  <si>
    <t>17-Mar</t>
  </si>
  <si>
    <t>20-Mar</t>
  </si>
  <si>
    <t>Apr</t>
  </si>
  <si>
    <t>2-Apr</t>
  </si>
  <si>
    <t>3-Apr</t>
  </si>
  <si>
    <t>8-Apr</t>
  </si>
  <si>
    <t>9-Apr</t>
  </si>
  <si>
    <t>15-Apr</t>
  </si>
  <si>
    <t>16-Apr</t>
  </si>
  <si>
    <t>17-Apr</t>
  </si>
  <si>
    <t>22-Apr</t>
  </si>
  <si>
    <t>28-Apr</t>
  </si>
  <si>
    <t>29-Apr</t>
  </si>
  <si>
    <t>May</t>
  </si>
  <si>
    <t>9-May</t>
  </si>
  <si>
    <t>15-May</t>
  </si>
  <si>
    <t>19-May</t>
  </si>
  <si>
    <t>25-May</t>
  </si>
  <si>
    <t>31-May</t>
  </si>
  <si>
    <t>Jun</t>
  </si>
  <si>
    <t>18-Jun</t>
  </si>
  <si>
    <t>22-Jun</t>
  </si>
  <si>
    <t>25-Jun</t>
  </si>
  <si>
    <t>27-Jun</t>
  </si>
  <si>
    <t>28-Jun</t>
  </si>
  <si>
    <t>29-Jun</t>
  </si>
  <si>
    <t>Jul</t>
  </si>
  <si>
    <t>17-Jul</t>
  </si>
  <si>
    <t>22-Jul</t>
  </si>
  <si>
    <t>27-Jul</t>
  </si>
  <si>
    <t>Sep</t>
  </si>
  <si>
    <t>6-Sep</t>
  </si>
  <si>
    <t>8-Sep</t>
  </si>
  <si>
    <t>19-Sep</t>
  </si>
  <si>
    <t>20-Sep</t>
  </si>
  <si>
    <t>4-Oct</t>
  </si>
  <si>
    <t>8-Oct</t>
  </si>
  <si>
    <t>30-Oct</t>
  </si>
  <si>
    <t>2014</t>
  </si>
  <si>
    <t>3-Jan</t>
  </si>
  <si>
    <t>1-Feb</t>
  </si>
  <si>
    <t>5-Mar</t>
  </si>
  <si>
    <t>19-Mar</t>
  </si>
  <si>
    <t>27-Mar</t>
  </si>
  <si>
    <t>29-Mar</t>
  </si>
  <si>
    <t>22-May</t>
  </si>
  <si>
    <t>16-Jun</t>
  </si>
  <si>
    <t>20-Jun</t>
  </si>
  <si>
    <t>24-Jun</t>
  </si>
  <si>
    <t>9-Jul</t>
  </si>
  <si>
    <t>14-Jul</t>
  </si>
  <si>
    <t>Aug</t>
  </si>
  <si>
    <t>1-Aug</t>
  </si>
  <si>
    <t>30-Aug</t>
  </si>
  <si>
    <t>17-Oct</t>
  </si>
  <si>
    <t>16-Nov</t>
  </si>
  <si>
    <t>28-Nov</t>
  </si>
  <si>
    <t>30-Nov</t>
  </si>
  <si>
    <t>19-Dec</t>
  </si>
  <si>
    <t>2015</t>
  </si>
  <si>
    <t>24-Feb</t>
  </si>
  <si>
    <t>25-Feb</t>
  </si>
  <si>
    <t>9-Mar</t>
  </si>
  <si>
    <t>24-Mar</t>
  </si>
  <si>
    <t>31-Mar</t>
  </si>
  <si>
    <t>20-Apr</t>
  </si>
  <si>
    <t>13-May</t>
  </si>
  <si>
    <t>2-Jun</t>
  </si>
  <si>
    <t>5-Jun</t>
  </si>
  <si>
    <t>2-Aug</t>
  </si>
  <si>
    <t>1-Sep</t>
  </si>
  <si>
    <t>18-Sep</t>
  </si>
  <si>
    <t>30-Sep</t>
  </si>
  <si>
    <t>6-Oct</t>
  </si>
  <si>
    <t>12-Nov</t>
  </si>
  <si>
    <t>1-Dec</t>
  </si>
  <si>
    <t>2016</t>
  </si>
  <si>
    <t>9-Jan</t>
  </si>
  <si>
    <t>19-Jan</t>
  </si>
  <si>
    <t>9-Feb</t>
  </si>
  <si>
    <t>10-Feb</t>
  </si>
  <si>
    <t>28-Mar</t>
  </si>
  <si>
    <t>16-May</t>
  </si>
  <si>
    <t>26-May</t>
  </si>
  <si>
    <t>28-Jul</t>
  </si>
  <si>
    <t>14-Aug</t>
  </si>
  <si>
    <t>16-Aug</t>
  </si>
  <si>
    <t>18-Aug</t>
  </si>
  <si>
    <t>21-Aug</t>
  </si>
  <si>
    <t>27-Aug</t>
  </si>
  <si>
    <t>13-Oct</t>
  </si>
  <si>
    <t>2017</t>
  </si>
  <si>
    <t>8-Jan</t>
  </si>
  <si>
    <t>10-Jan</t>
  </si>
  <si>
    <t>23-Jan</t>
  </si>
  <si>
    <t>19-Feb</t>
  </si>
  <si>
    <t>7-Mar</t>
  </si>
  <si>
    <t>25-Mar</t>
  </si>
  <si>
    <t>25-Apr</t>
  </si>
  <si>
    <t>1-May</t>
  </si>
  <si>
    <t>27-May</t>
  </si>
  <si>
    <t>9-Oct</t>
  </si>
  <si>
    <t>14-Oct</t>
  </si>
  <si>
    <t>15-Oct</t>
  </si>
  <si>
    <t>19-Oct</t>
  </si>
  <si>
    <t>22-Nov</t>
  </si>
  <si>
    <t>2018</t>
  </si>
  <si>
    <t>6-Mar</t>
  </si>
  <si>
    <t>16-Mar</t>
  </si>
  <si>
    <t>6-May</t>
  </si>
  <si>
    <t>1-Jun</t>
  </si>
  <si>
    <t>13-Jun</t>
  </si>
  <si>
    <t>13-Aug</t>
  </si>
  <si>
    <t>23-Aug</t>
  </si>
  <si>
    <t>2019</t>
  </si>
  <si>
    <t>22-Jan</t>
  </si>
  <si>
    <t>27-Feb</t>
  </si>
  <si>
    <t>11-Mar</t>
  </si>
  <si>
    <t>18-Mar</t>
  </si>
  <si>
    <t>11-Sep</t>
  </si>
  <si>
    <t>2020</t>
  </si>
  <si>
    <t>17-Feb</t>
  </si>
  <si>
    <t>19-Jul</t>
  </si>
  <si>
    <t>31-Oct</t>
  </si>
  <si>
    <t>3-Dec</t>
  </si>
  <si>
    <t>13-Dec</t>
  </si>
  <si>
    <t>2021</t>
  </si>
  <si>
    <t>26-Jan</t>
  </si>
  <si>
    <t>16-Feb</t>
  </si>
  <si>
    <t>18-Feb</t>
  </si>
  <si>
    <t>1-Mar</t>
  </si>
  <si>
    <t>21-Apr</t>
  </si>
  <si>
    <t>3-May</t>
  </si>
  <si>
    <t>21-May</t>
  </si>
  <si>
    <t>8-Jun</t>
  </si>
  <si>
    <t>9-Jun</t>
  </si>
  <si>
    <t>30-Jun</t>
  </si>
  <si>
    <t>8-Jul</t>
  </si>
  <si>
    <t>11-Jul</t>
  </si>
  <si>
    <t>20-Jul</t>
  </si>
  <si>
    <t>21-Jul</t>
  </si>
  <si>
    <t>24-Jul</t>
  </si>
  <si>
    <t>26-Jul</t>
  </si>
  <si>
    <t>7-Aug</t>
  </si>
  <si>
    <t>9-Aug</t>
  </si>
  <si>
    <t>10-Aug</t>
  </si>
  <si>
    <t>12-Aug</t>
  </si>
  <si>
    <t>15-Aug</t>
  </si>
  <si>
    <t>26-Aug</t>
  </si>
  <si>
    <t>28-Aug</t>
  </si>
  <si>
    <t>31-Aug</t>
  </si>
  <si>
    <t>3-Sep</t>
  </si>
  <si>
    <t>10-Sep</t>
  </si>
  <si>
    <t>15-Sep</t>
  </si>
  <si>
    <t>17-Sep</t>
  </si>
  <si>
    <t>22-Sep</t>
  </si>
  <si>
    <t>28-Sep</t>
  </si>
  <si>
    <t>11-Oct</t>
  </si>
  <si>
    <t>20-Nov</t>
  </si>
  <si>
    <t>23-Nov</t>
  </si>
  <si>
    <t>24-Nov</t>
  </si>
  <si>
    <t>27-Nov</t>
  </si>
  <si>
    <t>11-Dec</t>
  </si>
  <si>
    <t>16-Dec</t>
  </si>
  <si>
    <t>18-Dec</t>
  </si>
  <si>
    <t>20-Dec</t>
  </si>
  <si>
    <t>21-Dec</t>
  </si>
  <si>
    <t>24-Dec</t>
  </si>
  <si>
    <t>28-Dec</t>
  </si>
  <si>
    <t>30-Dec</t>
  </si>
  <si>
    <t>2022</t>
  </si>
  <si>
    <t>2-Jan</t>
  </si>
  <si>
    <t>28-Jan</t>
  </si>
  <si>
    <t>29-Jan</t>
  </si>
  <si>
    <t>22-Feb</t>
  </si>
  <si>
    <t>3-Mar</t>
  </si>
  <si>
    <t>6-Apr</t>
  </si>
  <si>
    <t>12-Apr</t>
  </si>
  <si>
    <t>14-Apr</t>
  </si>
  <si>
    <t>24-Apr</t>
  </si>
  <si>
    <t>26-Apr</t>
  </si>
  <si>
    <t>2-May</t>
  </si>
  <si>
    <t>5-May</t>
  </si>
  <si>
    <t>11-May</t>
  </si>
  <si>
    <t>12-May</t>
  </si>
  <si>
    <t>23-May</t>
  </si>
  <si>
    <t>28-May</t>
  </si>
  <si>
    <t>29-May</t>
  </si>
  <si>
    <t>7-Jun</t>
  </si>
  <si>
    <t>10-Jun</t>
  </si>
  <si>
    <t>128, 128, 128</t>
  </si>
  <si>
    <t>138, 118, 118</t>
  </si>
  <si>
    <t>151, 105, 105</t>
  </si>
  <si>
    <t>161, 95, 95</t>
  </si>
  <si>
    <t>174, 82, 82</t>
  </si>
  <si>
    <t>196, 59, 59</t>
  </si>
  <si>
    <t>187, 69, 69</t>
  </si>
  <si>
    <t>Red</t>
  </si>
  <si>
    <t>222, 33, 33</t>
  </si>
  <si>
    <t>G1: people social like think good suicide gt society wadbvdpee4e life</t>
  </si>
  <si>
    <t>G2: behavior sociology structure social human psychology agent part people individual</t>
  </si>
  <si>
    <t>G3: capitalism world foundation people society birth conditioned believe lives exist</t>
  </si>
  <si>
    <t>G4: man car0line adams</t>
  </si>
  <si>
    <t>G5: interesting love sociology agree great</t>
  </si>
  <si>
    <t>G6: help good life hate suicide believe friends family keep think</t>
  </si>
  <si>
    <t>G7: people change social prison changing christakis right sociological individual thinking</t>
  </si>
  <si>
    <t>G8: creating home social networks influence</t>
  </si>
  <si>
    <t>G9: sociology</t>
  </si>
  <si>
    <t>G10: degrees people smart major 100 soft google like facts evidence</t>
  </si>
  <si>
    <t>G11: money</t>
  </si>
  <si>
    <t>G12: better equal life born work 1880 14159</t>
  </si>
  <si>
    <t>G13: question comment people americans food eat hobby society</t>
  </si>
  <si>
    <t>G14: evidence scientific method science searching prove like explain reality start</t>
  </si>
  <si>
    <t>G16: inequality social income friend groups people</t>
  </si>
  <si>
    <t>G18: study</t>
  </si>
  <si>
    <t>Edge Weight▓1▓12▓0▓True▓Gray▓Red▓▓Edge Weight▓1▓4▓0▓3▓10▓False▓Edge Weight▓1▓4▓0▓40▓15▓False▓▓0▓0▓0▓True▓Black▓Black▓▓Betweenness Centrality▓0▓7096▓3▓150▓1000▓False▓▓0▓0▓0▓0▓0▓False▓▓0▓0▓0▓0▓0▓False▓▓0▓0▓0▓0▓0▓False</t>
  </si>
  <si>
    <t>GraphSource░YouTubeUser▓GraphTerm░NodeXL▓ImportDescription░The graph represents the network of YouTube videos whose title, keywords, description, categories, or author's username contain "NodeXL".  The network was obtained from YouTube on Wednesday, 29 June 2022 at 17:38 UTC.
The network was limited to 100 videos.
There is an edge for each user who comented an a video.  There is an edge for each user who replied to a comment.▓ImportSuggestedTitle░YouTube Users NodeXL▓ImportSuggestedFileNameNoExtension░2022-06-29 17-38-11 NodeXL YouTube Users NodeXL▓GroupingDescription░The graph's vertices were grouped by cluster using the Clauset-Newman-Moore cluster algorithm.▓LayoutAlgorithm░The graph was laid out using the Harel-Koren Fast Multiscale layout algorithm.▓GraphDirectedness░The graph is directed.</t>
  </si>
  <si>
    <t>YouTubeUser</t>
  </si>
  <si>
    <t>NodeXL</t>
  </si>
  <si>
    <t>The graph represents the network of YouTube videos whose title, keywords, description, categories, or author's username contain "NodeXL".  The network was obtained from YouTube on Wednesday, 29 June 2022 at 17:38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</si>
  <si>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</si>
  <si>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</si>
  <si>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https://nodexlgraphgallery.org/Pages/Graph.aspx?graphID=278778</t>
  </si>
  <si>
    <t>https://nodexlgraphgallery.org/Images/Image.ashx?graphID=278778&amp;type=f</t>
  </si>
  <si>
    <t>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</si>
</sst>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58233"/>
        <c:axId val="50806370"/>
      </c:barChart>
      <c:catAx>
        <c:axId val="205582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06370"/>
        <c:crosses val="autoZero"/>
        <c:auto val="1"/>
        <c:lblOffset val="100"/>
        <c:noMultiLvlLbl val="0"/>
      </c:catAx>
      <c:valAx>
        <c:axId val="508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Series'!$A$26:$A$422</c:f>
              <c:strCache>
                <c:ptCount val="297"/>
                <c:pt idx="0">
                  <c:v>20-Oct
Oct
2012</c:v>
                </c:pt>
                <c:pt idx="1">
                  <c:v>21-Oct</c:v>
                </c:pt>
                <c:pt idx="2">
                  <c:v>22-Oct</c:v>
                </c:pt>
                <c:pt idx="3">
                  <c:v>23-Oct</c:v>
                </c:pt>
                <c:pt idx="4">
                  <c:v>24-Oct</c:v>
                </c:pt>
                <c:pt idx="5">
                  <c:v>25-Oct</c:v>
                </c:pt>
                <c:pt idx="6">
                  <c:v>26-Oct</c:v>
                </c:pt>
                <c:pt idx="7">
                  <c:v>27-Oct</c:v>
                </c:pt>
                <c:pt idx="8">
                  <c:v>28-Oct</c:v>
                </c:pt>
                <c:pt idx="9">
                  <c:v>29-Oct</c:v>
                </c:pt>
                <c:pt idx="10">
                  <c:v>1-Nov
Nov</c:v>
                </c:pt>
                <c:pt idx="11">
                  <c:v>2-Nov</c:v>
                </c:pt>
                <c:pt idx="12">
                  <c:v>4-Nov</c:v>
                </c:pt>
                <c:pt idx="13">
                  <c:v>7-Nov</c:v>
                </c:pt>
                <c:pt idx="14">
                  <c:v>8-Nov</c:v>
                </c:pt>
                <c:pt idx="15">
                  <c:v>9-Nov</c:v>
                </c:pt>
                <c:pt idx="16">
                  <c:v>10-Nov</c:v>
                </c:pt>
                <c:pt idx="17">
                  <c:v>11-Nov</c:v>
                </c:pt>
                <c:pt idx="18">
                  <c:v>13-Nov</c:v>
                </c:pt>
                <c:pt idx="19">
                  <c:v>14-Nov</c:v>
                </c:pt>
                <c:pt idx="20">
                  <c:v>15-Nov</c:v>
                </c:pt>
                <c:pt idx="21">
                  <c:v>19-Nov</c:v>
                </c:pt>
                <c:pt idx="22">
                  <c:v>5-Dec
Dec</c:v>
                </c:pt>
                <c:pt idx="23">
                  <c:v>6-Dec</c:v>
                </c:pt>
                <c:pt idx="24">
                  <c:v>10-Dec</c:v>
                </c:pt>
                <c:pt idx="25">
                  <c:v>12-Dec</c:v>
                </c:pt>
                <c:pt idx="26">
                  <c:v>17-Dec</c:v>
                </c:pt>
                <c:pt idx="27">
                  <c:v>23-Dec</c:v>
                </c:pt>
                <c:pt idx="28">
                  <c:v>29-Dec</c:v>
                </c:pt>
                <c:pt idx="29">
                  <c:v>31-Dec</c:v>
                </c:pt>
                <c:pt idx="30">
                  <c:v>7-Jan
Jan
2013</c:v>
                </c:pt>
                <c:pt idx="31">
                  <c:v>16-Jan</c:v>
                </c:pt>
                <c:pt idx="32">
                  <c:v>21-Jan</c:v>
                </c:pt>
                <c:pt idx="33">
                  <c:v>30-Jan</c:v>
                </c:pt>
                <c:pt idx="34">
                  <c:v>2-Feb
Feb</c:v>
                </c:pt>
                <c:pt idx="35">
                  <c:v>6-Feb</c:v>
                </c:pt>
                <c:pt idx="36">
                  <c:v>7-Feb</c:v>
                </c:pt>
                <c:pt idx="37">
                  <c:v>8-Feb</c:v>
                </c:pt>
                <c:pt idx="38">
                  <c:v>15-Feb</c:v>
                </c:pt>
                <c:pt idx="39">
                  <c:v>10-Mar
Mar</c:v>
                </c:pt>
                <c:pt idx="40">
                  <c:v>13-Mar</c:v>
                </c:pt>
                <c:pt idx="41">
                  <c:v>14-Mar</c:v>
                </c:pt>
                <c:pt idx="42">
                  <c:v>15-Mar</c:v>
                </c:pt>
                <c:pt idx="43">
                  <c:v>17-Mar</c:v>
                </c:pt>
                <c:pt idx="44">
                  <c:v>20-Mar</c:v>
                </c:pt>
                <c:pt idx="45">
                  <c:v>2-Apr
Apr</c:v>
                </c:pt>
                <c:pt idx="46">
                  <c:v>3-Apr</c:v>
                </c:pt>
                <c:pt idx="47">
                  <c:v>8-Apr</c:v>
                </c:pt>
                <c:pt idx="48">
                  <c:v>9-Apr</c:v>
                </c:pt>
                <c:pt idx="49">
                  <c:v>15-Apr</c:v>
                </c:pt>
                <c:pt idx="50">
                  <c:v>16-Apr</c:v>
                </c:pt>
                <c:pt idx="51">
                  <c:v>17-Apr</c:v>
                </c:pt>
                <c:pt idx="52">
                  <c:v>22-Apr</c:v>
                </c:pt>
                <c:pt idx="53">
                  <c:v>28-Apr</c:v>
                </c:pt>
                <c:pt idx="54">
                  <c:v>29-Apr</c:v>
                </c:pt>
                <c:pt idx="55">
                  <c:v>9-May
May</c:v>
                </c:pt>
                <c:pt idx="56">
                  <c:v>15-May</c:v>
                </c:pt>
                <c:pt idx="57">
                  <c:v>19-May</c:v>
                </c:pt>
                <c:pt idx="58">
                  <c:v>25-May</c:v>
                </c:pt>
                <c:pt idx="59">
                  <c:v>31-May</c:v>
                </c:pt>
                <c:pt idx="60">
                  <c:v>18-Jun
Jun</c:v>
                </c:pt>
                <c:pt idx="61">
                  <c:v>22-Jun</c:v>
                </c:pt>
                <c:pt idx="62">
                  <c:v>25-Jun</c:v>
                </c:pt>
                <c:pt idx="63">
                  <c:v>27-Jun</c:v>
                </c:pt>
                <c:pt idx="64">
                  <c:v>28-Jun</c:v>
                </c:pt>
                <c:pt idx="65">
                  <c:v>29-Jun</c:v>
                </c:pt>
                <c:pt idx="66">
                  <c:v>17-Jul
Jul</c:v>
                </c:pt>
                <c:pt idx="67">
                  <c:v>22-Jul</c:v>
                </c:pt>
                <c:pt idx="68">
                  <c:v>27-Jul</c:v>
                </c:pt>
                <c:pt idx="69">
                  <c:v>6-Sep
Sep</c:v>
                </c:pt>
                <c:pt idx="70">
                  <c:v>8-Sep</c:v>
                </c:pt>
                <c:pt idx="71">
                  <c:v>19-Sep</c:v>
                </c:pt>
                <c:pt idx="72">
                  <c:v>20-Sep</c:v>
                </c:pt>
                <c:pt idx="73">
                  <c:v>4-Oct
Oct</c:v>
                </c:pt>
                <c:pt idx="74">
                  <c:v>8-Oct</c:v>
                </c:pt>
                <c:pt idx="75">
                  <c:v>25-Oct</c:v>
                </c:pt>
                <c:pt idx="76">
                  <c:v>28-Oct</c:v>
                </c:pt>
                <c:pt idx="77">
                  <c:v>30-Oct</c:v>
                </c:pt>
                <c:pt idx="78">
                  <c:v>2-Nov
Nov</c:v>
                </c:pt>
                <c:pt idx="79">
                  <c:v>3-Jan
Jan
2014</c:v>
                </c:pt>
                <c:pt idx="80">
                  <c:v>1-Feb
Feb</c:v>
                </c:pt>
                <c:pt idx="81">
                  <c:v>8-Feb</c:v>
                </c:pt>
                <c:pt idx="82">
                  <c:v>5-Mar
Mar</c:v>
                </c:pt>
                <c:pt idx="83">
                  <c:v>15-Mar</c:v>
                </c:pt>
                <c:pt idx="84">
                  <c:v>19-Mar</c:v>
                </c:pt>
                <c:pt idx="85">
                  <c:v>27-Mar</c:v>
                </c:pt>
                <c:pt idx="86">
                  <c:v>29-Mar</c:v>
                </c:pt>
                <c:pt idx="87">
                  <c:v>22-May
May</c:v>
                </c:pt>
                <c:pt idx="88">
                  <c:v>16-Jun
Jun</c:v>
                </c:pt>
                <c:pt idx="89">
                  <c:v>20-Jun</c:v>
                </c:pt>
                <c:pt idx="90">
                  <c:v>24-Jun</c:v>
                </c:pt>
                <c:pt idx="91">
                  <c:v>9-Jul
Jul</c:v>
                </c:pt>
                <c:pt idx="92">
                  <c:v>14-Jul</c:v>
                </c:pt>
                <c:pt idx="93">
                  <c:v>1-Aug
Aug</c:v>
                </c:pt>
                <c:pt idx="94">
                  <c:v>30-Aug</c:v>
                </c:pt>
                <c:pt idx="95">
                  <c:v>8-Oct
Oct</c:v>
                </c:pt>
                <c:pt idx="96">
                  <c:v>17-Oct</c:v>
                </c:pt>
                <c:pt idx="97">
                  <c:v>13-Nov
Nov</c:v>
                </c:pt>
                <c:pt idx="98">
                  <c:v>16-Nov</c:v>
                </c:pt>
                <c:pt idx="99">
                  <c:v>28-Nov</c:v>
                </c:pt>
                <c:pt idx="100">
                  <c:v>30-Nov</c:v>
                </c:pt>
                <c:pt idx="101">
                  <c:v>19-Dec
Dec</c:v>
                </c:pt>
                <c:pt idx="102">
                  <c:v>24-Feb
Feb
2015</c:v>
                </c:pt>
                <c:pt idx="103">
                  <c:v>25-Feb</c:v>
                </c:pt>
                <c:pt idx="104">
                  <c:v>9-Mar
Mar</c:v>
                </c:pt>
                <c:pt idx="105">
                  <c:v>24-Mar</c:v>
                </c:pt>
                <c:pt idx="106">
                  <c:v>27-Mar</c:v>
                </c:pt>
                <c:pt idx="107">
                  <c:v>31-Mar</c:v>
                </c:pt>
                <c:pt idx="108">
                  <c:v>20-Apr
Apr</c:v>
                </c:pt>
                <c:pt idx="109">
                  <c:v>13-May
May</c:v>
                </c:pt>
                <c:pt idx="110">
                  <c:v>2-Jun
Jun</c:v>
                </c:pt>
                <c:pt idx="111">
                  <c:v>5-Jun</c:v>
                </c:pt>
                <c:pt idx="112">
                  <c:v>2-Aug
Aug</c:v>
                </c:pt>
                <c:pt idx="113">
                  <c:v>1-Sep
Sep</c:v>
                </c:pt>
                <c:pt idx="114">
                  <c:v>6-Sep</c:v>
                </c:pt>
                <c:pt idx="115">
                  <c:v>18-Sep</c:v>
                </c:pt>
                <c:pt idx="116">
                  <c:v>30-Sep</c:v>
                </c:pt>
                <c:pt idx="117">
                  <c:v>6-Oct
Oct</c:v>
                </c:pt>
                <c:pt idx="118">
                  <c:v>8-Nov
Nov</c:v>
                </c:pt>
                <c:pt idx="119">
                  <c:v>10-Nov</c:v>
                </c:pt>
                <c:pt idx="120">
                  <c:v>11-Nov</c:v>
                </c:pt>
                <c:pt idx="121">
                  <c:v>12-Nov</c:v>
                </c:pt>
                <c:pt idx="122">
                  <c:v>30-Nov</c:v>
                </c:pt>
                <c:pt idx="123">
                  <c:v>1-Dec
Dec</c:v>
                </c:pt>
                <c:pt idx="124">
                  <c:v>9-Jan
Jan
2016</c:v>
                </c:pt>
                <c:pt idx="125">
                  <c:v>19-Jan</c:v>
                </c:pt>
                <c:pt idx="126">
                  <c:v>9-Feb
Feb</c:v>
                </c:pt>
                <c:pt idx="127">
                  <c:v>10-Feb</c:v>
                </c:pt>
                <c:pt idx="128">
                  <c:v>28-Mar
Mar</c:v>
                </c:pt>
                <c:pt idx="129">
                  <c:v>16-May
May</c:v>
                </c:pt>
                <c:pt idx="130">
                  <c:v>26-May</c:v>
                </c:pt>
                <c:pt idx="131">
                  <c:v>31-May</c:v>
                </c:pt>
                <c:pt idx="132">
                  <c:v>5-Jun
Jun</c:v>
                </c:pt>
                <c:pt idx="133">
                  <c:v>20-Jun</c:v>
                </c:pt>
                <c:pt idx="134">
                  <c:v>28-Jul
Jul</c:v>
                </c:pt>
                <c:pt idx="135">
                  <c:v>14-Aug
Aug</c:v>
                </c:pt>
                <c:pt idx="136">
                  <c:v>16-Aug</c:v>
                </c:pt>
                <c:pt idx="137">
                  <c:v>18-Aug</c:v>
                </c:pt>
                <c:pt idx="138">
                  <c:v>21-Aug</c:v>
                </c:pt>
                <c:pt idx="139">
                  <c:v>27-Aug</c:v>
                </c:pt>
                <c:pt idx="140">
                  <c:v>6-Sep
Sep</c:v>
                </c:pt>
                <c:pt idx="141">
                  <c:v>8-Sep</c:v>
                </c:pt>
                <c:pt idx="142">
                  <c:v>18-Sep</c:v>
                </c:pt>
                <c:pt idx="143">
                  <c:v>13-Oct
Oct</c:v>
                </c:pt>
                <c:pt idx="144">
                  <c:v>1-Nov
Nov</c:v>
                </c:pt>
                <c:pt idx="145">
                  <c:v>8-Jan
Jan
2017</c:v>
                </c:pt>
                <c:pt idx="146">
                  <c:v>10-Jan</c:v>
                </c:pt>
                <c:pt idx="147">
                  <c:v>23-Jan</c:v>
                </c:pt>
                <c:pt idx="148">
                  <c:v>19-Feb
Feb</c:v>
                </c:pt>
                <c:pt idx="149">
                  <c:v>7-Mar
Mar</c:v>
                </c:pt>
                <c:pt idx="150">
                  <c:v>25-Mar</c:v>
                </c:pt>
                <c:pt idx="151">
                  <c:v>25-Apr
Apr</c:v>
                </c:pt>
                <c:pt idx="152">
                  <c:v>1-May
May</c:v>
                </c:pt>
                <c:pt idx="153">
                  <c:v>27-May</c:v>
                </c:pt>
                <c:pt idx="154">
                  <c:v>22-Jun
Jun</c:v>
                </c:pt>
                <c:pt idx="155">
                  <c:v>8-Oct
Oct</c:v>
                </c:pt>
                <c:pt idx="156">
                  <c:v>9-Oct</c:v>
                </c:pt>
                <c:pt idx="157">
                  <c:v>14-Oct</c:v>
                </c:pt>
                <c:pt idx="158">
                  <c:v>15-Oct</c:v>
                </c:pt>
                <c:pt idx="159">
                  <c:v>19-Oct</c:v>
                </c:pt>
                <c:pt idx="160">
                  <c:v>22-Oct</c:v>
                </c:pt>
                <c:pt idx="161">
                  <c:v>26-Oct</c:v>
                </c:pt>
                <c:pt idx="162">
                  <c:v>22-Nov
Nov</c:v>
                </c:pt>
                <c:pt idx="163">
                  <c:v>7-Feb
Feb
2018</c:v>
                </c:pt>
                <c:pt idx="164">
                  <c:v>6-Mar
Mar</c:v>
                </c:pt>
                <c:pt idx="165">
                  <c:v>16-Mar</c:v>
                </c:pt>
                <c:pt idx="166">
                  <c:v>9-Apr
Apr</c:v>
                </c:pt>
                <c:pt idx="167">
                  <c:v>16-Apr</c:v>
                </c:pt>
                <c:pt idx="168">
                  <c:v>6-May
May</c:v>
                </c:pt>
                <c:pt idx="169">
                  <c:v>19-May</c:v>
                </c:pt>
                <c:pt idx="170">
                  <c:v>1-Jun
Jun</c:v>
                </c:pt>
                <c:pt idx="171">
                  <c:v>13-Jun</c:v>
                </c:pt>
                <c:pt idx="172">
                  <c:v>13-Aug
Aug</c:v>
                </c:pt>
                <c:pt idx="173">
                  <c:v>14-Aug</c:v>
                </c:pt>
                <c:pt idx="174">
                  <c:v>23-Aug</c:v>
                </c:pt>
                <c:pt idx="175">
                  <c:v>22-Jan
Jan
2019</c:v>
                </c:pt>
                <c:pt idx="176">
                  <c:v>27-Feb
Feb</c:v>
                </c:pt>
                <c:pt idx="177">
                  <c:v>11-Mar
Mar</c:v>
                </c:pt>
                <c:pt idx="178">
                  <c:v>18-Mar</c:v>
                </c:pt>
                <c:pt idx="179">
                  <c:v>13-May
May</c:v>
                </c:pt>
                <c:pt idx="180">
                  <c:v>11-Sep
Sep</c:v>
                </c:pt>
                <c:pt idx="181">
                  <c:v>17-Feb
Feb
2020</c:v>
                </c:pt>
                <c:pt idx="182">
                  <c:v>14-Mar
Mar</c:v>
                </c:pt>
                <c:pt idx="183">
                  <c:v>26-May
May</c:v>
                </c:pt>
                <c:pt idx="184">
                  <c:v>31-May</c:v>
                </c:pt>
                <c:pt idx="185">
                  <c:v>27-Jun
Jun</c:v>
                </c:pt>
                <c:pt idx="186">
                  <c:v>28-Jun</c:v>
                </c:pt>
                <c:pt idx="187">
                  <c:v>9-Jul
Jul</c:v>
                </c:pt>
                <c:pt idx="188">
                  <c:v>19-Jul</c:v>
                </c:pt>
                <c:pt idx="189">
                  <c:v>18-Sep
Sep</c:v>
                </c:pt>
                <c:pt idx="190">
                  <c:v>25-Oct
Oct</c:v>
                </c:pt>
                <c:pt idx="191">
                  <c:v>31-Oct</c:v>
                </c:pt>
                <c:pt idx="192">
                  <c:v>3-Dec
Dec</c:v>
                </c:pt>
                <c:pt idx="193">
                  <c:v>13-Dec</c:v>
                </c:pt>
                <c:pt idx="194">
                  <c:v>21-Jan
Jan
2021</c:v>
                </c:pt>
                <c:pt idx="195">
                  <c:v>26-Jan</c:v>
                </c:pt>
                <c:pt idx="196">
                  <c:v>16-Feb
Feb</c:v>
                </c:pt>
                <c:pt idx="197">
                  <c:v>18-Feb</c:v>
                </c:pt>
                <c:pt idx="198">
                  <c:v>19-Feb</c:v>
                </c:pt>
                <c:pt idx="199">
                  <c:v>27-Feb</c:v>
                </c:pt>
                <c:pt idx="200">
                  <c:v>1-Mar
Mar</c:v>
                </c:pt>
                <c:pt idx="201">
                  <c:v>17-Mar</c:v>
                </c:pt>
                <c:pt idx="202">
                  <c:v>18-Mar</c:v>
                </c:pt>
                <c:pt idx="203">
                  <c:v>19-Mar</c:v>
                </c:pt>
                <c:pt idx="204">
                  <c:v>27-Mar</c:v>
                </c:pt>
                <c:pt idx="205">
                  <c:v>9-Apr
Apr</c:v>
                </c:pt>
                <c:pt idx="206">
                  <c:v>21-Apr</c:v>
                </c:pt>
                <c:pt idx="207">
                  <c:v>3-May
May</c:v>
                </c:pt>
                <c:pt idx="208">
                  <c:v>21-May</c:v>
                </c:pt>
                <c:pt idx="209">
                  <c:v>22-May</c:v>
                </c:pt>
                <c:pt idx="210">
                  <c:v>27-May</c:v>
                </c:pt>
                <c:pt idx="211">
                  <c:v>8-Jun
Jun</c:v>
                </c:pt>
                <c:pt idx="212">
                  <c:v>9-Jun</c:v>
                </c:pt>
                <c:pt idx="213">
                  <c:v>30-Jun</c:v>
                </c:pt>
                <c:pt idx="214">
                  <c:v>8-Jul
Jul</c:v>
                </c:pt>
                <c:pt idx="215">
                  <c:v>9-Jul</c:v>
                </c:pt>
                <c:pt idx="216">
                  <c:v>11-Jul</c:v>
                </c:pt>
                <c:pt idx="217">
                  <c:v>20-Jul</c:v>
                </c:pt>
                <c:pt idx="218">
                  <c:v>21-Jul</c:v>
                </c:pt>
                <c:pt idx="219">
                  <c:v>24-Jul</c:v>
                </c:pt>
                <c:pt idx="220">
                  <c:v>26-Jul</c:v>
                </c:pt>
                <c:pt idx="221">
                  <c:v>28-Jul</c:v>
                </c:pt>
                <c:pt idx="222">
                  <c:v>7-Aug
Aug</c:v>
                </c:pt>
                <c:pt idx="223">
                  <c:v>9-Aug</c:v>
                </c:pt>
                <c:pt idx="224">
                  <c:v>10-Aug</c:v>
                </c:pt>
                <c:pt idx="225">
                  <c:v>12-Aug</c:v>
                </c:pt>
                <c:pt idx="226">
                  <c:v>15-Aug</c:v>
                </c:pt>
                <c:pt idx="227">
                  <c:v>23-Aug</c:v>
                </c:pt>
                <c:pt idx="228">
                  <c:v>26-Aug</c:v>
                </c:pt>
                <c:pt idx="229">
                  <c:v>27-Aug</c:v>
                </c:pt>
                <c:pt idx="230">
                  <c:v>28-Aug</c:v>
                </c:pt>
                <c:pt idx="231">
                  <c:v>31-Aug</c:v>
                </c:pt>
                <c:pt idx="232">
                  <c:v>1-Sep
Sep</c:v>
                </c:pt>
                <c:pt idx="233">
                  <c:v>3-Sep</c:v>
                </c:pt>
                <c:pt idx="234">
                  <c:v>10-Sep</c:v>
                </c:pt>
                <c:pt idx="235">
                  <c:v>15-Sep</c:v>
                </c:pt>
                <c:pt idx="236">
                  <c:v>17-Sep</c:v>
                </c:pt>
                <c:pt idx="237">
                  <c:v>20-Sep</c:v>
                </c:pt>
                <c:pt idx="238">
                  <c:v>22-Sep</c:v>
                </c:pt>
                <c:pt idx="239">
                  <c:v>28-Sep</c:v>
                </c:pt>
                <c:pt idx="240">
                  <c:v>11-Oct
Oct</c:v>
                </c:pt>
                <c:pt idx="241">
                  <c:v>15-Oct</c:v>
                </c:pt>
                <c:pt idx="242">
                  <c:v>19-Oct</c:v>
                </c:pt>
                <c:pt idx="243">
                  <c:v>22-Oct</c:v>
                </c:pt>
                <c:pt idx="244">
                  <c:v>8-Nov
Nov</c:v>
                </c:pt>
                <c:pt idx="245">
                  <c:v>12-Nov</c:v>
                </c:pt>
                <c:pt idx="246">
                  <c:v>15-Nov</c:v>
                </c:pt>
                <c:pt idx="247">
                  <c:v>16-Nov</c:v>
                </c:pt>
                <c:pt idx="248">
                  <c:v>20-Nov</c:v>
                </c:pt>
                <c:pt idx="249">
                  <c:v>23-Nov</c:v>
                </c:pt>
                <c:pt idx="250">
                  <c:v>24-Nov</c:v>
                </c:pt>
                <c:pt idx="251">
                  <c:v>27-Nov</c:v>
                </c:pt>
                <c:pt idx="252">
                  <c:v>10-Dec
Dec</c:v>
                </c:pt>
                <c:pt idx="253">
                  <c:v>11-Dec</c:v>
                </c:pt>
                <c:pt idx="254">
                  <c:v>16-Dec</c:v>
                </c:pt>
                <c:pt idx="255">
                  <c:v>18-Dec</c:v>
                </c:pt>
                <c:pt idx="256">
                  <c:v>20-Dec</c:v>
                </c:pt>
                <c:pt idx="257">
                  <c:v>21-Dec</c:v>
                </c:pt>
                <c:pt idx="258">
                  <c:v>24-Dec</c:v>
                </c:pt>
                <c:pt idx="259">
                  <c:v>28-Dec</c:v>
                </c:pt>
                <c:pt idx="260">
                  <c:v>29-Dec</c:v>
                </c:pt>
                <c:pt idx="261">
                  <c:v>30-Dec</c:v>
                </c:pt>
                <c:pt idx="262">
                  <c:v>2-Jan
Jan
2022</c:v>
                </c:pt>
                <c:pt idx="263">
                  <c:v>3-Jan</c:v>
                </c:pt>
                <c:pt idx="264">
                  <c:v>7-Jan</c:v>
                </c:pt>
                <c:pt idx="265">
                  <c:v>16-Jan</c:v>
                </c:pt>
                <c:pt idx="266">
                  <c:v>19-Jan</c:v>
                </c:pt>
                <c:pt idx="267">
                  <c:v>23-Jan</c:v>
                </c:pt>
                <c:pt idx="268">
                  <c:v>26-Jan</c:v>
                </c:pt>
                <c:pt idx="269">
                  <c:v>28-Jan</c:v>
                </c:pt>
                <c:pt idx="270">
                  <c:v>29-Jan</c:v>
                </c:pt>
                <c:pt idx="271">
                  <c:v>8-Feb
Feb</c:v>
                </c:pt>
                <c:pt idx="272">
                  <c:v>9-Feb</c:v>
                </c:pt>
                <c:pt idx="273">
                  <c:v>10-Feb</c:v>
                </c:pt>
                <c:pt idx="274">
                  <c:v>22-Feb</c:v>
                </c:pt>
                <c:pt idx="275">
                  <c:v>3-Mar
Mar</c:v>
                </c:pt>
                <c:pt idx="276">
                  <c:v>18-Mar</c:v>
                </c:pt>
                <c:pt idx="277">
                  <c:v>31-Mar</c:v>
                </c:pt>
                <c:pt idx="278">
                  <c:v>6-Apr
Apr</c:v>
                </c:pt>
                <c:pt idx="279">
                  <c:v>12-Apr</c:v>
                </c:pt>
                <c:pt idx="280">
                  <c:v>14-Apr</c:v>
                </c:pt>
                <c:pt idx="281">
                  <c:v>24-Apr</c:v>
                </c:pt>
                <c:pt idx="282">
                  <c:v>26-Apr</c:v>
                </c:pt>
                <c:pt idx="283">
                  <c:v>1-May
May</c:v>
                </c:pt>
                <c:pt idx="284">
                  <c:v>2-May</c:v>
                </c:pt>
                <c:pt idx="285">
                  <c:v>5-May</c:v>
                </c:pt>
                <c:pt idx="286">
                  <c:v>6-May</c:v>
                </c:pt>
                <c:pt idx="287">
                  <c:v>11-May</c:v>
                </c:pt>
                <c:pt idx="288">
                  <c:v>12-May</c:v>
                </c:pt>
                <c:pt idx="289">
                  <c:v>23-May</c:v>
                </c:pt>
                <c:pt idx="290">
                  <c:v>28-May</c:v>
                </c:pt>
                <c:pt idx="291">
                  <c:v>29-May</c:v>
                </c:pt>
                <c:pt idx="292">
                  <c:v>31-May</c:v>
                </c:pt>
                <c:pt idx="293">
                  <c:v>5-Jun
Jun</c:v>
                </c:pt>
                <c:pt idx="294">
                  <c:v>7-Jun</c:v>
                </c:pt>
                <c:pt idx="295">
                  <c:v>10-Jun</c:v>
                </c:pt>
                <c:pt idx="296">
                  <c:v>24-Jun</c:v>
                </c:pt>
              </c:strCache>
            </c:strRef>
          </c:cat>
          <c:val>
            <c:numRef>
              <c:f>'Time Series'!$B$26:$B$422</c:f>
              <c:numCache>
                <c:formatCode>General</c:formatCode>
                <c:ptCount val="297"/>
                <c:pt idx="0">
                  <c:v>132</c:v>
                </c:pt>
                <c:pt idx="1">
                  <c:v>55</c:v>
                </c:pt>
                <c:pt idx="2">
                  <c:v>25</c:v>
                </c:pt>
                <c:pt idx="3">
                  <c:v>4</c:v>
                </c:pt>
                <c:pt idx="4">
                  <c:v>6</c:v>
                </c:pt>
                <c:pt idx="5">
                  <c:v>9</c:v>
                </c:pt>
                <c:pt idx="6">
                  <c:v>10</c:v>
                </c:pt>
                <c:pt idx="7">
                  <c:v>2</c:v>
                </c:pt>
                <c:pt idx="8">
                  <c:v>1</c:v>
                </c:pt>
                <c:pt idx="9">
                  <c:v>1</c:v>
                </c:pt>
                <c:pt idx="10">
                  <c:v>1</c:v>
                </c:pt>
                <c:pt idx="11">
                  <c:v>1</c:v>
                </c:pt>
                <c:pt idx="12">
                  <c:v>1</c:v>
                </c:pt>
                <c:pt idx="13">
                  <c:v>2</c:v>
                </c:pt>
                <c:pt idx="14">
                  <c:v>2</c:v>
                </c:pt>
                <c:pt idx="15">
                  <c:v>1</c:v>
                </c:pt>
                <c:pt idx="16">
                  <c:v>1</c:v>
                </c:pt>
                <c:pt idx="17">
                  <c:v>1</c:v>
                </c:pt>
                <c:pt idx="18">
                  <c:v>3</c:v>
                </c:pt>
                <c:pt idx="19">
                  <c:v>1</c:v>
                </c:pt>
                <c:pt idx="20">
                  <c:v>3</c:v>
                </c:pt>
                <c:pt idx="21">
                  <c:v>1</c:v>
                </c:pt>
                <c:pt idx="22">
                  <c:v>1</c:v>
                </c:pt>
                <c:pt idx="23">
                  <c:v>1</c:v>
                </c:pt>
                <c:pt idx="24">
                  <c:v>1</c:v>
                </c:pt>
                <c:pt idx="25">
                  <c:v>1</c:v>
                </c:pt>
                <c:pt idx="26">
                  <c:v>1</c:v>
                </c:pt>
                <c:pt idx="27">
                  <c:v>1</c:v>
                </c:pt>
                <c:pt idx="28">
                  <c:v>2</c:v>
                </c:pt>
                <c:pt idx="29">
                  <c:v>1</c:v>
                </c:pt>
                <c:pt idx="30">
                  <c:v>1</c:v>
                </c:pt>
                <c:pt idx="31">
                  <c:v>1</c:v>
                </c:pt>
                <c:pt idx="32">
                  <c:v>1</c:v>
                </c:pt>
                <c:pt idx="33">
                  <c:v>2</c:v>
                </c:pt>
                <c:pt idx="34">
                  <c:v>1</c:v>
                </c:pt>
                <c:pt idx="35">
                  <c:v>1</c:v>
                </c:pt>
                <c:pt idx="36">
                  <c:v>1</c:v>
                </c:pt>
                <c:pt idx="37">
                  <c:v>2</c:v>
                </c:pt>
                <c:pt idx="38">
                  <c:v>1</c:v>
                </c:pt>
                <c:pt idx="39">
                  <c:v>1</c:v>
                </c:pt>
                <c:pt idx="40">
                  <c:v>1</c:v>
                </c:pt>
                <c:pt idx="41">
                  <c:v>4</c:v>
                </c:pt>
                <c:pt idx="42">
                  <c:v>1</c:v>
                </c:pt>
                <c:pt idx="43">
                  <c:v>1</c:v>
                </c:pt>
                <c:pt idx="44">
                  <c:v>3</c:v>
                </c:pt>
                <c:pt idx="45">
                  <c:v>3</c:v>
                </c:pt>
                <c:pt idx="46">
                  <c:v>1</c:v>
                </c:pt>
                <c:pt idx="47">
                  <c:v>1</c:v>
                </c:pt>
                <c:pt idx="48">
                  <c:v>1</c:v>
                </c:pt>
                <c:pt idx="49">
                  <c:v>1</c:v>
                </c:pt>
                <c:pt idx="50">
                  <c:v>3</c:v>
                </c:pt>
                <c:pt idx="51">
                  <c:v>2</c:v>
                </c:pt>
                <c:pt idx="52">
                  <c:v>2</c:v>
                </c:pt>
                <c:pt idx="53">
                  <c:v>2</c:v>
                </c:pt>
                <c:pt idx="54">
                  <c:v>1</c:v>
                </c:pt>
                <c:pt idx="55">
                  <c:v>1</c:v>
                </c:pt>
                <c:pt idx="56">
                  <c:v>1</c:v>
                </c:pt>
                <c:pt idx="57">
                  <c:v>1</c:v>
                </c:pt>
                <c:pt idx="58">
                  <c:v>2</c:v>
                </c:pt>
                <c:pt idx="59">
                  <c:v>1</c:v>
                </c:pt>
                <c:pt idx="60">
                  <c:v>2</c:v>
                </c:pt>
                <c:pt idx="61">
                  <c:v>1</c:v>
                </c:pt>
                <c:pt idx="62">
                  <c:v>1</c:v>
                </c:pt>
                <c:pt idx="63">
                  <c:v>2</c:v>
                </c:pt>
                <c:pt idx="64">
                  <c:v>1</c:v>
                </c:pt>
                <c:pt idx="65">
                  <c:v>1</c:v>
                </c:pt>
                <c:pt idx="66">
                  <c:v>1</c:v>
                </c:pt>
                <c:pt idx="67">
                  <c:v>1</c:v>
                </c:pt>
                <c:pt idx="68">
                  <c:v>1</c:v>
                </c:pt>
                <c:pt idx="69">
                  <c:v>2</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4</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1</c:v>
                </c:pt>
                <c:pt idx="115">
                  <c:v>1</c:v>
                </c:pt>
                <c:pt idx="116">
                  <c:v>1</c:v>
                </c:pt>
                <c:pt idx="117">
                  <c:v>1</c:v>
                </c:pt>
                <c:pt idx="118">
                  <c:v>1</c:v>
                </c:pt>
                <c:pt idx="119">
                  <c:v>2</c:v>
                </c:pt>
                <c:pt idx="120">
                  <c:v>1</c:v>
                </c:pt>
                <c:pt idx="121">
                  <c:v>3</c:v>
                </c:pt>
                <c:pt idx="122">
                  <c:v>1</c:v>
                </c:pt>
                <c:pt idx="123">
                  <c:v>1</c:v>
                </c:pt>
                <c:pt idx="124">
                  <c:v>1</c:v>
                </c:pt>
                <c:pt idx="125">
                  <c:v>4</c:v>
                </c:pt>
                <c:pt idx="126">
                  <c:v>1</c:v>
                </c:pt>
                <c:pt idx="127">
                  <c:v>1</c:v>
                </c:pt>
                <c:pt idx="128">
                  <c:v>1</c:v>
                </c:pt>
                <c:pt idx="129">
                  <c:v>1</c:v>
                </c:pt>
                <c:pt idx="130">
                  <c:v>2</c:v>
                </c:pt>
                <c:pt idx="131">
                  <c:v>1</c:v>
                </c:pt>
                <c:pt idx="132">
                  <c:v>1</c:v>
                </c:pt>
                <c:pt idx="133">
                  <c:v>1</c:v>
                </c:pt>
                <c:pt idx="134">
                  <c:v>1</c:v>
                </c:pt>
                <c:pt idx="135">
                  <c:v>1</c:v>
                </c:pt>
                <c:pt idx="136">
                  <c:v>2</c:v>
                </c:pt>
                <c:pt idx="137">
                  <c:v>1</c:v>
                </c:pt>
                <c:pt idx="138">
                  <c:v>1</c:v>
                </c:pt>
                <c:pt idx="139">
                  <c:v>2</c:v>
                </c:pt>
                <c:pt idx="140">
                  <c:v>1</c:v>
                </c:pt>
                <c:pt idx="141">
                  <c:v>1</c:v>
                </c:pt>
                <c:pt idx="142">
                  <c:v>1</c:v>
                </c:pt>
                <c:pt idx="143">
                  <c:v>2</c:v>
                </c:pt>
                <c:pt idx="144">
                  <c:v>5</c:v>
                </c:pt>
                <c:pt idx="145">
                  <c:v>1</c:v>
                </c:pt>
                <c:pt idx="146">
                  <c:v>3</c:v>
                </c:pt>
                <c:pt idx="147">
                  <c:v>1</c:v>
                </c:pt>
                <c:pt idx="148">
                  <c:v>1</c:v>
                </c:pt>
                <c:pt idx="149">
                  <c:v>2</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3</c:v>
                </c:pt>
                <c:pt idx="165">
                  <c:v>1</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3</c:v>
                </c:pt>
                <c:pt idx="197">
                  <c:v>1</c:v>
                </c:pt>
                <c:pt idx="198">
                  <c:v>1</c:v>
                </c:pt>
                <c:pt idx="199">
                  <c:v>1</c:v>
                </c:pt>
                <c:pt idx="200">
                  <c:v>2</c:v>
                </c:pt>
                <c:pt idx="201">
                  <c:v>1</c:v>
                </c:pt>
                <c:pt idx="202">
                  <c:v>2</c:v>
                </c:pt>
                <c:pt idx="203">
                  <c:v>1</c:v>
                </c:pt>
                <c:pt idx="204">
                  <c:v>1</c:v>
                </c:pt>
                <c:pt idx="205">
                  <c:v>1</c:v>
                </c:pt>
                <c:pt idx="206">
                  <c:v>1</c:v>
                </c:pt>
                <c:pt idx="207">
                  <c:v>1</c:v>
                </c:pt>
                <c:pt idx="208">
                  <c:v>1</c:v>
                </c:pt>
                <c:pt idx="209">
                  <c:v>1</c:v>
                </c:pt>
                <c:pt idx="210">
                  <c:v>1</c:v>
                </c:pt>
                <c:pt idx="211">
                  <c:v>2</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3</c:v>
                </c:pt>
                <c:pt idx="231">
                  <c:v>3</c:v>
                </c:pt>
                <c:pt idx="232">
                  <c:v>1</c:v>
                </c:pt>
                <c:pt idx="233">
                  <c:v>1</c:v>
                </c:pt>
                <c:pt idx="234">
                  <c:v>3</c:v>
                </c:pt>
                <c:pt idx="235">
                  <c:v>1</c:v>
                </c:pt>
                <c:pt idx="236">
                  <c:v>2</c:v>
                </c:pt>
                <c:pt idx="237">
                  <c:v>1</c:v>
                </c:pt>
                <c:pt idx="238">
                  <c:v>5</c:v>
                </c:pt>
                <c:pt idx="239">
                  <c:v>1</c:v>
                </c:pt>
                <c:pt idx="240">
                  <c:v>1</c:v>
                </c:pt>
                <c:pt idx="241">
                  <c:v>1</c:v>
                </c:pt>
                <c:pt idx="242">
                  <c:v>1</c:v>
                </c:pt>
                <c:pt idx="243">
                  <c:v>1</c:v>
                </c:pt>
                <c:pt idx="244">
                  <c:v>1</c:v>
                </c:pt>
                <c:pt idx="245">
                  <c:v>1</c:v>
                </c:pt>
                <c:pt idx="246">
                  <c:v>2</c:v>
                </c:pt>
                <c:pt idx="247">
                  <c:v>1</c:v>
                </c:pt>
                <c:pt idx="248">
                  <c:v>1</c:v>
                </c:pt>
                <c:pt idx="249">
                  <c:v>1</c:v>
                </c:pt>
                <c:pt idx="250">
                  <c:v>1</c:v>
                </c:pt>
                <c:pt idx="251">
                  <c:v>1</c:v>
                </c:pt>
                <c:pt idx="252">
                  <c:v>1</c:v>
                </c:pt>
                <c:pt idx="253">
                  <c:v>2</c:v>
                </c:pt>
                <c:pt idx="254">
                  <c:v>2</c:v>
                </c:pt>
                <c:pt idx="255">
                  <c:v>2</c:v>
                </c:pt>
                <c:pt idx="256">
                  <c:v>2</c:v>
                </c:pt>
                <c:pt idx="257">
                  <c:v>1</c:v>
                </c:pt>
                <c:pt idx="258">
                  <c:v>1</c:v>
                </c:pt>
                <c:pt idx="259">
                  <c:v>2</c:v>
                </c:pt>
                <c:pt idx="260">
                  <c:v>1</c:v>
                </c:pt>
                <c:pt idx="261">
                  <c:v>1</c:v>
                </c:pt>
                <c:pt idx="262">
                  <c:v>3</c:v>
                </c:pt>
                <c:pt idx="263">
                  <c:v>1</c:v>
                </c:pt>
                <c:pt idx="264">
                  <c:v>1</c:v>
                </c:pt>
                <c:pt idx="265">
                  <c:v>2</c:v>
                </c:pt>
                <c:pt idx="266">
                  <c:v>1</c:v>
                </c:pt>
                <c:pt idx="267">
                  <c:v>1</c:v>
                </c:pt>
                <c:pt idx="268">
                  <c:v>1</c:v>
                </c:pt>
                <c:pt idx="269">
                  <c:v>2</c:v>
                </c:pt>
                <c:pt idx="270">
                  <c:v>1</c:v>
                </c:pt>
                <c:pt idx="271">
                  <c:v>3</c:v>
                </c:pt>
                <c:pt idx="272">
                  <c:v>1</c:v>
                </c:pt>
                <c:pt idx="273">
                  <c:v>1</c:v>
                </c:pt>
                <c:pt idx="274">
                  <c:v>1</c:v>
                </c:pt>
                <c:pt idx="275">
                  <c:v>1</c:v>
                </c:pt>
                <c:pt idx="276">
                  <c:v>1</c:v>
                </c:pt>
                <c:pt idx="277">
                  <c:v>1</c:v>
                </c:pt>
                <c:pt idx="278">
                  <c:v>4</c:v>
                </c:pt>
                <c:pt idx="279">
                  <c:v>1</c:v>
                </c:pt>
                <c:pt idx="280">
                  <c:v>1</c:v>
                </c:pt>
                <c:pt idx="281">
                  <c:v>2</c:v>
                </c:pt>
                <c:pt idx="282">
                  <c:v>1</c:v>
                </c:pt>
                <c:pt idx="283">
                  <c:v>1</c:v>
                </c:pt>
                <c:pt idx="284">
                  <c:v>1</c:v>
                </c:pt>
                <c:pt idx="285">
                  <c:v>1</c:v>
                </c:pt>
                <c:pt idx="286">
                  <c:v>2</c:v>
                </c:pt>
                <c:pt idx="287">
                  <c:v>1</c:v>
                </c:pt>
                <c:pt idx="288">
                  <c:v>3</c:v>
                </c:pt>
                <c:pt idx="289">
                  <c:v>1</c:v>
                </c:pt>
                <c:pt idx="290">
                  <c:v>3</c:v>
                </c:pt>
                <c:pt idx="291">
                  <c:v>1</c:v>
                </c:pt>
                <c:pt idx="292">
                  <c:v>1</c:v>
                </c:pt>
                <c:pt idx="293">
                  <c:v>1</c:v>
                </c:pt>
                <c:pt idx="294">
                  <c:v>1</c:v>
                </c:pt>
                <c:pt idx="295">
                  <c:v>2</c:v>
                </c:pt>
                <c:pt idx="296">
                  <c:v>1</c:v>
                </c:pt>
              </c:numCache>
            </c:numRef>
          </c:val>
        </c:ser>
        <c:axId val="59870403"/>
        <c:axId val="1962716"/>
      </c:barChart>
      <c:catAx>
        <c:axId val="59870403"/>
        <c:scaling>
          <c:orientation val="minMax"/>
        </c:scaling>
        <c:axPos val="b"/>
        <c:delete val="0"/>
        <c:numFmt formatCode="General" sourceLinked="1"/>
        <c:majorTickMark val="out"/>
        <c:minorTickMark val="none"/>
        <c:tickLblPos val="nextTo"/>
        <c:crossAx val="1962716"/>
        <c:crosses val="autoZero"/>
        <c:auto val="1"/>
        <c:lblOffset val="100"/>
        <c:noMultiLvlLbl val="0"/>
      </c:catAx>
      <c:valAx>
        <c:axId val="1962716"/>
        <c:scaling>
          <c:orientation val="minMax"/>
        </c:scaling>
        <c:axPos val="l"/>
        <c:majorGridlines/>
        <c:delete val="0"/>
        <c:numFmt formatCode="General" sourceLinked="1"/>
        <c:majorTickMark val="out"/>
        <c:minorTickMark val="none"/>
        <c:tickLblPos val="nextTo"/>
        <c:crossAx val="59870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04147"/>
        <c:axId val="21675276"/>
      </c:barChart>
      <c:catAx>
        <c:axId val="54604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75276"/>
        <c:crosses val="autoZero"/>
        <c:auto val="1"/>
        <c:lblOffset val="100"/>
        <c:noMultiLvlLbl val="0"/>
      </c:catAx>
      <c:valAx>
        <c:axId val="2167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59757"/>
        <c:axId val="10866902"/>
      </c:barChart>
      <c:catAx>
        <c:axId val="60859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95317"/>
        <c:axId val="19913534"/>
      </c:barChart>
      <c:catAx>
        <c:axId val="39495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13534"/>
        <c:crosses val="autoZero"/>
        <c:auto val="1"/>
        <c:lblOffset val="100"/>
        <c:noMultiLvlLbl val="0"/>
      </c:catAx>
      <c:valAx>
        <c:axId val="1991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51753"/>
        <c:axId val="58848050"/>
      </c:barChart>
      <c:catAx>
        <c:axId val="21451753"/>
        <c:scaling>
          <c:orientation val="minMax"/>
        </c:scaling>
        <c:axPos val="b"/>
        <c:delete val="1"/>
        <c:majorTickMark val="out"/>
        <c:minorTickMark val="none"/>
        <c:tickLblPos val="none"/>
        <c:crossAx val="58848050"/>
        <c:crosses val="autoZero"/>
        <c:auto val="1"/>
        <c:lblOffset val="100"/>
        <c:noMultiLvlLbl val="0"/>
      </c:catAx>
      <c:valAx>
        <c:axId val="58848050"/>
        <c:scaling>
          <c:orientation val="minMax"/>
        </c:scaling>
        <c:axPos val="l"/>
        <c:delete val="1"/>
        <c:majorTickMark val="out"/>
        <c:minorTickMark val="none"/>
        <c:tickLblPos val="none"/>
        <c:crossAx val="21451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1" refreshedBy="Digital Space Lab" refreshedVersion="8">
  <cacheSource type="worksheet">
    <worksheetSource ref="A2:AP623"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620">
        <d v="2012-10-20T13:47:41.000"/>
        <d v="2012-10-20T13:48:07.000"/>
        <d v="2012-10-20T13:52:43.000"/>
        <d v="2012-10-20T14:39:50.000"/>
        <d v="2012-10-20T14:48:40.000"/>
        <d v="2012-10-20T14:53:00.000"/>
        <d v="2012-10-20T14:53:30.000"/>
        <d v="2012-10-20T14:57:08.000"/>
        <d v="2012-10-20T15:05:20.000"/>
        <d v="2012-10-20T15:13:57.000"/>
        <d v="2012-10-20T15:15:02.000"/>
        <d v="2012-10-20T14:40:26.000"/>
        <d v="2012-10-20T15:16:57.000"/>
        <d v="2012-10-20T14:01:01.000"/>
        <d v="2012-10-20T14:02:26.000"/>
        <d v="2012-10-20T15:17:31.000"/>
        <d v="2012-10-20T15:30:55.000"/>
        <d v="2012-10-20T15:31:26.000"/>
        <d v="2012-10-20T15:33:36.000"/>
        <d v="2012-10-20T15:40:07.000"/>
        <d v="2012-10-20T14:35:20.000"/>
        <d v="2012-10-20T15:41:45.000"/>
        <d v="2012-10-20T15:43:02.000"/>
        <d v="2012-10-20T15:43:10.000"/>
        <d v="2012-10-20T15:47:46.000"/>
        <d v="2012-10-20T15:50:46.000"/>
        <d v="2012-10-20T15:48:55.000"/>
        <d v="2012-10-20T15:54:32.000"/>
        <d v="2012-10-20T15:55:05.000"/>
        <d v="2012-10-20T16:05:01.000"/>
        <d v="2012-10-20T16:13:13.000"/>
        <d v="2012-10-20T16:19:04.000"/>
        <d v="2012-10-20T16:25:47.000"/>
        <d v="2021-04-09T18:19:01.000"/>
        <d v="2012-10-20T16:26:13.000"/>
        <d v="2012-10-20T16:29:06.000"/>
        <d v="2012-10-20T16:35:05.000"/>
        <d v="2012-10-20T16:43:19.000"/>
        <d v="2012-10-20T16:45:12.000"/>
        <d v="2012-10-20T16:53:43.000"/>
        <d v="2012-10-20T16:58:52.000"/>
        <d v="2012-10-20T16:53:55.000"/>
        <d v="2012-10-20T17:01:11.000"/>
        <d v="2012-10-20T17:02:46.000"/>
        <d v="2012-10-20T17:07:54.000"/>
        <d v="2012-10-20T17:13:32.000"/>
        <d v="2012-10-20T17:20:20.000"/>
        <d v="2012-10-20T17:30:11.000"/>
        <d v="2012-10-20T17:31:12.000"/>
        <d v="2012-10-20T17:50:17.000"/>
        <d v="2012-10-20T17:54:41.000"/>
        <d v="2012-10-20T17:54:49.000"/>
        <d v="2012-10-20T17:56:09.000"/>
        <d v="2012-10-20T17:57:42.000"/>
        <d v="2012-10-20T18:04:49.000"/>
        <d v="2012-10-20T17:44:17.000"/>
        <d v="2012-10-20T18:05:39.000"/>
        <d v="2012-10-20T15:56:52.000"/>
        <d v="2012-10-20T16:00:24.000"/>
        <d v="2012-10-20T17:33:24.000"/>
        <d v="2012-10-20T18:11:26.000"/>
        <d v="2012-10-20T18:34:45.000"/>
        <d v="2012-10-20T18:46:43.000"/>
        <d v="2012-10-20T18:47:25.000"/>
        <d v="2012-10-20T18:49:08.000"/>
        <d v="2012-10-20T19:00:59.000"/>
        <d v="2012-10-20T19:01:26.000"/>
        <d v="2012-10-20T18:56:19.000"/>
        <d v="2012-10-20T18:57:24.000"/>
        <d v="2012-10-20T19:03:17.000"/>
        <d v="2012-10-20T19:08:53.000"/>
        <d v="2012-10-20T19:08:54.000"/>
        <d v="2012-10-20T19:13:17.000"/>
        <d v="2012-10-20T19:14:14.000"/>
        <d v="2012-10-20T19:22:06.000"/>
        <d v="2012-10-20T19:24:39.000"/>
        <d v="2012-10-20T19:27:30.000"/>
        <d v="2012-10-20T19:45:25.000"/>
        <d v="2012-10-20T19:41:07.000"/>
        <d v="2012-10-20T19:50:25.000"/>
        <d v="2012-10-20T19:55:27.000"/>
        <d v="2012-10-20T19:56:18.000"/>
        <d v="2012-10-20T20:02:24.000"/>
        <d v="2012-10-20T15:24:33.000"/>
        <d v="2012-10-20T20:03:09.000"/>
        <d v="2012-10-20T20:07:12.000"/>
        <d v="2012-10-20T20:15:59.000"/>
        <d v="2012-10-20T20:23:01.000"/>
        <d v="2012-10-20T20:26:28.000"/>
        <d v="2012-10-20T19:21:06.000"/>
        <d v="2012-10-20T19:31:54.000"/>
        <d v="2012-10-20T20:32:45.000"/>
        <d v="2012-10-20T20:47:10.000"/>
        <d v="2012-10-20T20:50:06.000"/>
        <d v="2012-10-20T20:52:25.000"/>
        <d v="2012-10-20T14:25:18.000"/>
        <d v="2012-10-20T14:40:59.000"/>
        <d v="2012-10-20T14:59:14.000"/>
        <d v="2012-10-20T15:01:19.000"/>
        <d v="2012-10-20T21:01:13.000"/>
        <d v="2012-10-20T21:14:40.000"/>
        <d v="2012-10-20T21:21:40.000"/>
        <d v="2012-10-20T21:26:01.000"/>
        <d v="2012-10-20T21:27:50.000"/>
        <d v="2012-10-20T21:40:09.000"/>
        <d v="2012-10-20T21:45:29.000"/>
        <d v="2012-10-20T22:28:35.000"/>
        <d v="2012-10-20T23:00:12.000"/>
        <d v="2012-10-20T23:02:43.000"/>
        <d v="2012-10-20T23:14:45.000"/>
        <d v="2012-10-20T18:39:31.000"/>
        <d v="2012-10-20T23:39:29.000"/>
        <d v="2012-10-21T00:07:46.000"/>
        <d v="2012-10-20T13:47:28.000"/>
        <d v="2012-10-20T13:48:14.000"/>
        <d v="2012-10-20T13:59:30.000"/>
        <d v="2012-10-20T14:08:36.000"/>
        <d v="2012-10-20T19:09:30.000"/>
        <d v="2012-10-20T19:10:17.000"/>
        <d v="2012-10-21T00:24:39.000"/>
        <d v="2012-10-21T00:32:01.000"/>
        <d v="2012-10-20T16:11:59.000"/>
        <d v="2012-10-20T17:39:11.000"/>
        <d v="2012-10-20T18:02:43.000"/>
        <d v="2012-10-21T00:45:13.000"/>
        <d v="2012-10-21T00:54:52.000"/>
        <d v="2012-10-21T01:11:23.000"/>
        <d v="2012-10-21T01:40:11.000"/>
        <d v="2012-10-21T01:09:19.000"/>
        <d v="2012-10-21T01:37:44.000"/>
        <d v="2012-10-21T01:47:54.000"/>
        <d v="2012-10-21T01:56:22.000"/>
        <d v="2012-10-21T01:59:33.000"/>
        <d v="2012-10-21T02:09:15.000"/>
        <d v="2012-10-21T02:24:00.000"/>
        <d v="2012-10-21T02:42:18.000"/>
        <d v="2012-10-21T02:42:52.000"/>
        <d v="2012-10-20T15:23:52.000"/>
        <d v="2012-10-20T16:15:48.000"/>
        <d v="2012-10-20T17:48:17.000"/>
        <d v="2012-10-20T17:50:56.000"/>
        <d v="2012-10-20T19:31:18.000"/>
        <d v="2012-10-20T20:24:05.000"/>
        <d v="2012-10-20T22:28:39.000"/>
        <d v="2012-10-21T01:15:26.000"/>
        <d v="2012-10-21T02:23:16.000"/>
        <d v="2012-10-21T02:40:10.000"/>
        <d v="2012-10-21T02:47:00.000"/>
        <d v="2021-03-18T04:55:25.000"/>
        <d v="2021-08-31T21:54:52.000"/>
        <d v="2012-10-21T03:09:40.000"/>
        <d v="2012-10-21T03:25:00.000"/>
        <d v="2012-10-21T03:25:05.000"/>
        <d v="2012-10-21T03:47:02.000"/>
        <d v="2012-10-20T21:19:44.000"/>
        <d v="2012-10-21T03:51:52.000"/>
        <d v="2012-10-21T04:09:46.000"/>
        <d v="2012-10-21T05:15:53.000"/>
        <d v="2012-10-21T07:34:40.000"/>
        <d v="2012-10-20T15:13:59.000"/>
        <d v="2012-10-21T08:01:31.000"/>
        <d v="2012-10-21T08:40:50.000"/>
        <d v="2012-10-21T08:48:23.000"/>
        <d v="2012-10-21T10:04:25.000"/>
        <d v="2012-10-21T00:59:03.000"/>
        <d v="2012-10-21T14:28:13.000"/>
        <d v="2012-10-21T15:39:51.000"/>
        <d v="2012-10-21T16:46:14.000"/>
        <d v="2012-10-21T16:46:57.000"/>
        <d v="2012-10-20T13:49:20.000"/>
        <d v="2012-10-21T18:22:20.000"/>
        <d v="2020-05-31T02:30:08.000"/>
        <d v="2021-12-30T19:45:02.000"/>
        <d v="2012-10-21T19:01:24.000"/>
        <d v="2012-10-21T19:12:03.000"/>
        <d v="2012-10-21T19:44:27.000"/>
        <d v="2012-10-21T20:05:22.000"/>
        <d v="2012-10-21T22:01:37.000"/>
        <d v="2012-10-21T22:15:44.000"/>
        <d v="2012-10-21T22:21:18.000"/>
        <d v="2012-10-21T23:32:49.000"/>
        <d v="2012-10-21T23:49:37.000"/>
        <d v="2012-10-22T00:10:38.000"/>
        <d v="2012-10-21T14:59:01.000"/>
        <d v="2012-10-21T18:30:12.000"/>
        <d v="2012-10-21T18:33:37.000"/>
        <d v="2012-10-22T00:30:39.000"/>
        <d v="2012-10-22T00:48:23.000"/>
        <d v="2020-10-31T11:04:08.000"/>
        <d v="2012-10-22T01:02:57.000"/>
        <d v="2012-10-22T01:09:17.000"/>
        <d v="2012-10-22T03:07:49.000"/>
        <d v="2012-10-22T03:19:33.000"/>
        <d v="2012-10-22T04:25:31.000"/>
        <d v="2012-10-22T05:59:15.000"/>
        <d v="2012-10-22T06:05:10.000"/>
        <d v="2012-10-22T06:27:35.000"/>
        <d v="2012-10-22T07:26:49.000"/>
        <d v="2012-10-21T12:02:30.000"/>
        <d v="2012-10-21T17:18:06.000"/>
        <d v="2012-10-21T17:18:44.000"/>
        <d v="2012-10-22T07:56:07.000"/>
        <d v="2012-10-22T07:56:31.000"/>
        <d v="2012-10-21T16:44:58.000"/>
        <d v="2012-10-22T02:44:53.000"/>
        <d v="2012-10-22T10:31:06.000"/>
        <d v="2012-10-22T14:14:34.000"/>
        <d v="2012-10-22T14:25:11.000"/>
        <d v="2012-10-21T15:25:32.000"/>
        <d v="2012-10-22T15:50:50.000"/>
        <d v="2012-10-22T18:53:47.000"/>
        <d v="2012-10-22T18:54:10.000"/>
        <d v="2012-10-22T21:39:10.000"/>
        <d v="2012-10-22T23:19:12.000"/>
        <d v="2012-10-23T04:07:42.000"/>
        <d v="2012-10-23T04:09:04.000"/>
        <d v="2012-10-23T20:47:30.000"/>
        <d v="2012-10-22T23:49:13.000"/>
        <d v="2012-10-23T21:03:26.000"/>
        <d v="2012-10-24T02:31:07.000"/>
        <d v="2012-10-24T04:41:33.000"/>
        <d v="2012-10-24T09:47:23.000"/>
        <d v="2012-10-24T11:31:47.000"/>
        <d v="2012-10-24T13:35:34.000"/>
        <d v="2012-10-24T21:25:56.000"/>
        <d v="2012-10-25T19:17:38.000"/>
        <d v="2012-10-25T19:18:27.000"/>
        <d v="2012-10-25T21:22:50.000"/>
        <d v="2012-10-26T01:38:22.000"/>
        <d v="2012-10-25T18:01:06.000"/>
        <d v="2012-10-25T21:04:55.000"/>
        <d v="2012-10-25T23:30:36.000"/>
        <d v="2012-10-25T23:55:32.000"/>
        <d v="2012-10-26T00:05:24.000"/>
        <d v="2012-10-26T01:05:52.000"/>
        <d v="2012-10-26T01:10:20.000"/>
        <d v="2012-10-26T01:14:14.000"/>
        <d v="2012-10-26T05:43:02.000"/>
        <d v="2012-10-25T23:02:54.000"/>
        <d v="2012-10-25T23:03:02.000"/>
        <d v="2012-10-26T00:23:04.000"/>
        <d v="2012-10-26T00:26:34.000"/>
        <d v="2012-10-26T05:21:36.000"/>
        <d v="2012-10-26T06:43:56.000"/>
        <d v="2012-10-27T00:31:36.000"/>
        <d v="2012-10-22T21:57:05.000"/>
        <d v="2012-10-27T12:51:37.000"/>
        <d v="2012-10-28T19:43:03.000"/>
        <d v="2012-10-29T12:53:22.000"/>
        <d v="2012-11-01T01:11:02.000"/>
        <d v="2012-11-02T20:19:42.000"/>
        <d v="2021-12-11T02:40:28.000"/>
        <d v="2021-11-15T13:07:03.000"/>
        <d v="2012-11-04T23:48:15.000"/>
        <d v="2012-11-07T19:10:23.000"/>
        <d v="2012-11-07T23:00:28.000"/>
        <d v="2012-11-08T01:37:14.000"/>
        <d v="2012-11-08T23:24:12.000"/>
        <d v="2012-11-10T21:29:38.000"/>
        <d v="2012-11-11T06:27:04.000"/>
        <d v="2012-11-13T04:52:43.000"/>
        <d v="2012-11-13T22:01:11.000"/>
        <d v="2012-11-13T23:23:38.000"/>
        <d v="2012-11-09T15:07:27.000"/>
        <d v="2012-11-14T12:09:56.000"/>
        <d v="2012-11-15T17:17:46.000"/>
        <d v="2012-11-15T16:03:49.000"/>
        <d v="2012-11-15T22:29:26.000"/>
        <d v="2012-11-19T08:00:42.000"/>
        <d v="2012-12-05T15:53:15.000"/>
        <d v="2012-12-06T01:12:39.000"/>
        <d v="2012-12-10T00:21:37.000"/>
        <d v="2012-12-12T21:59:23.000"/>
        <d v="2012-12-17T14:25:05.000"/>
        <d v="2012-12-23T00:43:04.000"/>
        <d v="2012-12-29T02:58:14.000"/>
        <d v="2012-12-29T03:27:01.000"/>
        <d v="2012-12-31T08:41:21.000"/>
        <d v="2013-01-07T20:04:58.000"/>
        <d v="2013-01-16T04:42:18.000"/>
        <d v="2013-01-21T23:53:50.000"/>
        <d v="2013-01-30T13:57:57.000"/>
        <d v="2013-02-06T20:18:53.000"/>
        <d v="2013-02-07T17:39:50.000"/>
        <d v="2013-02-08T00:38:38.000"/>
        <d v="2013-02-08T00:39:32.000"/>
        <d v="2013-02-15T04:04:33.000"/>
        <d v="2013-03-10T23:54:25.000"/>
        <d v="2013-02-02T12:33:28.000"/>
        <d v="2013-03-14T00:19:20.000"/>
        <d v="2013-03-14T05:59:41.000"/>
        <d v="2013-01-30T20:12:29.000"/>
        <d v="2013-03-13T21:19:09.000"/>
        <d v="2013-03-14T20:09:34.000"/>
        <d v="2013-03-14T21:43:49.000"/>
        <d v="2013-03-15T02:31:11.000"/>
        <d v="2013-03-17T03:02:25.000"/>
        <d v="2013-03-20T11:18:14.000"/>
        <d v="2013-03-20T11:46:32.000"/>
        <d v="2013-03-20T11:51:18.000"/>
        <d v="2013-04-02T23:09:47.000"/>
        <d v="2013-04-03T07:19:52.000"/>
        <d v="2013-04-08T21:56:16.000"/>
        <d v="2013-04-09T15:25:33.000"/>
        <d v="2013-04-15T04:10:29.000"/>
        <d v="2013-04-02T09:20:30.000"/>
        <d v="2013-04-02T09:33:00.000"/>
        <d v="2013-04-17T15:36:29.000"/>
        <d v="2013-04-16T17:47:20.000"/>
        <d v="2013-04-16T23:23:59.000"/>
        <d v="2013-04-16T23:24:11.000"/>
        <d v="2013-04-17T16:25:37.000"/>
        <d v="2013-04-22T04:08:09.000"/>
        <d v="2013-04-22T04:44:19.000"/>
        <d v="2013-04-28T12:50:29.000"/>
        <d v="2013-04-29T19:49:09.000"/>
        <d v="2013-05-09T01:08:37.000"/>
        <d v="2013-04-28T13:40:19.000"/>
        <d v="2013-05-15T05:14:51.000"/>
        <d v="2013-05-19T18:33:42.000"/>
        <d v="2013-05-25T11:40:23.000"/>
        <d v="2013-05-25T17:21:24.000"/>
        <d v="2013-05-31T19:28:01.000"/>
        <d v="2013-06-18T04:05:03.000"/>
        <d v="2013-06-18T18:23:58.000"/>
        <d v="2013-06-22T00:14:53.000"/>
        <d v="2013-06-25T07:57:30.000"/>
        <d v="2013-06-27T18:20:48.000"/>
        <d v="2013-06-27T18:24:40.000"/>
        <d v="2013-06-28T08:43:37.000"/>
        <d v="2013-06-29T08:44:11.000"/>
        <d v="2013-07-17T03:48:19.000"/>
        <d v="2013-07-22T05:04:15.000"/>
        <d v="2013-09-06T08:18:37.000"/>
        <d v="2013-09-06T08:18:58.000"/>
        <d v="2013-09-08T08:22:37.000"/>
        <d v="2013-09-19T01:36:00.000"/>
        <d v="2013-07-27T00:28:10.000"/>
        <d v="2013-09-20T11:06:33.000"/>
        <d v="2013-10-04T09:29:45.000"/>
        <d v="2013-10-08T00:05:47.000"/>
        <d v="2013-10-25T00:35:15.000"/>
        <d v="2013-10-25T23:18:34.000"/>
        <d v="2013-10-28T16:58:18.000"/>
        <d v="2013-10-30T02:42:48.000"/>
        <d v="2013-11-02T01:19:19.000"/>
        <d v="2014-01-03T23:36:52.000"/>
        <d v="2014-02-01T14:44:43.000"/>
        <d v="2014-02-08T06:32:46.000"/>
        <d v="2015-11-12T03:44:14.000"/>
        <d v="2018-08-13T15:41:31.000"/>
        <d v="2014-03-05T20:26:25.000"/>
        <d v="2014-03-27T01:14:28.000"/>
        <d v="2014-03-15T02:00:55.000"/>
        <d v="2014-03-27T01:09:25.000"/>
        <d v="2014-03-27T04:14:01.000"/>
        <d v="2014-03-27T03:26:08.000"/>
        <d v="2014-03-19T00:45:21.000"/>
        <d v="2014-03-29T08:10:19.000"/>
        <d v="2014-05-22T14:55:51.000"/>
        <d v="2014-06-16T06:07:07.000"/>
        <d v="2014-06-20T03:20:08.000"/>
        <d v="2016-05-26T15:31:37.000"/>
        <d v="2014-06-24T09:51:03.000"/>
        <d v="2014-07-09T21:59:36.000"/>
        <d v="2014-07-14T17:58:18.000"/>
        <d v="2021-08-07T09:49:55.000"/>
        <d v="2021-08-31T22:25:51.000"/>
        <d v="2014-08-01T03:41:45.000"/>
        <d v="2014-08-30T04:55:33.000"/>
        <d v="2014-10-08T02:48:17.000"/>
        <d v="2014-10-17T16:03:50.000"/>
        <d v="2014-11-30T02:51:43.000"/>
        <d v="2015-06-05T22:28:43.000"/>
        <d v="2014-11-13T07:33:54.000"/>
        <d v="2014-11-16T06:34:42.000"/>
        <d v="2014-12-19T15:48:23.000"/>
        <d v="2015-02-25T02:24:06.000"/>
        <d v="2015-03-09T11:57:57.000"/>
        <d v="2015-11-12T03:38:20.000"/>
        <d v="2015-02-24T21:34:55.000"/>
        <d v="2015-10-06T15:30:40.000"/>
        <d v="2015-11-12T18:23:22.000"/>
        <d v="2018-04-09T17:37:41.000"/>
        <d v="2014-11-28T01:27:11.000"/>
        <d v="2015-03-27T14:39:46.000"/>
        <d v="2015-03-31T22:42:54.000"/>
        <d v="2018-06-01T18:41:18.000"/>
        <d v="2021-07-24T13:29:34.000"/>
        <d v="2015-03-24T09:22:07.000"/>
        <d v="2018-08-23T08:01:22.000"/>
        <d v="2021-11-15T13:04:06.000"/>
        <d v="2015-04-20T01:55:02.000"/>
        <d v="2021-09-20T13:44:38.000"/>
        <d v="2021-12-16T07:00:35.000"/>
        <d v="2022-01-16T18:15:56.000"/>
        <d v="2022-01-07T17:55:23.000"/>
        <d v="2022-01-16T18:21:14.000"/>
        <d v="2022-02-08T03:08:38.000"/>
        <d v="2022-04-12T04:14:34.000"/>
        <d v="2022-05-28T12:47:06.000"/>
        <d v="2022-06-24T13:32:37.000"/>
        <d v="2021-03-01T11:15:17.000"/>
        <d v="2015-05-13T04:10:25.000"/>
        <d v="2015-06-02T05:29:13.000"/>
        <d v="2015-06-05T16:49:56.000"/>
        <d v="2015-08-02T16:48:31.000"/>
        <d v="2016-05-26T15:28:03.000"/>
        <d v="2015-09-01T12:57:09.000"/>
        <d v="2015-09-06T16:36:43.000"/>
        <d v="2015-09-18T05:06:42.000"/>
        <d v="2015-09-30T20:29:32.000"/>
        <d v="2015-11-08T17:57:48.000"/>
        <d v="2015-11-10T16:34:26.000"/>
        <d v="2016-06-05T07:29:40.000"/>
        <d v="2018-04-09T17:13:34.000"/>
        <d v="2021-06-08T15:46:12.000"/>
        <d v="2021-06-08T15:46:42.000"/>
        <d v="2021-05-27T20:49:08.000"/>
        <d v="2021-06-30T13:32:05.000"/>
        <d v="2015-11-10T08:23:31.000"/>
        <d v="2016-02-10T00:44:15.000"/>
        <d v="2016-01-19T14:26:25.000"/>
        <d v="2016-06-20T00:51:01.000"/>
        <d v="2016-01-19T21:44:59.000"/>
        <d v="2015-11-11T18:35:58.000"/>
        <d v="2016-11-01T21:16:22.000"/>
        <d v="2015-11-30T00:18:45.000"/>
        <d v="2016-11-01T21:16:48.000"/>
        <d v="2015-12-01T08:19:39.000"/>
        <d v="2016-01-09T17:34:58.000"/>
        <d v="2016-01-19T22:02:52.000"/>
        <d v="2016-01-19T22:31:42.000"/>
        <d v="2017-01-08T13:48:11.000"/>
        <d v="2017-01-10T18:05:56.000"/>
        <d v="2017-01-10T19:12:21.000"/>
        <d v="2017-01-10T18:47:42.000"/>
        <d v="2016-02-09T17:59:31.000"/>
        <d v="2016-11-01T21:15:23.000"/>
        <d v="2016-03-28T23:49:46.000"/>
        <d v="2016-05-16T09:44:35.000"/>
        <d v="2016-05-31T20:53:41.000"/>
        <d v="2016-11-01T21:14:56.000"/>
        <d v="2016-07-28T06:40:01.000"/>
        <d v="2016-10-13T01:17:30.000"/>
        <d v="2016-10-13T04:49:12.000"/>
        <d v="2016-08-14T06:02:43.000"/>
        <d v="2016-09-08T00:03:43.000"/>
        <d v="2016-09-18T07:38:51.000"/>
        <d v="2016-11-01T21:14:04.000"/>
        <d v="2017-01-23T13:12:52.000"/>
        <d v="2017-02-19T02:49:34.000"/>
        <d v="2017-03-07T01:11:12.000"/>
        <d v="2017-03-07T01:27:53.000"/>
        <d v="2017-03-25T04:18:39.000"/>
        <d v="2017-04-25T05:31:57.000"/>
        <d v="2017-05-01T08:12:15.000"/>
        <d v="2017-05-27T17:12:47.000"/>
        <d v="2017-06-22T05:01:16.000"/>
        <d v="2017-10-08T11:13:49.000"/>
        <d v="2017-10-15T06:22:45.000"/>
        <d v="2016-08-16T18:04:59.000"/>
        <d v="2016-08-16T18:22:12.000"/>
        <d v="2016-08-18T08:09:44.000"/>
        <d v="2016-08-21T01:10:16.000"/>
        <d v="2016-08-27T04:44:19.000"/>
        <d v="2016-08-27T04:45:56.000"/>
        <d v="2016-09-06T23:00:51.000"/>
        <d v="2017-10-09T11:54:57.000"/>
        <d v="2017-10-14T05:20:31.000"/>
        <d v="2017-10-19T08:25:20.000"/>
        <d v="2017-10-22T08:37:01.000"/>
        <d v="2017-10-26T12:44:31.000"/>
        <d v="2017-11-22T06:42:35.000"/>
        <d v="2018-02-07T17:21:47.000"/>
        <d v="2018-03-06T00:20:16.000"/>
        <d v="2018-03-06T00:27:56.000"/>
        <d v="2018-03-06T00:28:12.000"/>
        <d v="2018-03-16T06:14:16.000"/>
        <d v="2018-04-16T08:37:07.000"/>
        <d v="2018-05-06T20:35:32.000"/>
        <d v="2021-11-24T07:59:32.000"/>
        <d v="2022-05-29T18:13:40.000"/>
        <d v="2022-05-12T17:02:13.000"/>
        <d v="2018-05-19T08:05:11.000"/>
        <d v="2018-06-13T09:43:18.000"/>
        <d v="2018-08-13T15:39:45.000"/>
        <d v="2018-08-14T18:04:07.000"/>
        <d v="2019-01-22T07:18:26.000"/>
        <d v="2019-02-27T16:09:20.000"/>
        <d v="2019-03-11T09:17:17.000"/>
        <d v="2019-03-18T14:21:07.000"/>
        <d v="2019-05-13T19:55:23.000"/>
        <d v="2019-09-11T00:44:50.000"/>
        <d v="2020-02-17T00:00:57.000"/>
        <d v="2020-03-14T10:25:32.000"/>
        <d v="2020-05-26T17:44:30.000"/>
        <d v="2020-06-27T20:49:55.000"/>
        <d v="2020-07-09T22:11:12.000"/>
        <d v="2020-07-19T13:03:58.000"/>
        <d v="2020-09-18T00:43:36.000"/>
        <d v="2020-10-25T09:44:17.000"/>
        <d v="2020-12-03T19:26:01.000"/>
        <d v="2020-12-13T17:42:25.000"/>
        <d v="2021-01-21T17:35:11.000"/>
        <d v="2021-01-26T08:24:05.000"/>
        <d v="2021-02-16T00:56:54.000"/>
        <d v="2021-02-16T08:48:25.000"/>
        <d v="2021-02-16T09:35:50.000"/>
        <d v="2021-03-17T23:00:09.000"/>
        <d v="2021-02-18T21:47:37.000"/>
        <d v="2021-02-19T02:12:29.000"/>
        <d v="2021-02-27T15:06:59.000"/>
        <d v="2021-03-01T11:14:23.000"/>
        <d v="2021-03-18T05:02:47.000"/>
        <d v="2021-03-19T05:38:27.000"/>
        <d v="2021-03-27T17:25:10.000"/>
        <d v="2021-04-21T02:53:17.000"/>
        <d v="2021-05-03T12:57:34.000"/>
        <d v="2021-05-21T00:04:07.000"/>
        <d v="2021-05-22T18:59:11.000"/>
        <d v="2021-06-09T04:07:55.000"/>
        <d v="2021-07-08T14:57:40.000"/>
        <d v="2021-07-09T02:17:18.000"/>
        <d v="2021-07-11T05:28:26.000"/>
        <d v="2021-07-20T14:13:11.000"/>
        <d v="2021-07-21T03:27:20.000"/>
        <d v="2021-07-26T07:07:04.000"/>
        <d v="2021-07-28T02:19:59.000"/>
        <d v="2021-08-09T19:32:24.000"/>
        <d v="2021-08-10T23:38:07.000"/>
        <d v="2021-08-12T00:17:21.000"/>
        <d v="2021-08-15T03:29:00.000"/>
        <d v="2021-08-23T02:22:51.000"/>
        <d v="2021-08-26T01:10:50.000"/>
        <d v="2021-08-27T10:41:00.000"/>
        <d v="2021-08-28T04:45:36.000"/>
        <d v="2021-08-28T04:56:32.000"/>
        <d v="2021-08-28T05:18:22.000"/>
        <d v="2022-02-22T15:09:04.000"/>
        <d v="2022-03-31T07:45:56.000"/>
        <d v="2021-08-31T22:28:33.000"/>
        <d v="2021-09-01T02:55:06.000"/>
        <d v="2021-09-03T22:07:30.000"/>
        <d v="2021-09-10T19:06:43.000"/>
        <d v="2021-09-10T04:33:15.000"/>
        <d v="2021-09-10T15:19:02.000"/>
        <d v="2021-09-15T19:29:16.000"/>
        <d v="2021-09-17T21:06:57.000"/>
        <d v="2021-09-17T21:31:12.000"/>
        <d v="2021-09-22T02:33:05.000"/>
        <d v="2021-09-22T02:40:50.000"/>
        <d v="2021-09-22T03:54:28.000"/>
        <d v="2021-09-22T15:09:42.000"/>
        <d v="2021-09-22T16:10:57.000"/>
        <d v="2021-09-28T05:24:31.000"/>
        <d v="2021-10-11T04:43:45.000"/>
        <d v="2021-10-15T14:49:57.000"/>
        <d v="2021-10-19T09:46:26.000"/>
        <d v="2021-10-22T17:28:10.000"/>
        <d v="2021-11-08T07:20:49.000"/>
        <d v="2021-11-12T05:37:05.000"/>
        <d v="2021-11-16T20:11:06.000"/>
        <d v="2021-11-20T23:56:36.000"/>
        <d v="2021-11-23T20:51:47.000"/>
        <d v="2021-11-27T10:03:57.000"/>
        <d v="2021-12-10T03:01:34.000"/>
        <d v="2021-12-11T15:59:09.000"/>
        <d v="2021-12-16T13:02:08.000"/>
        <d v="2021-12-18T03:52:23.000"/>
        <d v="2021-12-18T14:42:34.000"/>
        <d v="2021-12-20T04:25:24.000"/>
        <d v="2021-12-20T05:24:44.000"/>
        <d v="2021-12-21T22:48:45.000"/>
        <d v="2021-12-24T14:32:03.000"/>
        <d v="2021-12-28T13:34:22.000"/>
        <d v="2021-12-28T23:01:00.000"/>
        <d v="2021-12-29T03:12:19.000"/>
        <d v="2022-01-02T00:47:44.000"/>
        <d v="2022-01-02T02:49:26.000"/>
        <d v="2022-01-02T17:26:59.000"/>
        <d v="2022-01-03T16:19:59.000"/>
        <d v="2022-01-19T15:02:38.000"/>
        <d v="2022-01-23T06:11:33.000"/>
        <d v="2022-01-26T05:15:22.000"/>
        <d v="2022-05-02T17:18:28.000"/>
        <d v="2022-01-28T00:36:44.000"/>
        <d v="2022-05-05T22:55:25.000"/>
        <d v="2022-01-28T00:43:03.000"/>
        <d v="2022-01-29T23:50:55.000"/>
        <d v="2022-02-08T12:05:16.000"/>
        <d v="2022-02-08T16:04:53.000"/>
        <d v="2022-02-09T14:21:40.000"/>
        <d v="2022-02-10T19:16:52.000"/>
        <d v="2022-03-03T10:05:13.000"/>
        <d v="2022-03-18T01:05:03.000"/>
        <d v="2022-04-06T10:25:14.000"/>
        <d v="2022-04-06T10:26:55.000"/>
        <d v="2022-04-06T10:30:21.000"/>
        <d v="2022-04-06T10:54:47.000"/>
        <d v="2022-04-14T12:58:05.000"/>
        <d v="2022-04-24T02:11:17.000"/>
        <d v="2022-04-24T10:22:08.000"/>
        <d v="2022-04-26T18:21:55.000"/>
        <d v="2022-05-01T08:21:44.000"/>
        <d v="2022-05-06T02:41:38.000"/>
        <d v="2022-05-06T08:09:21.000"/>
        <d v="2022-05-11T01:07:44.000"/>
        <d v="2022-05-12T04:09:52.000"/>
        <d v="2022-05-12T16:52:34.000"/>
        <d v="2022-05-23T14:21:03.000"/>
        <d v="2022-05-28T02:58:08.000"/>
        <d v="2022-05-28T06:38:29.000"/>
        <d v="2022-05-31T20:28:27.000"/>
        <d v="2022-06-05T17:00:21.000"/>
        <d v="2022-06-07T02:22:10.000"/>
        <d v="2022-06-10T22:53:08.000"/>
        <d v="2022-06-10T22:51:00.000"/>
        <d v="2020-06-28T18:50:01.000"/>
        <d v="2012-10-20T13:45:45.000"/>
      </sharedItems>
      <fieldGroup par="43" base="25">
        <rangePr groupBy="days" autoEnd="1" autoStart="1" startDate="2012-10-20T13:45:45.000" endDate="2022-06-24T13:32:37.000"/>
        <groupItems count="368">
          <s v="&lt;10/20/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2"/>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2-10-20T13:45:45.000" endDate="2022-06-24T13:32:37.000"/>
        <groupItems count="14">
          <s v="&lt;10/20/2012"/>
          <s v="Jan"/>
          <s v="Feb"/>
          <s v="Mar"/>
          <s v="Apr"/>
          <s v="May"/>
          <s v="Jun"/>
          <s v="Jul"/>
          <s v="Aug"/>
          <s v="Sep"/>
          <s v="Oct"/>
          <s v="Nov"/>
          <s v="Dec"/>
          <s v="&gt;6/24/2022"/>
        </groupItems>
      </fieldGroup>
    </cacheField>
    <cacheField name="Years" databaseField="0">
      <sharedItems containsMixedTypes="0" count="0"/>
      <fieldGroup base="25">
        <rangePr groupBy="years" autoEnd="1" autoStart="1" startDate="2012-10-20T13:45:45.000" endDate="2022-06-24T13:32:37.000"/>
        <groupItems count="13">
          <s v="&lt;10/20/2012"/>
          <s v="2012"/>
          <s v="2013"/>
          <s v="2014"/>
          <s v="2015"/>
          <s v="2016"/>
          <s v="2017"/>
          <s v="2018"/>
          <s v="2019"/>
          <s v="2020"/>
          <s v="2021"/>
          <s v="2022"/>
          <s v="&gt;6/24/2022"/>
        </groupItems>
      </fieldGroup>
    </cacheField>
  </cacheFields>
  <extLst>
    <ext xmlns:x14="http://schemas.microsoft.com/office/spreadsheetml/2009/9/main" uri="{725AE2AE-9491-48be-B2B4-4EB974FC3084}">
      <x14:pivotCacheDefinition pivotCacheId="720208047"/>
    </ext>
  </extLst>
</pivotCacheDefinition>
</file>

<file path=xl/pivotCache/pivotCacheRecords1.xml><?xml version="1.0" encoding="utf-8"?>
<pivotCacheRecords xmlns="http://schemas.openxmlformats.org/spreadsheetml/2006/main" xmlns:r="http://schemas.openxmlformats.org/officeDocument/2006/relationships" count="621">
  <r>
    <s v="UCSLgJHJXjsrclsOwc0wxg0w"/>
    <s v="UCvQECJukTDE2i6aCoMnS-Vg"/>
    <m/>
    <m/>
    <m/>
    <m/>
    <m/>
    <m/>
    <m/>
    <m/>
    <s v="No"/>
    <n v="3"/>
    <m/>
    <m/>
    <s v="Commented Video"/>
    <x v="0"/>
    <s v="got firts u guys r the best"/>
    <s v="UCSLgJHJXjsrclsOwc0wxg0w"/>
    <s v="krisklev"/>
    <s v="http://www.youtube.com/channel/UCSLgJHJXjsrclsOwc0wxg0w"/>
    <m/>
    <s v="wadBvDPeE4E"/>
    <s v="https://www.youtube.com/watch?v=wadBvDPeE4E"/>
    <s v="none"/>
    <n v="0"/>
    <x v="0"/>
    <d v="2012-10-20T13:47:41.000"/>
    <m/>
    <m/>
    <s v=""/>
    <n v="1"/>
    <s v="1"/>
    <s v="1"/>
    <n v="1"/>
    <n v="14.285714285714286"/>
    <n v="0"/>
    <n v="0"/>
    <n v="0"/>
    <n v="0"/>
    <n v="6"/>
    <n v="85.71428571428571"/>
    <n v="7"/>
  </r>
  <r>
    <s v="UC-xo4E5unTLL0vZgWU1r4AQ"/>
    <s v="UCvQECJukTDE2i6aCoMnS-Vg"/>
    <m/>
    <m/>
    <m/>
    <m/>
    <m/>
    <m/>
    <m/>
    <m/>
    <s v="No"/>
    <n v="4"/>
    <m/>
    <m/>
    <s v="Commented Video"/>
    <x v="0"/>
    <s v="Nice."/>
    <s v="UC-xo4E5unTLL0vZgWU1r4AQ"/>
    <s v="Noderum"/>
    <s v="http://www.youtube.com/channel/UC-xo4E5unTLL0vZgWU1r4AQ"/>
    <m/>
    <s v="wadBvDPeE4E"/>
    <s v="https://www.youtube.com/watch?v=wadBvDPeE4E"/>
    <s v="none"/>
    <n v="0"/>
    <x v="1"/>
    <d v="2012-10-20T13:48:07.000"/>
    <m/>
    <m/>
    <s v=""/>
    <n v="1"/>
    <s v="1"/>
    <s v="1"/>
    <n v="1"/>
    <n v="100"/>
    <n v="0"/>
    <n v="0"/>
    <n v="0"/>
    <n v="0"/>
    <n v="0"/>
    <n v="0"/>
    <n v="1"/>
  </r>
  <r>
    <s v="UCq-5rSVrqrldQrsC1Ec9i2g"/>
    <s v="UCvQECJukTDE2i6aCoMnS-Vg"/>
    <m/>
    <m/>
    <m/>
    <m/>
    <m/>
    <m/>
    <m/>
    <m/>
    <s v="No"/>
    <n v="5"/>
    <m/>
    <m/>
    <s v="Commented Video"/>
    <x v="0"/>
    <s v="hah,he&amp;#39;s greek an ive never heard of him"/>
    <s v="UCq-5rSVrqrldQrsC1Ec9i2g"/>
    <s v="alexchris32"/>
    <s v="http://www.youtube.com/channel/UCq-5rSVrqrldQrsC1Ec9i2g"/>
    <m/>
    <s v="wadBvDPeE4E"/>
    <s v="https://www.youtube.com/watch?v=wadBvDPeE4E"/>
    <s v="none"/>
    <n v="0"/>
    <x v="2"/>
    <d v="2012-10-20T13:52:43.000"/>
    <m/>
    <m/>
    <s v=""/>
    <n v="1"/>
    <s v="1"/>
    <s v="1"/>
    <n v="0"/>
    <n v="0"/>
    <n v="0"/>
    <n v="0"/>
    <n v="0"/>
    <n v="0"/>
    <n v="11"/>
    <n v="100"/>
    <n v="11"/>
  </r>
  <r>
    <s v="UCdFRZWk_0AH8xteTl_PghTg"/>
    <s v="UCvQECJukTDE2i6aCoMnS-Vg"/>
    <m/>
    <m/>
    <m/>
    <m/>
    <m/>
    <m/>
    <m/>
    <m/>
    <s v="No"/>
    <n v="6"/>
    <m/>
    <m/>
    <s v="Commented Video"/>
    <x v="0"/>
    <s v="And in Denmark you dont pay for shcool or university!"/>
    <s v="UCdFRZWk_0AH8xteTl_PghTg"/>
    <s v="Aksel Ladegaard"/>
    <s v="http://www.youtube.com/channel/UCdFRZWk_0AH8xteTl_PghTg"/>
    <m/>
    <s v="wadBvDPeE4E"/>
    <s v="https://www.youtube.com/watch?v=wadBvDPeE4E"/>
    <s v="none"/>
    <n v="0"/>
    <x v="3"/>
    <d v="2012-10-20T14:39:50.000"/>
    <m/>
    <m/>
    <s v=""/>
    <n v="1"/>
    <s v="1"/>
    <s v="1"/>
    <n v="0"/>
    <n v="0"/>
    <n v="0"/>
    <n v="0"/>
    <n v="0"/>
    <n v="0"/>
    <n v="10"/>
    <n v="100"/>
    <n v="10"/>
  </r>
  <r>
    <s v="UC0g2sWrmHNo0OfJfLqY-_ZQ"/>
    <s v="UCvQECJukTDE2i6aCoMnS-Vg"/>
    <m/>
    <m/>
    <m/>
    <m/>
    <m/>
    <m/>
    <m/>
    <m/>
    <s v="No"/>
    <n v="7"/>
    <m/>
    <m/>
    <s v="Commented Video"/>
    <x v="0"/>
    <s v="One of the most thought-provoking videos I&amp;#39;ve seen in a long time."/>
    <s v="UC0g2sWrmHNo0OfJfLqY-_ZQ"/>
    <s v="brostelio"/>
    <s v="http://www.youtube.com/channel/UC0g2sWrmHNo0OfJfLqY-_ZQ"/>
    <m/>
    <s v="wadBvDPeE4E"/>
    <s v="https://www.youtube.com/watch?v=wadBvDPeE4E"/>
    <s v="none"/>
    <n v="1"/>
    <x v="4"/>
    <d v="2012-10-20T14:48:40.000"/>
    <m/>
    <m/>
    <s v=""/>
    <n v="1"/>
    <s v="1"/>
    <s v="1"/>
    <n v="0"/>
    <n v="0"/>
    <n v="0"/>
    <n v="0"/>
    <n v="0"/>
    <n v="0"/>
    <n v="15"/>
    <n v="100"/>
    <n v="15"/>
  </r>
  <r>
    <s v="UCmZiXelUcA2UFIGMLMD0ZkA"/>
    <s v="UCvQECJukTDE2i6aCoMnS-Vg"/>
    <m/>
    <m/>
    <m/>
    <m/>
    <m/>
    <m/>
    <m/>
    <m/>
    <s v="No"/>
    <n v="8"/>
    <m/>
    <m/>
    <s v="Commented Video"/>
    <x v="0"/>
    <s v="nice"/>
    <s v="UCmZiXelUcA2UFIGMLMD0ZkA"/>
    <s v="bemanos12345"/>
    <s v="http://www.youtube.com/channel/UCmZiXelUcA2UFIGMLMD0ZkA"/>
    <m/>
    <s v="wadBvDPeE4E"/>
    <s v="https://www.youtube.com/watch?v=wadBvDPeE4E"/>
    <s v="none"/>
    <n v="0"/>
    <x v="5"/>
    <d v="2012-10-20T14:53:00.000"/>
    <m/>
    <m/>
    <s v=""/>
    <n v="1"/>
    <s v="1"/>
    <s v="1"/>
    <n v="1"/>
    <n v="100"/>
    <n v="0"/>
    <n v="0"/>
    <n v="0"/>
    <n v="0"/>
    <n v="0"/>
    <n v="0"/>
    <n v="1"/>
  </r>
  <r>
    <s v="UCxJxernZ1l51Mw8cJYJevFw"/>
    <s v="UCvQECJukTDE2i6aCoMnS-Vg"/>
    <m/>
    <m/>
    <m/>
    <m/>
    <m/>
    <m/>
    <m/>
    <m/>
    <s v="No"/>
    <n v="9"/>
    <m/>
    <m/>
    <s v="Commented Video"/>
    <x v="0"/>
    <s v="Jesus._x000a__x000a_Lucky bastards."/>
    <s v="UCxJxernZ1l51Mw8cJYJevFw"/>
    <s v="GreenGearMood"/>
    <s v="http://www.youtube.com/channel/UCxJxernZ1l51Mw8cJYJevFw"/>
    <m/>
    <s v="wadBvDPeE4E"/>
    <s v="https://www.youtube.com/watch?v=wadBvDPeE4E"/>
    <s v="none"/>
    <n v="0"/>
    <x v="6"/>
    <d v="2012-10-20T14:53:30.000"/>
    <m/>
    <m/>
    <s v=""/>
    <n v="1"/>
    <s v="1"/>
    <s v="1"/>
    <n v="1"/>
    <n v="33.333333333333336"/>
    <n v="1"/>
    <n v="33.333333333333336"/>
    <n v="0"/>
    <n v="0"/>
    <n v="1"/>
    <n v="33.333333333333336"/>
    <n v="3"/>
  </r>
  <r>
    <s v="UCjz9CCl1iTxmGe1OUnlTZlg"/>
    <s v="UCvQECJukTDE2i6aCoMnS-Vg"/>
    <m/>
    <m/>
    <m/>
    <m/>
    <m/>
    <m/>
    <m/>
    <m/>
    <s v="No"/>
    <n v="10"/>
    <m/>
    <m/>
    <s v="Commented Video"/>
    <x v="0"/>
    <s v="Same here, im from Sweden. :)"/>
    <s v="UCjz9CCl1iTxmGe1OUnlTZlg"/>
    <s v="Blackdragon1331"/>
    <s v="http://www.youtube.com/channel/UCjz9CCl1iTxmGe1OUnlTZlg"/>
    <m/>
    <s v="wadBvDPeE4E"/>
    <s v="https://www.youtube.com/watch?v=wadBvDPeE4E"/>
    <s v="none"/>
    <n v="0"/>
    <x v="7"/>
    <d v="2012-10-20T14:57:08.000"/>
    <m/>
    <m/>
    <s v=""/>
    <n v="1"/>
    <s v="1"/>
    <s v="1"/>
    <n v="0"/>
    <n v="0"/>
    <n v="0"/>
    <n v="0"/>
    <n v="0"/>
    <n v="0"/>
    <n v="5"/>
    <n v="100"/>
    <n v="5"/>
  </r>
  <r>
    <s v="UCdltSbWm9lJIhMfl8FmGG5Q"/>
    <s v="UCvQECJukTDE2i6aCoMnS-Vg"/>
    <m/>
    <m/>
    <m/>
    <m/>
    <m/>
    <m/>
    <m/>
    <m/>
    <s v="No"/>
    <n v="11"/>
    <m/>
    <m/>
    <s v="Commented Video"/>
    <x v="0"/>
    <s v="Save yourself 56 mins .. basically.. if your group is into eating you will become fat. Fat people hang out with fat people and all you will learn is that &amp;quot;we don&amp;#39;t act independently, we are connected to our friends and we follow the group in order to be a part of our group&amp;quot;_x000a_Peer pressure is a mother trucker =) "/>
    <s v="UCdltSbWm9lJIhMfl8FmGG5Q"/>
    <s v="MrStockWizard"/>
    <s v="http://www.youtube.com/channel/UCdltSbWm9lJIhMfl8FmGG5Q"/>
    <m/>
    <s v="wadBvDPeE4E"/>
    <s v="https://www.youtube.com/watch?v=wadBvDPeE4E"/>
    <s v="none"/>
    <n v="0"/>
    <x v="8"/>
    <d v="2012-10-20T15:05:20.000"/>
    <m/>
    <m/>
    <s v=""/>
    <n v="1"/>
    <s v="1"/>
    <s v="1"/>
    <n v="0"/>
    <n v="0"/>
    <n v="4"/>
    <n v="6.349206349206349"/>
    <n v="0"/>
    <n v="0"/>
    <n v="59"/>
    <n v="93.65079365079364"/>
    <n v="63"/>
  </r>
  <r>
    <s v="UCRtq4i56vn5UYRK8kJolQEg"/>
    <s v="UCvQECJukTDE2i6aCoMnS-Vg"/>
    <m/>
    <m/>
    <m/>
    <m/>
    <m/>
    <m/>
    <m/>
    <m/>
    <s v="No"/>
    <n v="12"/>
    <m/>
    <m/>
    <s v="Commented Video"/>
    <x v="0"/>
    <s v="Thanks. Thoroughly enjoyed it."/>
    <s v="UCRtq4i56vn5UYRK8kJolQEg"/>
    <s v="IncredibleMouse"/>
    <s v="http://www.youtube.com/channel/UCRtq4i56vn5UYRK8kJolQEg"/>
    <m/>
    <s v="wadBvDPeE4E"/>
    <s v="https://www.youtube.com/watch?v=wadBvDPeE4E"/>
    <s v="none"/>
    <n v="0"/>
    <x v="9"/>
    <d v="2012-10-20T15:13:57.000"/>
    <m/>
    <m/>
    <s v=""/>
    <n v="1"/>
    <s v="1"/>
    <s v="1"/>
    <n v="1"/>
    <n v="25"/>
    <n v="0"/>
    <n v="0"/>
    <n v="0"/>
    <n v="0"/>
    <n v="3"/>
    <n v="75"/>
    <n v="4"/>
  </r>
  <r>
    <s v="UCZCKSdOmcCvKpjKGwtBX_Mg"/>
    <s v="UCvQECJukTDE2i6aCoMnS-Vg"/>
    <m/>
    <m/>
    <m/>
    <m/>
    <m/>
    <m/>
    <m/>
    <m/>
    <s v="No"/>
    <n v="13"/>
    <m/>
    <m/>
    <s v="Commented Video"/>
    <x v="0"/>
    <s v="Except they won&amp;#39;t be mad that they got the little piece of paper that allows them to have social mobility :)_x000a_"/>
    <s v="UCZCKSdOmcCvKpjKGwtBX_Mg"/>
    <s v="randomsubscriber"/>
    <s v="http://www.youtube.com/channel/UCZCKSdOmcCvKpjKGwtBX_Mg"/>
    <m/>
    <s v="wadBvDPeE4E"/>
    <s v="https://www.youtube.com/watch?v=wadBvDPeE4E"/>
    <s v="none"/>
    <n v="0"/>
    <x v="10"/>
    <d v="2012-10-20T15:15:02.000"/>
    <m/>
    <m/>
    <s v=""/>
    <n v="1"/>
    <s v="1"/>
    <s v="1"/>
    <n v="1"/>
    <n v="4.545454545454546"/>
    <n v="1"/>
    <n v="4.545454545454546"/>
    <n v="0"/>
    <n v="0"/>
    <n v="20"/>
    <n v="90.9090909090909"/>
    <n v="22"/>
  </r>
  <r>
    <s v="UCMZmRotvr03iokIMtRNN_LQ"/>
    <s v="UCvQECJukTDE2i6aCoMnS-Vg"/>
    <m/>
    <m/>
    <m/>
    <m/>
    <m/>
    <m/>
    <m/>
    <m/>
    <s v="No"/>
    <n v="14"/>
    <m/>
    <m/>
    <s v="Commented Video"/>
    <x v="0"/>
    <s v="How do you percive it?_x000a_Is it worth it to study it, if you got a strong intrest for it. (not a pation tho, but it comes the most nearest to it)_x000a_And which skills are the most important to have if i want to study it?_x000a_"/>
    <s v="UCMZmRotvr03iokIMtRNN_LQ"/>
    <s v="friebender"/>
    <s v="http://www.youtube.com/channel/UCMZmRotvr03iokIMtRNN_LQ"/>
    <m/>
    <s v="wadBvDPeE4E"/>
    <s v="https://www.youtube.com/watch?v=wadBvDPeE4E"/>
    <s v="none"/>
    <n v="0"/>
    <x v="11"/>
    <d v="2012-10-20T14:40:26.000"/>
    <m/>
    <m/>
    <s v=""/>
    <n v="2"/>
    <s v="1"/>
    <s v="1"/>
    <n v="3"/>
    <n v="6.382978723404255"/>
    <n v="0"/>
    <n v="0"/>
    <n v="0"/>
    <n v="0"/>
    <n v="44"/>
    <n v="93.61702127659575"/>
    <n v="47"/>
  </r>
  <r>
    <s v="UCMZmRotvr03iokIMtRNN_LQ"/>
    <s v="UCvQECJukTDE2i6aCoMnS-Vg"/>
    <m/>
    <m/>
    <m/>
    <m/>
    <m/>
    <m/>
    <m/>
    <m/>
    <s v="No"/>
    <n v="15"/>
    <m/>
    <m/>
    <s v="Commented Video"/>
    <x v="0"/>
    <s v="Thanks a lot for you answer._x000a__x000a_I will try to suit myself for it._x000a_And i guess from my perspective i am open minded. ^^_x000a__x000a_...Better beginn to practive speed reading again. "/>
    <s v="UCMZmRotvr03iokIMtRNN_LQ"/>
    <s v="friebender"/>
    <s v="http://www.youtube.com/channel/UCMZmRotvr03iokIMtRNN_LQ"/>
    <m/>
    <s v="wadBvDPeE4E"/>
    <s v="https://www.youtube.com/watch?v=wadBvDPeE4E"/>
    <s v="none"/>
    <n v="0"/>
    <x v="12"/>
    <d v="2012-10-20T15:16:57.000"/>
    <m/>
    <m/>
    <s v=""/>
    <n v="2"/>
    <s v="1"/>
    <s v="1"/>
    <n v="1"/>
    <n v="3.225806451612903"/>
    <n v="0"/>
    <n v="0"/>
    <n v="0"/>
    <n v="0"/>
    <n v="30"/>
    <n v="96.7741935483871"/>
    <n v="31"/>
  </r>
  <r>
    <s v="UC8qjAvcHT8xZjRuF_dEppxg"/>
    <s v="UCvQECJukTDE2i6aCoMnS-Vg"/>
    <m/>
    <m/>
    <m/>
    <m/>
    <m/>
    <m/>
    <m/>
    <m/>
    <s v="No"/>
    <n v="16"/>
    <m/>
    <m/>
    <s v="Commented Video"/>
    <x v="0"/>
    <s v="I hope you&amp;#39;re in high school if that&amp;#39;s the case."/>
    <s v="UC8qjAvcHT8xZjRuF_dEppxg"/>
    <s v="ubernathe"/>
    <s v="http://www.youtube.com/channel/UC8qjAvcHT8xZjRuF_dEppxg"/>
    <m/>
    <s v="wadBvDPeE4E"/>
    <s v="https://www.youtube.com/watch?v=wadBvDPeE4E"/>
    <s v="none"/>
    <n v="0"/>
    <x v="13"/>
    <d v="2012-10-20T14:01:01.000"/>
    <m/>
    <m/>
    <s v=""/>
    <n v="3"/>
    <s v="1"/>
    <s v="1"/>
    <n v="0"/>
    <n v="0"/>
    <n v="0"/>
    <n v="0"/>
    <n v="0"/>
    <n v="0"/>
    <n v="14"/>
    <n v="100"/>
    <n v="14"/>
  </r>
  <r>
    <s v="UC8qjAvcHT8xZjRuF_dEppxg"/>
    <s v="UCvQECJukTDE2i6aCoMnS-Vg"/>
    <m/>
    <m/>
    <m/>
    <m/>
    <m/>
    <m/>
    <m/>
    <m/>
    <s v="No"/>
    <n v="17"/>
    <m/>
    <m/>
    <s v="Commented Video"/>
    <x v="0"/>
    <s v="It&amp;#39;s called intelligence but you wouldn&amp;#39;t know anything about intelligence."/>
    <s v="UC8qjAvcHT8xZjRuF_dEppxg"/>
    <s v="ubernathe"/>
    <s v="http://www.youtube.com/channel/UC8qjAvcHT8xZjRuF_dEppxg"/>
    <m/>
    <s v="wadBvDPeE4E"/>
    <s v="https://www.youtube.com/watch?v=wadBvDPeE4E"/>
    <s v="none"/>
    <n v="0"/>
    <x v="14"/>
    <d v="2012-10-20T14:02:26.000"/>
    <m/>
    <m/>
    <s v=""/>
    <n v="3"/>
    <s v="1"/>
    <s v="1"/>
    <n v="2"/>
    <n v="14.285714285714286"/>
    <n v="0"/>
    <n v="0"/>
    <n v="0"/>
    <n v="0"/>
    <n v="12"/>
    <n v="85.71428571428571"/>
    <n v="14"/>
  </r>
  <r>
    <s v="UC8qjAvcHT8xZjRuF_dEppxg"/>
    <s v="UCvQECJukTDE2i6aCoMnS-Vg"/>
    <m/>
    <m/>
    <m/>
    <m/>
    <m/>
    <m/>
    <m/>
    <m/>
    <s v="No"/>
    <n v="18"/>
    <m/>
    <m/>
    <s v="Commented Video"/>
    <x v="0"/>
    <s v="haha cool, was worried you were in university and done no research yet lol"/>
    <s v="UC8qjAvcHT8xZjRuF_dEppxg"/>
    <s v="ubernathe"/>
    <s v="http://www.youtube.com/channel/UC8qjAvcHT8xZjRuF_dEppxg"/>
    <m/>
    <s v="wadBvDPeE4E"/>
    <s v="https://www.youtube.com/watch?v=wadBvDPeE4E"/>
    <s v="none"/>
    <n v="0"/>
    <x v="15"/>
    <d v="2012-10-20T15:17:31.000"/>
    <m/>
    <m/>
    <s v=""/>
    <n v="3"/>
    <s v="1"/>
    <s v="1"/>
    <n v="1"/>
    <n v="7.142857142857143"/>
    <n v="1"/>
    <n v="7.142857142857143"/>
    <n v="0"/>
    <n v="0"/>
    <n v="12"/>
    <n v="85.71428571428571"/>
    <n v="14"/>
  </r>
  <r>
    <s v="UCVNggqNBF0HaVwd5E7T8_ZA"/>
    <s v="UCvQECJukTDE2i6aCoMnS-Vg"/>
    <m/>
    <m/>
    <m/>
    <m/>
    <m/>
    <m/>
    <m/>
    <m/>
    <s v="No"/>
    <n v="19"/>
    <m/>
    <m/>
    <s v="Commented Video"/>
    <x v="0"/>
    <s v="He doesn&amp;#39;t go to college to learn this stuff, he goes to college for a degree."/>
    <s v="UCVNggqNBF0HaVwd5E7T8_ZA"/>
    <s v="zealot256"/>
    <s v="http://www.youtube.com/channel/UCVNggqNBF0HaVwd5E7T8_ZA"/>
    <m/>
    <s v="wadBvDPeE4E"/>
    <s v="https://www.youtube.com/watch?v=wadBvDPeE4E"/>
    <s v="none"/>
    <n v="0"/>
    <x v="16"/>
    <d v="2012-10-20T15:30:55.000"/>
    <m/>
    <m/>
    <s v=""/>
    <n v="1"/>
    <s v="1"/>
    <s v="1"/>
    <n v="0"/>
    <n v="0"/>
    <n v="0"/>
    <n v="0"/>
    <n v="0"/>
    <n v="0"/>
    <n v="18"/>
    <n v="100"/>
    <n v="18"/>
  </r>
  <r>
    <s v="UCimfVl0WVt0SWcuZzGZYGHg"/>
    <s v="UCvQECJukTDE2i6aCoMnS-Vg"/>
    <m/>
    <m/>
    <m/>
    <m/>
    <m/>
    <m/>
    <m/>
    <m/>
    <s v="No"/>
    <n v="20"/>
    <m/>
    <m/>
    <s v="Commented Video"/>
    <x v="0"/>
    <s v="&amp;quot;social networks&amp;quot; in the title is fairly misleading ; this is so much more interesting than facebook or myspace and Im glad I started to watch the video despite my hesitation. This is fascinating."/>
    <s v="UCimfVl0WVt0SWcuZzGZYGHg"/>
    <s v="Peter Nilson"/>
    <s v="http://www.youtube.com/channel/UCimfVl0WVt0SWcuZzGZYGHg"/>
    <m/>
    <s v="wadBvDPeE4E"/>
    <s v="https://www.youtube.com/watch?v=wadBvDPeE4E"/>
    <s v="none"/>
    <n v="0"/>
    <x v="17"/>
    <d v="2012-10-20T15:31:26.000"/>
    <m/>
    <m/>
    <s v=""/>
    <n v="1"/>
    <s v="1"/>
    <s v="1"/>
    <n v="4"/>
    <n v="11.428571428571429"/>
    <n v="1"/>
    <n v="2.857142857142857"/>
    <n v="0"/>
    <n v="0"/>
    <n v="30"/>
    <n v="85.71428571428571"/>
    <n v="35"/>
  </r>
  <r>
    <s v="UCZWg-VX1eOHs72CCWpCexlw"/>
    <s v="UCvQECJukTDE2i6aCoMnS-Vg"/>
    <m/>
    <m/>
    <m/>
    <m/>
    <m/>
    <m/>
    <m/>
    <m/>
    <s v="No"/>
    <n v="21"/>
    <m/>
    <m/>
    <s v="Commented Video"/>
    <x v="0"/>
    <s v="Fat people prefers to hang out with fat people."/>
    <s v="UCZWg-VX1eOHs72CCWpCexlw"/>
    <s v="Bruno Moura"/>
    <s v="http://www.youtube.com/channel/UCZWg-VX1eOHs72CCWpCexlw"/>
    <m/>
    <s v="wadBvDPeE4E"/>
    <s v="https://www.youtube.com/watch?v=wadBvDPeE4E"/>
    <s v="none"/>
    <n v="0"/>
    <x v="18"/>
    <d v="2012-10-20T15:33:36.000"/>
    <m/>
    <m/>
    <s v=""/>
    <n v="1"/>
    <s v="1"/>
    <s v="1"/>
    <n v="1"/>
    <n v="11.11111111111111"/>
    <n v="3"/>
    <n v="33.333333333333336"/>
    <n v="0"/>
    <n v="0"/>
    <n v="5"/>
    <n v="55.55555555555556"/>
    <n v="9"/>
  </r>
  <r>
    <s v="UCwL52shzZRASohoEnikQ5iQ"/>
    <s v="UCvQECJukTDE2i6aCoMnS-Vg"/>
    <m/>
    <m/>
    <m/>
    <m/>
    <m/>
    <m/>
    <m/>
    <m/>
    <s v="No"/>
    <n v="22"/>
    <m/>
    <m/>
    <s v="Commented Video"/>
    <x v="0"/>
    <s v="Big Think has been going balls deep lately."/>
    <s v="UCwL52shzZRASohoEnikQ5iQ"/>
    <s v="Odracir Zeravla"/>
    <s v="http://www.youtube.com/channel/UCwL52shzZRASohoEnikQ5iQ"/>
    <m/>
    <s v="wadBvDPeE4E"/>
    <s v="https://www.youtube.com/watch?v=wadBvDPeE4E"/>
    <s v="none"/>
    <n v="0"/>
    <x v="19"/>
    <d v="2012-10-20T15:40:07.000"/>
    <m/>
    <m/>
    <s v=""/>
    <n v="1"/>
    <s v="1"/>
    <s v="1"/>
    <n v="0"/>
    <n v="0"/>
    <n v="0"/>
    <n v="0"/>
    <n v="0"/>
    <n v="0"/>
    <n v="8"/>
    <n v="100"/>
    <n v="8"/>
  </r>
  <r>
    <s v="UCgcSVCbb0MalGJggkuKeM0w"/>
    <s v="UCvQECJukTDE2i6aCoMnS-Vg"/>
    <m/>
    <m/>
    <m/>
    <m/>
    <m/>
    <m/>
    <m/>
    <m/>
    <s v="No"/>
    <n v="23"/>
    <m/>
    <m/>
    <s v="Commented Video"/>
    <x v="0"/>
    <s v="Don&amp;#39;t be mad that you know the material that&amp;#39;s in the video already. Be mad that you pay for college to learn this stuff when the information is free through many forms of media lol "/>
    <s v="UCgcSVCbb0MalGJggkuKeM0w"/>
    <s v="Travis R"/>
    <s v="http://www.youtube.com/channel/UCgcSVCbb0MalGJggkuKeM0w"/>
    <m/>
    <s v="wadBvDPeE4E"/>
    <s v="https://www.youtube.com/watch?v=wadBvDPeE4E"/>
    <s v="none"/>
    <n v="0"/>
    <x v="20"/>
    <d v="2012-10-20T14:35:20.000"/>
    <m/>
    <m/>
    <s v=""/>
    <n v="3"/>
    <s v="1"/>
    <s v="1"/>
    <n v="1"/>
    <n v="2.5641025641025643"/>
    <n v="2"/>
    <n v="5.128205128205129"/>
    <n v="0"/>
    <n v="0"/>
    <n v="36"/>
    <n v="92.3076923076923"/>
    <n v="39"/>
  </r>
  <r>
    <s v="UCgcSVCbb0MalGJggkuKeM0w"/>
    <s v="UCvQECJukTDE2i6aCoMnS-Vg"/>
    <m/>
    <m/>
    <m/>
    <m/>
    <m/>
    <m/>
    <m/>
    <m/>
    <s v="No"/>
    <n v="24"/>
    <m/>
    <m/>
    <s v="Commented Video"/>
    <x v="0"/>
    <s v="And you see, that&amp;#39;s the problem these days. I&amp;#39;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amp;#39;t want to be nurses, doctors or even lawyers to help people. It&amp;#39;s all about the pay check. _x000a_Sure, youtube won&amp;#39;t get you a degree."/>
    <s v="UCgcSVCbb0MalGJggkuKeM0w"/>
    <s v="Travis R"/>
    <s v="http://www.youtube.com/channel/UCgcSVCbb0MalGJggkuKeM0w"/>
    <m/>
    <s v="wadBvDPeE4E"/>
    <s v="https://www.youtube.com/watch?v=wadBvDPeE4E"/>
    <s v="none"/>
    <n v="0"/>
    <x v="21"/>
    <d v="2012-10-20T15:41:45.000"/>
    <m/>
    <m/>
    <s v=""/>
    <n v="3"/>
    <s v="1"/>
    <s v="1"/>
    <n v="2"/>
    <n v="1.8691588785046729"/>
    <n v="2"/>
    <n v="1.8691588785046729"/>
    <n v="0"/>
    <n v="0"/>
    <n v="103"/>
    <n v="96.26168224299066"/>
    <n v="107"/>
  </r>
  <r>
    <s v="UCgcSVCbb0MalGJggkuKeM0w"/>
    <s v="UCvQECJukTDE2i6aCoMnS-Vg"/>
    <m/>
    <m/>
    <m/>
    <m/>
    <m/>
    <m/>
    <m/>
    <m/>
    <s v="No"/>
    <n v="25"/>
    <m/>
    <m/>
    <s v="Commented Video"/>
    <x v="0"/>
    <s v="But the idea of why a college exist has changed dramatically over the years. _x000a_Go to college to get a degree, not to learn about things you love or better yourself. You NEED that degree. _x000a_But that&amp;#39;s just my perspective. Cheers!"/>
    <s v="UCgcSVCbb0MalGJggkuKeM0w"/>
    <s v="Travis R"/>
    <s v="http://www.youtube.com/channel/UCgcSVCbb0MalGJggkuKeM0w"/>
    <m/>
    <s v="wadBvDPeE4E"/>
    <s v="https://www.youtube.com/watch?v=wadBvDPeE4E"/>
    <s v="none"/>
    <n v="0"/>
    <x v="22"/>
    <d v="2012-10-20T15:43:02.000"/>
    <m/>
    <m/>
    <s v=""/>
    <n v="3"/>
    <s v="1"/>
    <s v="1"/>
    <n v="2"/>
    <n v="4.651162790697675"/>
    <n v="0"/>
    <n v="0"/>
    <n v="0"/>
    <n v="0"/>
    <n v="41"/>
    <n v="95.34883720930233"/>
    <n v="43"/>
  </r>
  <r>
    <s v="UC5dX3a36fPBvAdBBP7AhVHA"/>
    <s v="UCvQECJukTDE2i6aCoMnS-Vg"/>
    <m/>
    <m/>
    <m/>
    <m/>
    <m/>
    <m/>
    <m/>
    <m/>
    <s v="No"/>
    <n v="26"/>
    <m/>
    <m/>
    <s v="Commented Video"/>
    <x v="0"/>
    <s v="I love watching each video you put out and learning new shit."/>
    <s v="UC5dX3a36fPBvAdBBP7AhVHA"/>
    <s v="JrMrOlympia"/>
    <s v="http://www.youtube.com/channel/UC5dX3a36fPBvAdBBP7AhVHA"/>
    <m/>
    <s v="wadBvDPeE4E"/>
    <s v="https://www.youtube.com/watch?v=wadBvDPeE4E"/>
    <s v="none"/>
    <n v="0"/>
    <x v="23"/>
    <d v="2012-10-20T15:43:10.000"/>
    <m/>
    <m/>
    <s v=""/>
    <n v="1"/>
    <s v="1"/>
    <s v="1"/>
    <n v="1"/>
    <n v="8.333333333333334"/>
    <n v="1"/>
    <n v="8.333333333333334"/>
    <n v="0"/>
    <n v="0"/>
    <n v="10"/>
    <n v="83.33333333333333"/>
    <n v="12"/>
  </r>
  <r>
    <s v="UCx68UmxU6JKU1HE4fl10mqg"/>
    <s v="UCvQECJukTDE2i6aCoMnS-Vg"/>
    <m/>
    <m/>
    <m/>
    <m/>
    <m/>
    <m/>
    <m/>
    <m/>
    <s v="No"/>
    <n v="27"/>
    <m/>
    <m/>
    <s v="Commented Video"/>
    <x v="0"/>
    <s v="Collective responsibility is BULLSHIT. It&amp;#39;s just an excuse for controlling people."/>
    <s v="UCx68UmxU6JKU1HE4fl10mqg"/>
    <s v="Robert Friel"/>
    <s v="http://www.youtube.com/channel/UCx68UmxU6JKU1HE4fl10mqg"/>
    <m/>
    <s v="wadBvDPeE4E"/>
    <s v="https://www.youtube.com/watch?v=wadBvDPeE4E"/>
    <s v="none"/>
    <n v="0"/>
    <x v="24"/>
    <d v="2012-10-20T15:47:46.000"/>
    <m/>
    <m/>
    <s v=""/>
    <n v="2"/>
    <s v="1"/>
    <s v="1"/>
    <n v="0"/>
    <n v="0"/>
    <n v="2"/>
    <n v="15.384615384615385"/>
    <n v="0"/>
    <n v="0"/>
    <n v="11"/>
    <n v="84.61538461538461"/>
    <n v="13"/>
  </r>
  <r>
    <s v="UCx68UmxU6JKU1HE4fl10mqg"/>
    <s v="UCvQECJukTDE2i6aCoMnS-Vg"/>
    <m/>
    <m/>
    <m/>
    <m/>
    <m/>
    <m/>
    <m/>
    <m/>
    <s v="No"/>
    <n v="28"/>
    <m/>
    <m/>
    <s v="Commented Video"/>
    <x v="0"/>
    <s v="Individuality is the basis for a moral society. Collectivism is wrong."/>
    <s v="UCx68UmxU6JKU1HE4fl10mqg"/>
    <s v="Robert Friel"/>
    <s v="http://www.youtube.com/channel/UCx68UmxU6JKU1HE4fl10mqg"/>
    <m/>
    <s v="wadBvDPeE4E"/>
    <s v="https://www.youtube.com/watch?v=wadBvDPeE4E"/>
    <s v="none"/>
    <n v="0"/>
    <x v="25"/>
    <d v="2012-10-20T15:50:46.000"/>
    <m/>
    <m/>
    <s v=""/>
    <n v="2"/>
    <s v="1"/>
    <s v="1"/>
    <n v="0"/>
    <n v="0"/>
    <n v="1"/>
    <n v="9.090909090909092"/>
    <n v="0"/>
    <n v="0"/>
    <n v="10"/>
    <n v="90.9090909090909"/>
    <n v="11"/>
  </r>
  <r>
    <s v="UCZhjm8ANz5r1Had1Bs-vxOA"/>
    <s v="UCvQECJukTDE2i6aCoMnS-Vg"/>
    <m/>
    <m/>
    <m/>
    <m/>
    <m/>
    <m/>
    <m/>
    <m/>
    <s v="No"/>
    <n v="29"/>
    <m/>
    <m/>
    <s v="Commented Video"/>
    <x v="0"/>
    <s v="This is why bullying should not be taken away from us. When we see our friends get fat we need to make fun of them so they won&amp;#39;t kill themselves over being depressed about it. "/>
    <s v="UCZhjm8ANz5r1Had1Bs-vxOA"/>
    <s v="TheBackwood Link"/>
    <s v="http://www.youtube.com/channel/UCZhjm8ANz5r1Had1Bs-vxOA"/>
    <m/>
    <s v="wadBvDPeE4E"/>
    <s v="https://www.youtube.com/watch?v=wadBvDPeE4E"/>
    <s v="none"/>
    <n v="2"/>
    <x v="26"/>
    <d v="2012-10-20T15:48:55.000"/>
    <m/>
    <m/>
    <s v=""/>
    <n v="2"/>
    <s v="1"/>
    <s v="1"/>
    <n v="2"/>
    <n v="5.405405405405405"/>
    <n v="4"/>
    <n v="10.81081081081081"/>
    <n v="0"/>
    <n v="0"/>
    <n v="31"/>
    <n v="83.78378378378379"/>
    <n v="37"/>
  </r>
  <r>
    <s v="UCZhjm8ANz5r1Had1Bs-vxOA"/>
    <s v="UCvQECJukTDE2i6aCoMnS-Vg"/>
    <m/>
    <m/>
    <m/>
    <m/>
    <m/>
    <m/>
    <m/>
    <m/>
    <s v="No"/>
    <n v="30"/>
    <m/>
    <m/>
    <s v="Commented Video"/>
    <x v="0"/>
    <s v="If you find yourself grouped with the large yellow dots you will be sent to camp and it won&amp;#39;t be fat camp. "/>
    <s v="UCZhjm8ANz5r1Had1Bs-vxOA"/>
    <s v="TheBackwood Link"/>
    <s v="http://www.youtube.com/channel/UCZhjm8ANz5r1Had1Bs-vxOA"/>
    <m/>
    <s v="wadBvDPeE4E"/>
    <s v="https://www.youtube.com/watch?v=wadBvDPeE4E"/>
    <s v="none"/>
    <n v="0"/>
    <x v="27"/>
    <d v="2012-10-20T15:54:32.000"/>
    <m/>
    <m/>
    <s v=""/>
    <n v="2"/>
    <s v="1"/>
    <s v="1"/>
    <n v="1"/>
    <n v="4.166666666666667"/>
    <n v="1"/>
    <n v="4.166666666666667"/>
    <n v="0"/>
    <n v="0"/>
    <n v="22"/>
    <n v="91.66666666666667"/>
    <n v="24"/>
  </r>
  <r>
    <s v="UCkAhBu07qkxhpop1KWT7LKQ"/>
    <s v="UCvQECJukTDE2i6aCoMnS-Vg"/>
    <m/>
    <m/>
    <m/>
    <m/>
    <m/>
    <m/>
    <m/>
    <m/>
    <s v="No"/>
    <n v="31"/>
    <m/>
    <m/>
    <s v="Commented Video"/>
    <x v="0"/>
    <s v="oh you crazy people"/>
    <s v="UCkAhBu07qkxhpop1KWT7LKQ"/>
    <s v="warmaxxx"/>
    <s v="http://www.youtube.com/channel/UCkAhBu07qkxhpop1KWT7LKQ"/>
    <m/>
    <s v="wadBvDPeE4E"/>
    <s v="https://www.youtube.com/watch?v=wadBvDPeE4E"/>
    <s v="none"/>
    <n v="0"/>
    <x v="28"/>
    <d v="2012-10-20T15:55:05.000"/>
    <m/>
    <m/>
    <s v=""/>
    <n v="1"/>
    <s v="1"/>
    <s v="1"/>
    <n v="0"/>
    <n v="0"/>
    <n v="1"/>
    <n v="25"/>
    <n v="0"/>
    <n v="0"/>
    <n v="3"/>
    <n v="75"/>
    <n v="4"/>
  </r>
  <r>
    <s v="UCuFULeJfx--SkAE3EOYSHFg"/>
    <s v="UCvQECJukTDE2i6aCoMnS-Vg"/>
    <m/>
    <m/>
    <m/>
    <m/>
    <m/>
    <m/>
    <m/>
    <m/>
    <s v="No"/>
    <n v="32"/>
    <m/>
    <m/>
    <s v="Commented Video"/>
    <x v="0"/>
    <s v="Great, now I have something good to watch."/>
    <s v="UCuFULeJfx--SkAE3EOYSHFg"/>
    <s v="davedave9"/>
    <s v="http://www.youtube.com/channel/UCuFULeJfx--SkAE3EOYSHFg"/>
    <m/>
    <s v="wadBvDPeE4E"/>
    <s v="https://www.youtube.com/watch?v=wadBvDPeE4E"/>
    <s v="none"/>
    <n v="1"/>
    <x v="29"/>
    <d v="2012-10-20T16:05:01.000"/>
    <m/>
    <m/>
    <s v=""/>
    <n v="1"/>
    <s v="1"/>
    <s v="1"/>
    <n v="2"/>
    <n v="25"/>
    <n v="0"/>
    <n v="0"/>
    <n v="0"/>
    <n v="0"/>
    <n v="6"/>
    <n v="75"/>
    <n v="8"/>
  </r>
  <r>
    <s v="UCU9I36rHcxzA10I5uQCav7Q"/>
    <s v="UCvQECJukTDE2i6aCoMnS-Vg"/>
    <m/>
    <m/>
    <m/>
    <m/>
    <m/>
    <m/>
    <m/>
    <m/>
    <s v="No"/>
    <n v="33"/>
    <m/>
    <m/>
    <s v="Commented Video"/>
    <x v="0"/>
    <s v="like Christians?"/>
    <s v="UCU9I36rHcxzA10I5uQCav7Q"/>
    <s v="🌹 Robeon Mew 🔰"/>
    <s v="http://www.youtube.com/channel/UCU9I36rHcxzA10I5uQCav7Q"/>
    <m/>
    <s v="wadBvDPeE4E"/>
    <s v="https://www.youtube.com/watch?v=wadBvDPeE4E"/>
    <s v="none"/>
    <n v="0"/>
    <x v="30"/>
    <d v="2012-10-20T16:13:13.000"/>
    <m/>
    <m/>
    <s v=""/>
    <n v="1"/>
    <s v="1"/>
    <s v="1"/>
    <n v="1"/>
    <n v="50"/>
    <n v="0"/>
    <n v="0"/>
    <n v="0"/>
    <n v="0"/>
    <n v="1"/>
    <n v="50"/>
    <n v="2"/>
  </r>
  <r>
    <s v="UCAZ9QCr8x4tJzY28V3nNZPA"/>
    <s v="UCvQECJukTDE2i6aCoMnS-Vg"/>
    <m/>
    <m/>
    <m/>
    <m/>
    <m/>
    <m/>
    <m/>
    <m/>
    <s v="No"/>
    <n v="34"/>
    <m/>
    <m/>
    <s v="Commented Video"/>
    <x v="0"/>
    <s v="I just clicked on the title to &amp;#39;dislike&amp;#39; it. Why do SOME people assume EVERBODY follows others. I DON&amp;#39;T."/>
    <s v="UCAZ9QCr8x4tJzY28V3nNZPA"/>
    <s v="tamsinthai"/>
    <s v="http://www.youtube.com/channel/UCAZ9QCr8x4tJzY28V3nNZPA"/>
    <m/>
    <s v="wadBvDPeE4E"/>
    <s v="https://www.youtube.com/watch?v=wadBvDPeE4E"/>
    <s v="none"/>
    <n v="0"/>
    <x v="31"/>
    <d v="2012-10-20T16:19:04.000"/>
    <m/>
    <m/>
    <s v=""/>
    <n v="1"/>
    <s v="1"/>
    <s v="1"/>
    <n v="0"/>
    <n v="0"/>
    <n v="1"/>
    <n v="4.3478260869565215"/>
    <n v="0"/>
    <n v="0"/>
    <n v="22"/>
    <n v="95.65217391304348"/>
    <n v="23"/>
  </r>
  <r>
    <s v="UCY6KIyubYVIouNRwwHzJsoA"/>
    <s v="UCvQECJukTDE2i6aCoMnS-Vg"/>
    <m/>
    <m/>
    <m/>
    <m/>
    <m/>
    <m/>
    <m/>
    <m/>
    <s v="No"/>
    <n v="35"/>
    <m/>
    <m/>
    <s v="Commented Video"/>
    <x v="0"/>
    <s v="I love these hour long lectures, they&amp;#39;re just as long as a TV show and more informative too! ^.^"/>
    <s v="UCY6KIyubYVIouNRwwHzJsoA"/>
    <s v="Gray"/>
    <s v="http://www.youtube.com/channel/UCY6KIyubYVIouNRwwHzJsoA"/>
    <m/>
    <s v="wadBvDPeE4E"/>
    <s v="https://www.youtube.com/watch?v=wadBvDPeE4E"/>
    <s v="none"/>
    <n v="2"/>
    <x v="32"/>
    <d v="2012-10-20T16:25:47.000"/>
    <m/>
    <m/>
    <s v=""/>
    <n v="1"/>
    <s v="1"/>
    <s v="1"/>
    <n v="1"/>
    <n v="5"/>
    <n v="0"/>
    <n v="0"/>
    <n v="0"/>
    <n v="0"/>
    <n v="19"/>
    <n v="95"/>
    <n v="20"/>
  </r>
  <r>
    <s v="UC7TxlHY96CVsqbnjVYqOAuQ"/>
    <s v="UCVLKCfdA9325eztCzgg7vlg"/>
    <m/>
    <m/>
    <m/>
    <m/>
    <m/>
    <m/>
    <m/>
    <m/>
    <s v="No"/>
    <n v="36"/>
    <m/>
    <m/>
    <s v="Replied Comment"/>
    <x v="1"/>
    <s v="How did that go?"/>
    <s v="UC7TxlHY96CVsqbnjVYqOAuQ"/>
    <s v="Russ Olson"/>
    <s v="http://www.youtube.com/channel/UC7TxlHY96CVsqbnjVYqOAuQ"/>
    <s v="Ugy8Mj1ITK_e-U2UJop4AaABAg"/>
    <s v="wadBvDPeE4E"/>
    <s v="https://www.youtube.com/watch?v=wadBvDPeE4E"/>
    <s v="none"/>
    <n v="0"/>
    <x v="33"/>
    <d v="2021-04-09T18:19:01.000"/>
    <m/>
    <m/>
    <s v=""/>
    <n v="1"/>
    <s v="18"/>
    <s v="18"/>
    <n v="0"/>
    <n v="0"/>
    <n v="0"/>
    <n v="0"/>
    <n v="0"/>
    <n v="0"/>
    <n v="4"/>
    <n v="100"/>
    <n v="4"/>
  </r>
  <r>
    <s v="UCVLKCfdA9325eztCzgg7vlg"/>
    <s v="UCvQECJukTDE2i6aCoMnS-Vg"/>
    <m/>
    <m/>
    <m/>
    <m/>
    <m/>
    <m/>
    <m/>
    <m/>
    <s v="No"/>
    <n v="37"/>
    <m/>
    <m/>
    <s v="Commented Video"/>
    <x v="0"/>
    <s v="I&amp;#39;m going to study study Sociology next year and this has only increased my interest. Thank you very much, Bigthink! "/>
    <s v="UCVLKCfdA9325eztCzgg7vlg"/>
    <s v="matgylper"/>
    <s v="http://www.youtube.com/channel/UCVLKCfdA9325eztCzgg7vlg"/>
    <m/>
    <s v="wadBvDPeE4E"/>
    <s v="https://www.youtube.com/watch?v=wadBvDPeE4E"/>
    <s v="none"/>
    <n v="0"/>
    <x v="34"/>
    <d v="2012-10-20T16:26:13.000"/>
    <m/>
    <m/>
    <s v=""/>
    <n v="1"/>
    <s v="18"/>
    <s v="1"/>
    <n v="1"/>
    <n v="4.545454545454546"/>
    <n v="0"/>
    <n v="0"/>
    <n v="0"/>
    <n v="0"/>
    <n v="21"/>
    <n v="95.45454545454545"/>
    <n v="22"/>
  </r>
  <r>
    <s v="UCyVhBPlAU2vPVMwyy24fU1g"/>
    <s v="UCvQECJukTDE2i6aCoMnS-Vg"/>
    <m/>
    <m/>
    <m/>
    <m/>
    <m/>
    <m/>
    <m/>
    <m/>
    <s v="No"/>
    <n v="38"/>
    <m/>
    <m/>
    <s v="Commented Video"/>
    <x v="0"/>
    <s v="Epic 1 hour video I&amp;#39;ve watched from start to end. Amazing."/>
    <s v="UCyVhBPlAU2vPVMwyy24fU1g"/>
    <s v="Lucas Tan"/>
    <s v="http://www.youtube.com/channel/UCyVhBPlAU2vPVMwyy24fU1g"/>
    <m/>
    <s v="wadBvDPeE4E"/>
    <s v="https://www.youtube.com/watch?v=wadBvDPeE4E"/>
    <s v="none"/>
    <n v="1"/>
    <x v="35"/>
    <d v="2012-10-20T16:29:06.000"/>
    <m/>
    <m/>
    <s v=""/>
    <n v="1"/>
    <s v="1"/>
    <s v="1"/>
    <n v="1"/>
    <n v="7.6923076923076925"/>
    <n v="0"/>
    <n v="0"/>
    <n v="0"/>
    <n v="0"/>
    <n v="12"/>
    <n v="92.3076923076923"/>
    <n v="13"/>
  </r>
  <r>
    <s v="UCF2xX0Jt59iinCHRA0lsU6Q"/>
    <s v="UCvQECJukTDE2i6aCoMnS-Vg"/>
    <m/>
    <m/>
    <m/>
    <m/>
    <m/>
    <m/>
    <m/>
    <m/>
    <s v="No"/>
    <n v="39"/>
    <m/>
    <m/>
    <s v="Commented Video"/>
    <x v="0"/>
    <s v="In the words of George Carlin:  &amp;quot;Adam Smith&amp;#39;s invisible hand, sometimes, extends the middle digit.&amp;quot;"/>
    <s v="UCF2xX0Jt59iinCHRA0lsU6Q"/>
    <s v="mussman717word"/>
    <s v="http://www.youtube.com/channel/UCF2xX0Jt59iinCHRA0lsU6Q"/>
    <m/>
    <s v="wadBvDPeE4E"/>
    <s v="https://www.youtube.com/watch?v=wadBvDPeE4E"/>
    <s v="none"/>
    <n v="0"/>
    <x v="36"/>
    <d v="2012-10-20T16:35:05.000"/>
    <m/>
    <m/>
    <s v=""/>
    <n v="1"/>
    <s v="1"/>
    <s v="1"/>
    <n v="0"/>
    <n v="0"/>
    <n v="1"/>
    <n v="5.2631578947368425"/>
    <n v="0"/>
    <n v="0"/>
    <n v="18"/>
    <n v="94.73684210526316"/>
    <n v="19"/>
  </r>
  <r>
    <s v="UCKhhUAyaQUs5enJktUrcR-A"/>
    <s v="UCvQECJukTDE2i6aCoMnS-Vg"/>
    <m/>
    <m/>
    <m/>
    <m/>
    <m/>
    <m/>
    <m/>
    <m/>
    <s v="No"/>
    <n v="40"/>
    <m/>
    <m/>
    <s v="Commented Video"/>
    <x v="0"/>
    <s v="haha, owned :P"/>
    <s v="UCKhhUAyaQUs5enJktUrcR-A"/>
    <s v="DaveMoustache"/>
    <s v="http://www.youtube.com/channel/UCKhhUAyaQUs5enJktUrcR-A"/>
    <m/>
    <s v="wadBvDPeE4E"/>
    <s v="https://www.youtube.com/watch?v=wadBvDPeE4E"/>
    <s v="none"/>
    <n v="0"/>
    <x v="37"/>
    <d v="2012-10-20T16:43:19.000"/>
    <m/>
    <m/>
    <s v=""/>
    <n v="1"/>
    <s v="1"/>
    <s v="1"/>
    <n v="0"/>
    <n v="0"/>
    <n v="0"/>
    <n v="0"/>
    <n v="0"/>
    <n v="0"/>
    <n v="3"/>
    <n v="100"/>
    <n v="3"/>
  </r>
  <r>
    <s v="UC8SEr2exDhoViCH1TOcGTnw"/>
    <s v="UCvQECJukTDE2i6aCoMnS-Vg"/>
    <m/>
    <m/>
    <m/>
    <m/>
    <m/>
    <m/>
    <m/>
    <m/>
    <s v="No"/>
    <n v="41"/>
    <m/>
    <m/>
    <s v="Commented Video"/>
    <x v="0"/>
    <s v="big think is the best shit ever yo!!!!!!!!!!!!!!! all i do is burn 1 and watch lol"/>
    <s v="UC8SEr2exDhoViCH1TOcGTnw"/>
    <s v="Aundre Wright"/>
    <s v="http://www.youtube.com/channel/UC8SEr2exDhoViCH1TOcGTnw"/>
    <m/>
    <s v="wadBvDPeE4E"/>
    <s v="https://www.youtube.com/watch?v=wadBvDPeE4E"/>
    <s v="none"/>
    <n v="0"/>
    <x v="38"/>
    <d v="2012-10-20T16:45:12.000"/>
    <m/>
    <m/>
    <s v=""/>
    <n v="1"/>
    <s v="1"/>
    <s v="1"/>
    <n v="1"/>
    <n v="5.882352941176471"/>
    <n v="2"/>
    <n v="11.764705882352942"/>
    <n v="0"/>
    <n v="0"/>
    <n v="14"/>
    <n v="82.3529411764706"/>
    <n v="17"/>
  </r>
  <r>
    <s v="UCnxrG1IqO0A_g3W00m__S0A"/>
    <s v="UCvQECJukTDE2i6aCoMnS-Vg"/>
    <m/>
    <m/>
    <m/>
    <m/>
    <m/>
    <m/>
    <m/>
    <m/>
    <s v="No"/>
    <n v="42"/>
    <m/>
    <m/>
    <s v="Commented Video"/>
    <x v="0"/>
    <s v="you are right! I wonder why is this marked as spam? maybe some sociology and psychological youtuber behavior involved? "/>
    <s v="UCnxrG1IqO0A_g3W00m__S0A"/>
    <s v="Axel Schultz"/>
    <s v="http://www.youtube.com/channel/UCnxrG1IqO0A_g3W00m__S0A"/>
    <m/>
    <s v="wadBvDPeE4E"/>
    <s v="https://www.youtube.com/watch?v=wadBvDPeE4E"/>
    <s v="none"/>
    <n v="0"/>
    <x v="39"/>
    <d v="2012-10-20T16:53:43.000"/>
    <m/>
    <m/>
    <s v=""/>
    <n v="1"/>
    <s v="1"/>
    <s v="1"/>
    <n v="2"/>
    <n v="10.526315789473685"/>
    <n v="0"/>
    <n v="0"/>
    <n v="0"/>
    <n v="0"/>
    <n v="17"/>
    <n v="89.47368421052632"/>
    <n v="19"/>
  </r>
  <r>
    <s v="UC71GWfHLygA6wfNmJWrxBLw"/>
    <s v="UCvQECJukTDE2i6aCoMnS-Vg"/>
    <m/>
    <m/>
    <m/>
    <m/>
    <m/>
    <m/>
    <m/>
    <m/>
    <s v="No"/>
    <n v="43"/>
    <m/>
    <m/>
    <s v="Commented Video"/>
    <x v="0"/>
    <s v="I think that he&amp;#39;s mad because he&amp;#39;s in the wrong field of study :p"/>
    <s v="UC71GWfHLygA6wfNmJWrxBLw"/>
    <s v="Lasserino"/>
    <s v="http://www.youtube.com/channel/UC71GWfHLygA6wfNmJWrxBLw"/>
    <m/>
    <s v="wadBvDPeE4E"/>
    <s v="https://www.youtube.com/watch?v=wadBvDPeE4E"/>
    <s v="none"/>
    <n v="0"/>
    <x v="40"/>
    <d v="2012-10-20T16:58:52.000"/>
    <m/>
    <m/>
    <s v=""/>
    <n v="1"/>
    <s v="1"/>
    <s v="1"/>
    <n v="0"/>
    <n v="0"/>
    <n v="2"/>
    <n v="11.11111111111111"/>
    <n v="0"/>
    <n v="0"/>
    <n v="16"/>
    <n v="88.88888888888889"/>
    <n v="18"/>
  </r>
  <r>
    <s v="UC6H8xYRD5QuQNcGkobR1K6A"/>
    <s v="UCvQECJukTDE2i6aCoMnS-Vg"/>
    <m/>
    <m/>
    <m/>
    <m/>
    <m/>
    <m/>
    <m/>
    <m/>
    <s v="No"/>
    <n v="44"/>
    <m/>
    <m/>
    <s v="Commented Video"/>
    <x v="0"/>
    <s v="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
    <s v="UC6H8xYRD5QuQNcGkobR1K6A"/>
    <s v="Thunder Kat"/>
    <s v="http://www.youtube.com/channel/UC6H8xYRD5QuQNcGkobR1K6A"/>
    <m/>
    <s v="wadBvDPeE4E"/>
    <s v="https://www.youtube.com/watch?v=wadBvDPeE4E"/>
    <s v="none"/>
    <n v="0"/>
    <x v="41"/>
    <d v="2012-10-20T16:53:55.000"/>
    <m/>
    <m/>
    <s v=""/>
    <n v="3"/>
    <s v="1"/>
    <s v="1"/>
    <n v="2"/>
    <n v="2.6666666666666665"/>
    <n v="6"/>
    <n v="8"/>
    <n v="0"/>
    <n v="0"/>
    <n v="67"/>
    <n v="89.33333333333333"/>
    <n v="75"/>
  </r>
  <r>
    <s v="UC6H8xYRD5QuQNcGkobR1K6A"/>
    <s v="UCvQECJukTDE2i6aCoMnS-Vg"/>
    <m/>
    <m/>
    <m/>
    <m/>
    <m/>
    <m/>
    <m/>
    <m/>
    <s v="No"/>
    <n v="45"/>
    <m/>
    <m/>
    <s v="Commented Video"/>
    <x v="0"/>
    <s v="Almost sound like that movie Good Will Hunting ^_^_x000a_I love that dude thoughts and perspective about the world."/>
    <s v="UC6H8xYRD5QuQNcGkobR1K6A"/>
    <s v="Thunder Kat"/>
    <s v="http://www.youtube.com/channel/UC6H8xYRD5QuQNcGkobR1K6A"/>
    <m/>
    <s v="wadBvDPeE4E"/>
    <s v="https://www.youtube.com/watch?v=wadBvDPeE4E"/>
    <s v="none"/>
    <n v="0"/>
    <x v="42"/>
    <d v="2012-10-20T17:01:11.000"/>
    <m/>
    <m/>
    <s v=""/>
    <n v="3"/>
    <s v="1"/>
    <s v="1"/>
    <n v="3"/>
    <n v="15.789473684210526"/>
    <n v="0"/>
    <n v="0"/>
    <n v="0"/>
    <n v="0"/>
    <n v="16"/>
    <n v="84.21052631578948"/>
    <n v="19"/>
  </r>
  <r>
    <s v="UC6H8xYRD5QuQNcGkobR1K6A"/>
    <s v="UCvQECJukTDE2i6aCoMnS-Vg"/>
    <m/>
    <m/>
    <m/>
    <m/>
    <m/>
    <m/>
    <m/>
    <m/>
    <s v="No"/>
    <n v="46"/>
    <m/>
    <m/>
    <s v="Commented Video"/>
    <x v="0"/>
    <s v="We need to nuke that social network for the greater good..."/>
    <s v="UC6H8xYRD5QuQNcGkobR1K6A"/>
    <s v="Thunder Kat"/>
    <s v="http://www.youtube.com/channel/UC6H8xYRD5QuQNcGkobR1K6A"/>
    <m/>
    <s v="wadBvDPeE4E"/>
    <s v="https://www.youtube.com/watch?v=wadBvDPeE4E"/>
    <s v="none"/>
    <n v="0"/>
    <x v="43"/>
    <d v="2012-10-20T17:02:46.000"/>
    <m/>
    <m/>
    <s v=""/>
    <n v="3"/>
    <s v="1"/>
    <s v="1"/>
    <n v="1"/>
    <n v="9.090909090909092"/>
    <n v="0"/>
    <n v="0"/>
    <n v="0"/>
    <n v="0"/>
    <n v="10"/>
    <n v="90.9090909090909"/>
    <n v="11"/>
  </r>
  <r>
    <s v="UCB4qx6aknMONopsjwL6W38Q"/>
    <s v="UCvQECJukTDE2i6aCoMnS-Vg"/>
    <m/>
    <m/>
    <m/>
    <m/>
    <m/>
    <m/>
    <m/>
    <m/>
    <s v="No"/>
    <n v="47"/>
    <m/>
    <m/>
    <s v="Commented Video"/>
    <x v="0"/>
    <s v="They may have paid for college for that degree, not just to learn."/>
    <s v="UCB4qx6aknMONopsjwL6W38Q"/>
    <s v="Obby"/>
    <s v="http://www.youtube.com/channel/UCB4qx6aknMONopsjwL6W38Q"/>
    <m/>
    <s v="wadBvDPeE4E"/>
    <s v="https://www.youtube.com/watch?v=wadBvDPeE4E"/>
    <s v="none"/>
    <n v="0"/>
    <x v="44"/>
    <d v="2012-10-20T17:07:54.000"/>
    <m/>
    <m/>
    <s v=""/>
    <n v="1"/>
    <s v="1"/>
    <s v="1"/>
    <n v="0"/>
    <n v="0"/>
    <n v="0"/>
    <n v="0"/>
    <n v="0"/>
    <n v="0"/>
    <n v="13"/>
    <n v="100"/>
    <n v="13"/>
  </r>
  <r>
    <s v="UCpqqRVKt-ZVet0_yyj-66rQ"/>
    <s v="UCvQECJukTDE2i6aCoMnS-Vg"/>
    <m/>
    <m/>
    <m/>
    <m/>
    <m/>
    <m/>
    <m/>
    <m/>
    <s v="No"/>
    <n v="48"/>
    <m/>
    <m/>
    <s v="Commented Video"/>
    <x v="0"/>
    <s v="Something seems to be odd with the subtitles"/>
    <s v="UCpqqRVKt-ZVet0_yyj-66rQ"/>
    <s v="Sanna Isabel Ulfsparre"/>
    <s v="http://www.youtube.com/channel/UCpqqRVKt-ZVet0_yyj-66rQ"/>
    <m/>
    <s v="wadBvDPeE4E"/>
    <s v="https://www.youtube.com/watch?v=wadBvDPeE4E"/>
    <s v="none"/>
    <n v="0"/>
    <x v="45"/>
    <d v="2012-10-20T17:13:32.000"/>
    <m/>
    <m/>
    <s v=""/>
    <n v="1"/>
    <s v="1"/>
    <s v="1"/>
    <n v="0"/>
    <n v="0"/>
    <n v="1"/>
    <n v="12.5"/>
    <n v="0"/>
    <n v="0"/>
    <n v="7"/>
    <n v="87.5"/>
    <n v="8"/>
  </r>
  <r>
    <s v="UCZVQBF2Qb6o_nY6lK7x3HOA"/>
    <s v="UCvQECJukTDE2i6aCoMnS-Vg"/>
    <m/>
    <m/>
    <m/>
    <m/>
    <m/>
    <m/>
    <m/>
    <m/>
    <s v="No"/>
    <n v="49"/>
    <m/>
    <m/>
    <s v="Commented Video"/>
    <x v="0"/>
    <s v="DAMMIT! I already speak english, so these words are all familiar &amp;gt;:("/>
    <s v="UCZVQBF2Qb6o_nY6lK7x3HOA"/>
    <s v="Look Behind You"/>
    <s v="http://www.youtube.com/channel/UCZVQBF2Qb6o_nY6lK7x3HOA"/>
    <m/>
    <s v="wadBvDPeE4E"/>
    <s v="https://www.youtube.com/watch?v=wadBvDPeE4E"/>
    <s v="none"/>
    <n v="0"/>
    <x v="46"/>
    <d v="2012-10-20T17:20:20.000"/>
    <m/>
    <m/>
    <s v=""/>
    <n v="1"/>
    <s v="1"/>
    <s v="1"/>
    <n v="0"/>
    <n v="0"/>
    <n v="0"/>
    <n v="0"/>
    <n v="0"/>
    <n v="0"/>
    <n v="12"/>
    <n v="100"/>
    <n v="12"/>
  </r>
  <r>
    <s v="UCA3yny9R2owA5nfWuzi0oXw"/>
    <s v="UCvQECJukTDE2i6aCoMnS-Vg"/>
    <m/>
    <m/>
    <m/>
    <m/>
    <m/>
    <m/>
    <m/>
    <m/>
    <s v="No"/>
    <n v="50"/>
    <m/>
    <m/>
    <s v="Commented Video"/>
    <x v="0"/>
    <s v="I have a sudden compulsion to go get muffins and beer now..."/>
    <s v="UCA3yny9R2owA5nfWuzi0oXw"/>
    <s v="Voltar"/>
    <s v="http://www.youtube.com/channel/UCA3yny9R2owA5nfWuzi0oXw"/>
    <m/>
    <s v="wadBvDPeE4E"/>
    <s v="https://www.youtube.com/watch?v=wadBvDPeE4E"/>
    <s v="none"/>
    <n v="0"/>
    <x v="47"/>
    <d v="2012-10-20T17:30:11.000"/>
    <m/>
    <m/>
    <s v=""/>
    <n v="1"/>
    <s v="1"/>
    <s v="1"/>
    <n v="0"/>
    <n v="0"/>
    <n v="1"/>
    <n v="8.333333333333334"/>
    <n v="0"/>
    <n v="0"/>
    <n v="11"/>
    <n v="91.66666666666667"/>
    <n v="12"/>
  </r>
  <r>
    <s v="UC1gn0WQ7hdUVoSvG2xnINEQ"/>
    <s v="UCvQECJukTDE2i6aCoMnS-Vg"/>
    <m/>
    <m/>
    <m/>
    <m/>
    <m/>
    <m/>
    <m/>
    <m/>
    <s v="No"/>
    <n v="51"/>
    <m/>
    <m/>
    <s v="Commented Video"/>
    <x v="0"/>
    <s v="Παμε ρε ελλαδαρααααα"/>
    <s v="UC1gn0WQ7hdUVoSvG2xnINEQ"/>
    <s v="tonix1993"/>
    <s v="http://www.youtube.com/channel/UC1gn0WQ7hdUVoSvG2xnINEQ"/>
    <m/>
    <s v="wadBvDPeE4E"/>
    <s v="https://www.youtube.com/watch?v=wadBvDPeE4E"/>
    <s v="none"/>
    <n v="0"/>
    <x v="48"/>
    <d v="2012-10-20T17:31:12.000"/>
    <m/>
    <m/>
    <s v=""/>
    <n v="1"/>
    <s v="1"/>
    <s v="1"/>
    <n v="0"/>
    <n v="0"/>
    <n v="0"/>
    <n v="0"/>
    <n v="0"/>
    <n v="0"/>
    <n v="3"/>
    <n v="100"/>
    <n v="3"/>
  </r>
  <r>
    <s v="UCHbkFnLRFtHAo33c7BhmhsQ"/>
    <s v="UCvQECJukTDE2i6aCoMnS-Vg"/>
    <m/>
    <m/>
    <m/>
    <m/>
    <m/>
    <m/>
    <m/>
    <m/>
    <s v="No"/>
    <n v="52"/>
    <m/>
    <m/>
    <s v="Commented Video"/>
    <x v="0"/>
    <s v="University&amp;#39;s do an excellent job of teaching these skills... the problem comes from students who dont engage...our prof&amp;#39;s are better than ever but students dont care to learn.. usually because they are attending for the wrong reasons."/>
    <s v="UCHbkFnLRFtHAo33c7BhmhsQ"/>
    <s v="dramon231"/>
    <s v="http://www.youtube.com/channel/UCHbkFnLRFtHAo33c7BhmhsQ"/>
    <m/>
    <s v="wadBvDPeE4E"/>
    <s v="https://www.youtube.com/watch?v=wadBvDPeE4E"/>
    <s v="none"/>
    <n v="1"/>
    <x v="49"/>
    <d v="2012-10-20T17:50:17.000"/>
    <m/>
    <m/>
    <s v=""/>
    <n v="1"/>
    <s v="1"/>
    <s v="1"/>
    <n v="2"/>
    <n v="4.761904761904762"/>
    <n v="2"/>
    <n v="4.761904761904762"/>
    <n v="0"/>
    <n v="0"/>
    <n v="38"/>
    <n v="90.47619047619048"/>
    <n v="42"/>
  </r>
  <r>
    <s v="UCBL1yXa-8Q3PVpNyS80DkeQ"/>
    <s v="UCvQECJukTDE2i6aCoMnS-Vg"/>
    <m/>
    <m/>
    <m/>
    <m/>
    <m/>
    <m/>
    <m/>
    <m/>
    <s v="No"/>
    <n v="53"/>
    <m/>
    <m/>
    <s v="Commented Video"/>
    <x v="0"/>
    <s v="go to MIT Opencourseware homepage, section Engineering*"/>
    <s v="UCBL1yXa-8Q3PVpNyS80DkeQ"/>
    <s v="Waranle"/>
    <s v="http://www.youtube.com/channel/UCBL1yXa-8Q3PVpNyS80DkeQ"/>
    <m/>
    <s v="wadBvDPeE4E"/>
    <s v="https://www.youtube.com/watch?v=wadBvDPeE4E"/>
    <s v="none"/>
    <n v="0"/>
    <x v="50"/>
    <d v="2012-10-20T17:54:41.000"/>
    <m/>
    <m/>
    <s v=""/>
    <n v="1"/>
    <s v="1"/>
    <s v="1"/>
    <n v="0"/>
    <n v="0"/>
    <n v="0"/>
    <n v="0"/>
    <n v="0"/>
    <n v="0"/>
    <n v="7"/>
    <n v="100"/>
    <n v="7"/>
  </r>
  <r>
    <s v="UCOnHdFlBWvRl_o-sgFXVYOw"/>
    <s v="UCvQECJukTDE2i6aCoMnS-Vg"/>
    <m/>
    <m/>
    <m/>
    <m/>
    <m/>
    <m/>
    <m/>
    <m/>
    <s v="No"/>
    <n v="54"/>
    <m/>
    <m/>
    <s v="Commented Video"/>
    <x v="0"/>
    <s v="Doesn&amp;#39;t it mean socialism is good?  Why are fighting it?"/>
    <s v="UCOnHdFlBWvRl_o-sgFXVYOw"/>
    <s v="EH CBunny"/>
    <s v="http://www.youtube.com/channel/UCOnHdFlBWvRl_o-sgFXVYOw"/>
    <m/>
    <s v="wadBvDPeE4E"/>
    <s v="https://www.youtube.com/watch?v=wadBvDPeE4E"/>
    <s v="none"/>
    <n v="0"/>
    <x v="51"/>
    <d v="2012-10-20T17:54:49.000"/>
    <m/>
    <m/>
    <s v=""/>
    <n v="2"/>
    <s v="1"/>
    <s v="1"/>
    <n v="1"/>
    <n v="8.333333333333334"/>
    <n v="0"/>
    <n v="0"/>
    <n v="0"/>
    <n v="0"/>
    <n v="11"/>
    <n v="91.66666666666667"/>
    <n v="12"/>
  </r>
  <r>
    <s v="UCOnHdFlBWvRl_o-sgFXVYOw"/>
    <s v="UCvQECJukTDE2i6aCoMnS-Vg"/>
    <m/>
    <m/>
    <m/>
    <m/>
    <m/>
    <m/>
    <m/>
    <m/>
    <s v="No"/>
    <n v="55"/>
    <m/>
    <m/>
    <s v="Commented Video"/>
    <x v="0"/>
    <s v="Your wireless is selling your information for profit."/>
    <s v="UCOnHdFlBWvRl_o-sgFXVYOw"/>
    <s v="EH CBunny"/>
    <s v="http://www.youtube.com/channel/UCOnHdFlBWvRl_o-sgFXVYOw"/>
    <m/>
    <s v="wadBvDPeE4E"/>
    <s v="https://www.youtube.com/watch?v=wadBvDPeE4E"/>
    <s v="none"/>
    <n v="0"/>
    <x v="52"/>
    <d v="2012-10-20T17:56:09.000"/>
    <m/>
    <m/>
    <s v=""/>
    <n v="2"/>
    <s v="1"/>
    <s v="1"/>
    <n v="0"/>
    <n v="0"/>
    <n v="0"/>
    <n v="0"/>
    <n v="0"/>
    <n v="0"/>
    <n v="8"/>
    <n v="100"/>
    <n v="8"/>
  </r>
  <r>
    <s v="UCZUOkn4H_cviVOtuzw10PpA"/>
    <s v="UCvQECJukTDE2i6aCoMnS-Vg"/>
    <m/>
    <m/>
    <m/>
    <m/>
    <m/>
    <m/>
    <m/>
    <m/>
    <s v="No"/>
    <n v="56"/>
    <m/>
    <m/>
    <s v="Commented Video"/>
    <x v="0"/>
    <s v="awesome"/>
    <s v="UCZUOkn4H_cviVOtuzw10PpA"/>
    <s v="givemongoball"/>
    <s v="http://www.youtube.com/channel/UCZUOkn4H_cviVOtuzw10PpA"/>
    <m/>
    <s v="wadBvDPeE4E"/>
    <s v="https://www.youtube.com/watch?v=wadBvDPeE4E"/>
    <s v="none"/>
    <n v="0"/>
    <x v="53"/>
    <d v="2012-10-20T17:57:42.000"/>
    <m/>
    <m/>
    <s v=""/>
    <n v="1"/>
    <s v="1"/>
    <s v="1"/>
    <n v="1"/>
    <n v="100"/>
    <n v="0"/>
    <n v="0"/>
    <n v="0"/>
    <n v="0"/>
    <n v="0"/>
    <n v="0"/>
    <n v="1"/>
  </r>
  <r>
    <s v="UCXTQpyzqA75bmnmNcnRdA1Q"/>
    <s v="UCvQECJukTDE2i6aCoMnS-Vg"/>
    <m/>
    <m/>
    <m/>
    <m/>
    <m/>
    <m/>
    <m/>
    <m/>
    <s v="No"/>
    <n v="57"/>
    <m/>
    <m/>
    <s v="Commented Video"/>
    <x v="0"/>
    <s v="Thank you bigthink for an actual lecture. The sound bites are cool, but this is so much better!"/>
    <s v="UCXTQpyzqA75bmnmNcnRdA1Q"/>
    <s v="madyogaboy"/>
    <s v="http://www.youtube.com/channel/UCXTQpyzqA75bmnmNcnRdA1Q"/>
    <m/>
    <s v="wadBvDPeE4E"/>
    <s v="https://www.youtube.com/watch?v=wadBvDPeE4E"/>
    <s v="none"/>
    <n v="1"/>
    <x v="54"/>
    <d v="2012-10-20T18:04:49.000"/>
    <m/>
    <m/>
    <s v=""/>
    <n v="1"/>
    <s v="1"/>
    <s v="1"/>
    <n v="3"/>
    <n v="16.666666666666668"/>
    <n v="0"/>
    <n v="0"/>
    <n v="0"/>
    <n v="0"/>
    <n v="15"/>
    <n v="83.33333333333333"/>
    <n v="18"/>
  </r>
  <r>
    <s v="UCtIqDrquj5kLCIwxV9702dQ"/>
    <s v="UCvQECJukTDE2i6aCoMnS-Vg"/>
    <m/>
    <m/>
    <m/>
    <m/>
    <m/>
    <m/>
    <m/>
    <m/>
    <s v="No"/>
    <n v="58"/>
    <m/>
    <m/>
    <s v="Commented Video"/>
    <x v="0"/>
    <s v="I would happily watch a video like that on the basics of electric engineering. I&amp;#39;m about to get my diploma but it feels like I&amp;#39;m missing something from the big picture. "/>
    <s v="UCtIqDrquj5kLCIwxV9702dQ"/>
    <s v="Spacejunk"/>
    <s v="http://www.youtube.com/channel/UCtIqDrquj5kLCIwxV9702dQ"/>
    <m/>
    <s v="wadBvDPeE4E"/>
    <s v="https://www.youtube.com/watch?v=wadBvDPeE4E"/>
    <s v="none"/>
    <n v="1"/>
    <x v="55"/>
    <d v="2012-10-20T17:44:17.000"/>
    <m/>
    <m/>
    <s v=""/>
    <n v="2"/>
    <s v="1"/>
    <s v="1"/>
    <n v="3"/>
    <n v="8.571428571428571"/>
    <n v="0"/>
    <n v="0"/>
    <n v="0"/>
    <n v="0"/>
    <n v="32"/>
    <n v="91.42857142857143"/>
    <n v="35"/>
  </r>
  <r>
    <s v="UCtIqDrquj5kLCIwxV9702dQ"/>
    <s v="UCvQECJukTDE2i6aCoMnS-Vg"/>
    <m/>
    <m/>
    <m/>
    <m/>
    <m/>
    <m/>
    <m/>
    <m/>
    <s v="No"/>
    <n v="59"/>
    <m/>
    <m/>
    <s v="Commented Video"/>
    <x v="0"/>
    <s v="Thanks!"/>
    <s v="UCtIqDrquj5kLCIwxV9702dQ"/>
    <s v="Spacejunk"/>
    <s v="http://www.youtube.com/channel/UCtIqDrquj5kLCIwxV9702dQ"/>
    <m/>
    <s v="wadBvDPeE4E"/>
    <s v="https://www.youtube.com/watch?v=wadBvDPeE4E"/>
    <s v="none"/>
    <n v="0"/>
    <x v="56"/>
    <d v="2012-10-20T18:05:39.000"/>
    <m/>
    <m/>
    <s v=""/>
    <n v="2"/>
    <s v="1"/>
    <s v="1"/>
    <n v="0"/>
    <n v="0"/>
    <n v="0"/>
    <n v="0"/>
    <n v="0"/>
    <n v="0"/>
    <n v="1"/>
    <n v="100"/>
    <n v="1"/>
  </r>
  <r>
    <s v="UCTXeu2cDZUoKtMW7DNfS8-g"/>
    <s v="UCvQECJukTDE2i6aCoMnS-Vg"/>
    <m/>
    <m/>
    <m/>
    <m/>
    <m/>
    <m/>
    <m/>
    <m/>
    <s v="No"/>
    <n v="60"/>
    <m/>
    <m/>
    <s v="Commented Video"/>
    <x v="0"/>
    <s v="I like these BigThink lectures - it&amp;#39;s like getting a college lecture for free.  "/>
    <s v="UCTXeu2cDZUoKtMW7DNfS8-g"/>
    <s v="Jahooba"/>
    <s v="http://www.youtube.com/channel/UCTXeu2cDZUoKtMW7DNfS8-g"/>
    <m/>
    <s v="wadBvDPeE4E"/>
    <s v="https://www.youtube.com/watch?v=wadBvDPeE4E"/>
    <s v="none"/>
    <n v="0"/>
    <x v="57"/>
    <d v="2012-10-20T15:56:52.000"/>
    <m/>
    <m/>
    <s v=""/>
    <n v="4"/>
    <s v="1"/>
    <s v="1"/>
    <n v="3"/>
    <n v="20"/>
    <n v="0"/>
    <n v="0"/>
    <n v="0"/>
    <n v="0"/>
    <n v="12"/>
    <n v="80"/>
    <n v="15"/>
  </r>
  <r>
    <s v="UCTXeu2cDZUoKtMW7DNfS8-g"/>
    <s v="UCvQECJukTDE2i6aCoMnS-Vg"/>
    <m/>
    <m/>
    <m/>
    <m/>
    <m/>
    <m/>
    <m/>
    <m/>
    <s v="No"/>
    <n v="61"/>
    <m/>
    <m/>
    <s v="Commented Video"/>
    <x v="0"/>
    <s v="No, a sphere will distort the connections, particularly at the poles.  A torus is the only way to have a flat image wrap around and connect with itself on all sides, evenly.  Any 3D artist knows how awkward it can be to wrap a flat image around a sphere.  :)"/>
    <s v="UCTXeu2cDZUoKtMW7DNfS8-g"/>
    <s v="Jahooba"/>
    <s v="http://www.youtube.com/channel/UCTXeu2cDZUoKtMW7DNfS8-g"/>
    <m/>
    <s v="wadBvDPeE4E"/>
    <s v="https://www.youtube.com/watch?v=wadBvDPeE4E"/>
    <s v="none"/>
    <n v="0"/>
    <x v="58"/>
    <d v="2012-10-20T16:00:24.000"/>
    <m/>
    <m/>
    <s v=""/>
    <n v="4"/>
    <s v="1"/>
    <s v="1"/>
    <n v="1"/>
    <n v="2.0408163265306123"/>
    <n v="2"/>
    <n v="4.081632653061225"/>
    <n v="0"/>
    <n v="0"/>
    <n v="46"/>
    <n v="93.87755102040816"/>
    <n v="49"/>
  </r>
  <r>
    <s v="UCTXeu2cDZUoKtMW7DNfS8-g"/>
    <s v="UCvQECJukTDE2i6aCoMnS-Vg"/>
    <m/>
    <m/>
    <m/>
    <m/>
    <m/>
    <m/>
    <m/>
    <m/>
    <s v="No"/>
    <n v="62"/>
    <m/>
    <m/>
    <s v="Commented Video"/>
    <x v="0"/>
    <s v="Both a sphere and a torus will distort the image, yes, but this isn&amp;#39;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  "/>
    <s v="UCTXeu2cDZUoKtMW7DNfS8-g"/>
    <s v="Jahooba"/>
    <s v="http://www.youtube.com/channel/UCTXeu2cDZUoKtMW7DNfS8-g"/>
    <m/>
    <s v="wadBvDPeE4E"/>
    <s v="https://www.youtube.com/watch?v=wadBvDPeE4E"/>
    <s v="none"/>
    <n v="0"/>
    <x v="59"/>
    <d v="2012-10-20T17:33:24.000"/>
    <m/>
    <m/>
    <s v=""/>
    <n v="4"/>
    <s v="1"/>
    <s v="1"/>
    <n v="3"/>
    <n v="3.1578947368421053"/>
    <n v="5"/>
    <n v="5.2631578947368425"/>
    <n v="0"/>
    <n v="0"/>
    <n v="87"/>
    <n v="91.57894736842105"/>
    <n v="95"/>
  </r>
  <r>
    <s v="UCTXeu2cDZUoKtMW7DNfS8-g"/>
    <s v="UCvQECJukTDE2i6aCoMnS-Vg"/>
    <m/>
    <m/>
    <m/>
    <m/>
    <m/>
    <m/>
    <m/>
    <m/>
    <s v="No"/>
    <n v="63"/>
    <m/>
    <m/>
    <s v="Commented Video"/>
    <x v="0"/>
    <s v="Yes, to properly understand his point you need to understand how information is displayed.  He specifically makes it a point to display the information rationally, in two dimensions, then he explains how to visualize that in three dimensions.  His point is the point, as it were.  "/>
    <s v="UCTXeu2cDZUoKtMW7DNfS8-g"/>
    <s v="Jahooba"/>
    <s v="http://www.youtube.com/channel/UCTXeu2cDZUoKtMW7DNfS8-g"/>
    <m/>
    <s v="wadBvDPeE4E"/>
    <s v="https://www.youtube.com/watch?v=wadBvDPeE4E"/>
    <s v="none"/>
    <n v="0"/>
    <x v="60"/>
    <d v="2012-10-20T18:11:26.000"/>
    <m/>
    <m/>
    <s v=""/>
    <n v="4"/>
    <s v="1"/>
    <s v="1"/>
    <n v="1"/>
    <n v="2.1739130434782608"/>
    <n v="0"/>
    <n v="0"/>
    <n v="0"/>
    <n v="0"/>
    <n v="45"/>
    <n v="97.82608695652173"/>
    <n v="46"/>
  </r>
  <r>
    <s v="UCjzooJF75PHimiQo2pxwkVw"/>
    <s v="UCvQECJukTDE2i6aCoMnS-Vg"/>
    <m/>
    <m/>
    <m/>
    <m/>
    <m/>
    <m/>
    <m/>
    <m/>
    <s v="No"/>
    <n v="64"/>
    <m/>
    <m/>
    <s v="Commented Video"/>
    <x v="0"/>
    <s v="I am learning so much from this channel; new ideas, new ways to approach ideas. "/>
    <s v="UCjzooJF75PHimiQo2pxwkVw"/>
    <s v="dabdab10"/>
    <s v="http://www.youtube.com/channel/UCjzooJF75PHimiQo2pxwkVw"/>
    <m/>
    <s v="wadBvDPeE4E"/>
    <s v="https://www.youtube.com/watch?v=wadBvDPeE4E"/>
    <s v="none"/>
    <n v="4"/>
    <x v="61"/>
    <d v="2012-10-20T18:34:45.000"/>
    <m/>
    <m/>
    <s v=""/>
    <n v="1"/>
    <s v="1"/>
    <s v="1"/>
    <n v="0"/>
    <n v="0"/>
    <n v="0"/>
    <n v="0"/>
    <n v="0"/>
    <n v="0"/>
    <n v="15"/>
    <n v="100"/>
    <n v="15"/>
  </r>
  <r>
    <s v="UCMMcwauwTAQyw0GUUhLBqSg"/>
    <s v="UCvQECJukTDE2i6aCoMnS-Vg"/>
    <m/>
    <m/>
    <m/>
    <m/>
    <m/>
    <m/>
    <m/>
    <m/>
    <s v="No"/>
    <n v="65"/>
    <m/>
    <m/>
    <s v="Commented Video"/>
    <x v="0"/>
    <s v="You gotta do a video like this about argumentation skills."/>
    <s v="UCMMcwauwTAQyw0GUUhLBqSg"/>
    <s v="Hola"/>
    <s v="http://www.youtube.com/channel/UCMMcwauwTAQyw0GUUhLBqSg"/>
    <m/>
    <s v="wadBvDPeE4E"/>
    <s v="https://www.youtube.com/watch?v=wadBvDPeE4E"/>
    <s v="none"/>
    <n v="0"/>
    <x v="62"/>
    <d v="2012-10-20T18:46:43.000"/>
    <m/>
    <m/>
    <s v=""/>
    <n v="1"/>
    <s v="1"/>
    <s v="1"/>
    <n v="1"/>
    <n v="10"/>
    <n v="0"/>
    <n v="0"/>
    <n v="0"/>
    <n v="0"/>
    <n v="9"/>
    <n v="90"/>
    <n v="10"/>
  </r>
  <r>
    <s v="UCycWPjDGZnt381HX5ghKYFQ"/>
    <s v="UCvQECJukTDE2i6aCoMnS-Vg"/>
    <m/>
    <m/>
    <m/>
    <m/>
    <m/>
    <m/>
    <m/>
    <m/>
    <s v="No"/>
    <n v="66"/>
    <m/>
    <m/>
    <s v="Commented Video"/>
    <x v="0"/>
    <s v="When will these sociological facts propagate through to the political systems worldwide?"/>
    <s v="UCycWPjDGZnt381HX5ghKYFQ"/>
    <s v="Jan Cloosterman🇺🇦"/>
    <s v="http://www.youtube.com/channel/UCycWPjDGZnt381HX5ghKYFQ"/>
    <m/>
    <s v="wadBvDPeE4E"/>
    <s v="https://www.youtube.com/watch?v=wadBvDPeE4E"/>
    <s v="none"/>
    <n v="0"/>
    <x v="63"/>
    <d v="2012-10-20T18:47:25.000"/>
    <m/>
    <m/>
    <s v=""/>
    <n v="1"/>
    <s v="1"/>
    <s v="1"/>
    <n v="0"/>
    <n v="0"/>
    <n v="0"/>
    <n v="0"/>
    <n v="0"/>
    <n v="0"/>
    <n v="12"/>
    <n v="100"/>
    <n v="12"/>
  </r>
  <r>
    <s v="UCd6VYGFkZ3mFLPAyJwwTjMg"/>
    <s v="UCvQECJukTDE2i6aCoMnS-Vg"/>
    <m/>
    <m/>
    <m/>
    <m/>
    <m/>
    <m/>
    <m/>
    <m/>
    <s v="No"/>
    <n v="67"/>
    <m/>
    <m/>
    <s v="Commented Video"/>
    <x v="0"/>
    <s v="This stuff is incredible."/>
    <s v="UCd6VYGFkZ3mFLPAyJwwTjMg"/>
    <s v="strategy"/>
    <s v="http://www.youtube.com/channel/UCd6VYGFkZ3mFLPAyJwwTjMg"/>
    <m/>
    <s v="wadBvDPeE4E"/>
    <s v="https://www.youtube.com/watch?v=wadBvDPeE4E"/>
    <s v="none"/>
    <n v="1"/>
    <x v="64"/>
    <d v="2012-10-20T18:49:08.000"/>
    <m/>
    <m/>
    <s v=""/>
    <n v="1"/>
    <s v="1"/>
    <s v="1"/>
    <n v="1"/>
    <n v="25"/>
    <n v="0"/>
    <n v="0"/>
    <n v="0"/>
    <n v="0"/>
    <n v="3"/>
    <n v="75"/>
    <n v="4"/>
  </r>
  <r>
    <s v="UCpBKCnFHDMEB_LLau0fxjKg"/>
    <s v="UCvQECJukTDE2i6aCoMnS-Vg"/>
    <m/>
    <m/>
    <m/>
    <m/>
    <m/>
    <m/>
    <m/>
    <m/>
    <s v="No"/>
    <n v="68"/>
    <m/>
    <m/>
    <s v="Commented Video"/>
    <x v="0"/>
    <s v="keep making these, Ill keep sharing them. "/>
    <s v="UCpBKCnFHDMEB_LLau0fxjKg"/>
    <s v="Pure Science"/>
    <s v="http://www.youtube.com/channel/UCpBKCnFHDMEB_LLau0fxjKg"/>
    <m/>
    <s v="wadBvDPeE4E"/>
    <s v="https://www.youtube.com/watch?v=wadBvDPeE4E"/>
    <s v="none"/>
    <n v="0"/>
    <x v="65"/>
    <d v="2012-10-20T19:00:59.000"/>
    <m/>
    <m/>
    <s v=""/>
    <n v="1"/>
    <s v="1"/>
    <s v="1"/>
    <n v="0"/>
    <n v="0"/>
    <n v="0"/>
    <n v="0"/>
    <n v="0"/>
    <n v="0"/>
    <n v="7"/>
    <n v="100"/>
    <n v="7"/>
  </r>
  <r>
    <s v="UCRpamvKjfym8ETggyULC6Jw"/>
    <s v="UCvQECJukTDE2i6aCoMnS-Vg"/>
    <m/>
    <m/>
    <m/>
    <m/>
    <m/>
    <m/>
    <m/>
    <m/>
    <s v="No"/>
    <n v="69"/>
    <m/>
    <m/>
    <s v="Commented Video"/>
    <x v="0"/>
    <s v="Holy sh*t this is almost an hour long...."/>
    <s v="UCRpamvKjfym8ETggyULC6Jw"/>
    <s v="Matt"/>
    <s v="http://www.youtube.com/channel/UCRpamvKjfym8ETggyULC6Jw"/>
    <m/>
    <s v="wadBvDPeE4E"/>
    <s v="https://www.youtube.com/watch?v=wadBvDPeE4E"/>
    <s v="none"/>
    <n v="0"/>
    <x v="66"/>
    <d v="2012-10-20T19:01:26.000"/>
    <m/>
    <m/>
    <s v=""/>
    <n v="1"/>
    <s v="1"/>
    <s v="1"/>
    <n v="1"/>
    <n v="11.11111111111111"/>
    <n v="0"/>
    <n v="0"/>
    <n v="0"/>
    <n v="0"/>
    <n v="8"/>
    <n v="88.88888888888889"/>
    <n v="9"/>
  </r>
  <r>
    <s v="UCxq2E0zegPLF0voBqHlVyMQ"/>
    <s v="UCvQECJukTDE2i6aCoMnS-Vg"/>
    <m/>
    <m/>
    <m/>
    <m/>
    <m/>
    <m/>
    <m/>
    <m/>
    <s v="No"/>
    <n v="70"/>
    <m/>
    <m/>
    <s v="Commented Video"/>
    <x v="0"/>
    <s v="Holon (philosophy)_x000a__x000a_en.wikipedia[dot]org/wiki/Holon_%28philosophy%29"/>
    <s v="UCxq2E0zegPLF0voBqHlVyMQ"/>
    <s v="/"/>
    <s v="http://www.youtube.com/channel/UCxq2E0zegPLF0voBqHlVyMQ"/>
    <m/>
    <s v="wadBvDPeE4E"/>
    <s v="https://www.youtube.com/watch?v=wadBvDPeE4E"/>
    <s v="none"/>
    <n v="0"/>
    <x v="67"/>
    <d v="2012-10-20T18:56:19.000"/>
    <m/>
    <m/>
    <s v=""/>
    <n v="3"/>
    <s v="1"/>
    <s v="1"/>
    <n v="0"/>
    <n v="0"/>
    <n v="0"/>
    <n v="0"/>
    <n v="0"/>
    <n v="0"/>
    <n v="10"/>
    <n v="100"/>
    <n v="10"/>
  </r>
  <r>
    <s v="UCxq2E0zegPLF0voBqHlVyMQ"/>
    <s v="UCvQECJukTDE2i6aCoMnS-Vg"/>
    <m/>
    <m/>
    <m/>
    <m/>
    <m/>
    <m/>
    <m/>
    <m/>
    <s v="No"/>
    <n v="71"/>
    <m/>
    <m/>
    <s v="Commented Video"/>
    <x v="0"/>
    <s v="Holon"/>
    <s v="UCxq2E0zegPLF0voBqHlVyMQ"/>
    <s v="/"/>
    <s v="http://www.youtube.com/channel/UCxq2E0zegPLF0voBqHlVyMQ"/>
    <m/>
    <s v="wadBvDPeE4E"/>
    <s v="https://www.youtube.com/watch?v=wadBvDPeE4E"/>
    <s v="none"/>
    <n v="0"/>
    <x v="68"/>
    <d v="2012-10-20T18:57:24.000"/>
    <m/>
    <m/>
    <s v=""/>
    <n v="3"/>
    <s v="1"/>
    <s v="1"/>
    <n v="0"/>
    <n v="0"/>
    <n v="0"/>
    <n v="0"/>
    <n v="0"/>
    <n v="0"/>
    <n v="1"/>
    <n v="100"/>
    <n v="1"/>
  </r>
  <r>
    <s v="UCxq2E0zegPLF0voBqHlVyMQ"/>
    <s v="UCvQECJukTDE2i6aCoMnS-Vg"/>
    <m/>
    <m/>
    <m/>
    <m/>
    <m/>
    <m/>
    <m/>
    <m/>
    <s v="No"/>
    <n v="72"/>
    <m/>
    <m/>
    <s v="Commented Video"/>
    <x v="0"/>
    <s v="Or he simply seeks to express himself, to voice his opinion or be heard._x000a__x000a_Also, there is no information without interaction."/>
    <s v="UCxq2E0zegPLF0voBqHlVyMQ"/>
    <s v="/"/>
    <s v="http://www.youtube.com/channel/UCxq2E0zegPLF0voBqHlVyMQ"/>
    <m/>
    <s v="wadBvDPeE4E"/>
    <s v="https://www.youtube.com/watch?v=wadBvDPeE4E"/>
    <s v="none"/>
    <n v="0"/>
    <x v="69"/>
    <d v="2012-10-20T19:03:17.000"/>
    <m/>
    <m/>
    <s v=""/>
    <n v="3"/>
    <s v="1"/>
    <s v="1"/>
    <n v="0"/>
    <n v="0"/>
    <n v="0"/>
    <n v="0"/>
    <n v="0"/>
    <n v="0"/>
    <n v="21"/>
    <n v="100"/>
    <n v="21"/>
  </r>
  <r>
    <s v="UC8PFjbcgC0E47I6aAmx4ewg"/>
    <s v="UCvQECJukTDE2i6aCoMnS-Vg"/>
    <m/>
    <m/>
    <m/>
    <m/>
    <m/>
    <m/>
    <m/>
    <m/>
    <s v="No"/>
    <n v="73"/>
    <m/>
    <m/>
    <s v="Commented Video"/>
    <x v="0"/>
    <s v="If you think that social and cultural factors don&amp;#39;t influence you in one way or another, you are ignorant or stupid. Your pick."/>
    <s v="UC8PFjbcgC0E47I6aAmx4ewg"/>
    <s v="Grizzle Bear Gruff"/>
    <s v="http://www.youtube.com/channel/UC8PFjbcgC0E47I6aAmx4ewg"/>
    <m/>
    <s v="wadBvDPeE4E"/>
    <s v="https://www.youtube.com/watch?v=wadBvDPeE4E"/>
    <s v="none"/>
    <n v="0"/>
    <x v="70"/>
    <d v="2012-10-20T19:08:53.000"/>
    <m/>
    <m/>
    <s v=""/>
    <n v="1"/>
    <s v="1"/>
    <s v="1"/>
    <n v="0"/>
    <n v="0"/>
    <n v="2"/>
    <n v="8"/>
    <n v="0"/>
    <n v="0"/>
    <n v="23"/>
    <n v="92"/>
    <n v="25"/>
  </r>
  <r>
    <s v="UCPegqTRcpYN2jYe3r2xSIow"/>
    <s v="UCvQECJukTDE2i6aCoMnS-Vg"/>
    <m/>
    <m/>
    <m/>
    <m/>
    <m/>
    <m/>
    <m/>
    <m/>
    <s v="No"/>
    <n v="74"/>
    <m/>
    <m/>
    <s v="Commented Video"/>
    <x v="0"/>
    <s v="Watch &amp;quot;Social Pathology&amp;quot; Lecture, by Peter Joseph"/>
    <s v="UCPegqTRcpYN2jYe3r2xSIow"/>
    <s v="Mohamed Salah Bchir"/>
    <s v="http://www.youtube.com/channel/UCPegqTRcpYN2jYe3r2xSIow"/>
    <m/>
    <s v="wadBvDPeE4E"/>
    <s v="https://www.youtube.com/watch?v=wadBvDPeE4E"/>
    <s v="none"/>
    <n v="0"/>
    <x v="71"/>
    <d v="2012-10-20T19:08:54.000"/>
    <m/>
    <m/>
    <s v=""/>
    <n v="1"/>
    <s v="1"/>
    <s v="1"/>
    <n v="0"/>
    <n v="0"/>
    <n v="0"/>
    <n v="0"/>
    <n v="0"/>
    <n v="0"/>
    <n v="9"/>
    <n v="100"/>
    <n v="9"/>
  </r>
  <r>
    <s v="UCqzDy3oVUSbD_TH_z7eeUIQ"/>
    <s v="UCvQECJukTDE2i6aCoMnS-Vg"/>
    <m/>
    <m/>
    <m/>
    <m/>
    <m/>
    <m/>
    <m/>
    <m/>
    <s v="No"/>
    <n v="75"/>
    <m/>
    <m/>
    <s v="Commented Video"/>
    <x v="0"/>
    <s v="I hate these things now because i want more ....."/>
    <s v="UCqzDy3oVUSbD_TH_z7eeUIQ"/>
    <s v="SlugHatchet"/>
    <s v="http://www.youtube.com/channel/UCqzDy3oVUSbD_TH_z7eeUIQ"/>
    <m/>
    <s v="wadBvDPeE4E"/>
    <s v="https://www.youtube.com/watch?v=wadBvDPeE4E"/>
    <s v="none"/>
    <n v="0"/>
    <x v="72"/>
    <d v="2012-10-20T19:13:17.000"/>
    <m/>
    <m/>
    <s v=""/>
    <n v="1"/>
    <s v="1"/>
    <s v="1"/>
    <n v="0"/>
    <n v="0"/>
    <n v="1"/>
    <n v="11.11111111111111"/>
    <n v="0"/>
    <n v="0"/>
    <n v="8"/>
    <n v="88.88888888888889"/>
    <n v="9"/>
  </r>
  <r>
    <s v="UCWhebpSUmDB59CUSsipsAHA"/>
    <s v="UCvQECJukTDE2i6aCoMnS-Vg"/>
    <m/>
    <m/>
    <m/>
    <m/>
    <m/>
    <m/>
    <m/>
    <m/>
    <s v="No"/>
    <n v="76"/>
    <m/>
    <m/>
    <s v="Commented Video"/>
    <x v="0"/>
    <s v="You make a good point, but what you&amp;#39;ve said is not always true.  Some people like me, don&amp;#39;t care what others think, but we care what we think and enjoy communicating that to others sometimes.  Therefore, people like me communicate for the joy of communicating regardless of whether my idea is accepted.  Here&amp;#39;s another example:  sometimes I do things that I think are funny to me even though I know some people won&amp;#39;t get it, merely for the sake of entertaining myself."/>
    <s v="UCWhebpSUmDB59CUSsipsAHA"/>
    <s v="nonchalantd"/>
    <s v="http://www.youtube.com/channel/UCWhebpSUmDB59CUSsipsAHA"/>
    <m/>
    <s v="wadBvDPeE4E"/>
    <s v="https://www.youtube.com/watch?v=wadBvDPeE4E"/>
    <s v="none"/>
    <n v="0"/>
    <x v="73"/>
    <d v="2012-10-20T19:14:14.000"/>
    <m/>
    <m/>
    <s v=""/>
    <n v="1"/>
    <s v="1"/>
    <s v="1"/>
    <n v="7"/>
    <n v="7.777777777777778"/>
    <n v="1"/>
    <n v="1.1111111111111112"/>
    <n v="0"/>
    <n v="0"/>
    <n v="82"/>
    <n v="91.11111111111111"/>
    <n v="90"/>
  </r>
  <r>
    <s v="UCcjsNvQ5ybOhrxX4TQ35vtg"/>
    <s v="UCvQECJukTDE2i6aCoMnS-Vg"/>
    <m/>
    <m/>
    <m/>
    <m/>
    <m/>
    <m/>
    <m/>
    <m/>
    <s v="No"/>
    <n v="77"/>
    <m/>
    <m/>
    <s v="Commented Video"/>
    <x v="0"/>
    <s v="You just clicked to dislike it... Does that mean you didn&amp;#39;t watch the video? You judged the book by it&amp;#39;s cover?_x000a_How stupid of you."/>
    <s v="UCcjsNvQ5ybOhrxX4TQ35vtg"/>
    <s v="scienceisknolwedge"/>
    <s v="http://www.youtube.com/channel/UCcjsNvQ5ybOhrxX4TQ35vtg"/>
    <m/>
    <s v="wadBvDPeE4E"/>
    <s v="https://www.youtube.com/watch?v=wadBvDPeE4E"/>
    <s v="none"/>
    <n v="0"/>
    <x v="74"/>
    <d v="2012-10-20T19:22:06.000"/>
    <m/>
    <m/>
    <s v=""/>
    <n v="1"/>
    <s v="1"/>
    <s v="1"/>
    <n v="0"/>
    <n v="0"/>
    <n v="2"/>
    <n v="6.896551724137931"/>
    <n v="0"/>
    <n v="0"/>
    <n v="27"/>
    <n v="93.10344827586206"/>
    <n v="29"/>
  </r>
  <r>
    <s v="UCzNGnhHx4GloytmXQxoi9LQ"/>
    <s v="UCvQECJukTDE2i6aCoMnS-Vg"/>
    <m/>
    <m/>
    <m/>
    <m/>
    <m/>
    <m/>
    <m/>
    <m/>
    <s v="No"/>
    <n v="78"/>
    <m/>
    <m/>
    <s v="Commented Video"/>
    <x v="0"/>
    <s v="Lmaooo, you&amp;#39;re probably one of those high school herbs that complain about people &amp;quot;labeling&amp;quot; you."/>
    <s v="UCzNGnhHx4GloytmXQxoi9LQ"/>
    <s v="Phantom Cooper"/>
    <s v="http://www.youtube.com/channel/UCzNGnhHx4GloytmXQxoi9LQ"/>
    <m/>
    <s v="wadBvDPeE4E"/>
    <s v="https://www.youtube.com/watch?v=wadBvDPeE4E"/>
    <s v="none"/>
    <n v="0"/>
    <x v="75"/>
    <d v="2012-10-20T19:24:39.000"/>
    <m/>
    <m/>
    <s v=""/>
    <n v="1"/>
    <s v="1"/>
    <s v="1"/>
    <n v="0"/>
    <n v="0"/>
    <n v="1"/>
    <n v="5.2631578947368425"/>
    <n v="0"/>
    <n v="0"/>
    <n v="18"/>
    <n v="94.73684210526316"/>
    <n v="19"/>
  </r>
  <r>
    <s v="UCTKClOWRmfua8LzwcClBsHQ"/>
    <s v="UCvQECJukTDE2i6aCoMnS-Vg"/>
    <m/>
    <m/>
    <m/>
    <m/>
    <m/>
    <m/>
    <m/>
    <m/>
    <s v="No"/>
    <n v="79"/>
    <m/>
    <m/>
    <s v="Commented Video"/>
    <x v="0"/>
    <s v="Move the prompt closer to the camera so its not as obvious when speakers look at it. I&amp;#39;m of the belief that it distracts the viewer and takes away from the speech."/>
    <s v="UCTKClOWRmfua8LzwcClBsHQ"/>
    <s v="yatayatayata"/>
    <s v="http://www.youtube.com/channel/UCTKClOWRmfua8LzwcClBsHQ"/>
    <m/>
    <s v="wadBvDPeE4E"/>
    <s v="https://www.youtube.com/watch?v=wadBvDPeE4E"/>
    <s v="none"/>
    <n v="0"/>
    <x v="76"/>
    <d v="2012-10-20T19:27:30.000"/>
    <m/>
    <m/>
    <s v=""/>
    <n v="1"/>
    <s v="1"/>
    <s v="1"/>
    <n v="1"/>
    <n v="2.9411764705882355"/>
    <n v="0"/>
    <n v="0"/>
    <n v="0"/>
    <n v="0"/>
    <n v="33"/>
    <n v="97.05882352941177"/>
    <n v="34"/>
  </r>
  <r>
    <s v="UCwqjRTk9ErnOhEoHVbUj8qQ"/>
    <s v="UCvQECJukTDE2i6aCoMnS-Vg"/>
    <m/>
    <m/>
    <m/>
    <m/>
    <m/>
    <m/>
    <m/>
    <m/>
    <s v="No"/>
    <n v="80"/>
    <m/>
    <m/>
    <s v="Commented Video"/>
    <x v="0"/>
    <s v="Metohodological :D_x000a_lol, error at 49:38 up to 49:50"/>
    <s v="UCwqjRTk9ErnOhEoHVbUj8qQ"/>
    <s v="Shu"/>
    <s v="http://www.youtube.com/channel/UCwqjRTk9ErnOhEoHVbUj8qQ"/>
    <m/>
    <s v="wadBvDPeE4E"/>
    <s v="https://www.youtube.com/watch?v=wadBvDPeE4E"/>
    <s v="none"/>
    <n v="0"/>
    <x v="77"/>
    <d v="2012-10-20T19:45:25.000"/>
    <m/>
    <m/>
    <s v=""/>
    <n v="1"/>
    <s v="1"/>
    <s v="1"/>
    <n v="0"/>
    <n v="0"/>
    <n v="1"/>
    <n v="9.090909090909092"/>
    <n v="0"/>
    <n v="0"/>
    <n v="10"/>
    <n v="90.9090909090909"/>
    <n v="11"/>
  </r>
  <r>
    <s v="UCS3kJcJij9JogEyHBlHLwfg"/>
    <s v="UCvQECJukTDE2i6aCoMnS-Vg"/>
    <m/>
    <m/>
    <m/>
    <m/>
    <m/>
    <m/>
    <m/>
    <m/>
    <s v="No"/>
    <n v="81"/>
    <m/>
    <m/>
    <s v="Commented Video"/>
    <x v="0"/>
    <s v="wow...BigThink just doesn&amp;#39;t give up on trying to justify collectivism &amp;amp; ignore individuality"/>
    <s v="UCS3kJcJij9JogEyHBlHLwfg"/>
    <s v="miketv"/>
    <s v="http://www.youtube.com/channel/UCS3kJcJij9JogEyHBlHLwfg"/>
    <m/>
    <s v="wadBvDPeE4E"/>
    <s v="https://www.youtube.com/watch?v=wadBvDPeE4E"/>
    <s v="none"/>
    <n v="0"/>
    <x v="78"/>
    <d v="2012-10-20T19:41:07.000"/>
    <m/>
    <m/>
    <s v=""/>
    <n v="2"/>
    <s v="1"/>
    <s v="1"/>
    <n v="1"/>
    <n v="6.25"/>
    <n v="1"/>
    <n v="6.25"/>
    <n v="0"/>
    <n v="0"/>
    <n v="14"/>
    <n v="87.5"/>
    <n v="16"/>
  </r>
  <r>
    <s v="UCS3kJcJij9JogEyHBlHLwfg"/>
    <s v="UCvQECJukTDE2i6aCoMnS-Vg"/>
    <m/>
    <m/>
    <m/>
    <m/>
    <m/>
    <m/>
    <m/>
    <m/>
    <s v="No"/>
    <n v="82"/>
    <m/>
    <m/>
    <s v="Commented Video"/>
    <x v="0"/>
    <s v="I don&amp;#39;t think commenting is necessarily &amp;quot;seeking social acceptance.&amp;quot; Plenty of people leave comments solely to piss off others. Some do it to leave a token that they were there (see: &amp;quot;FIRST!&amp;quot;). There are many more reasons, but these amply show the fallacy of your initial statement._x000a__x000a_Your argument failed to recognize intrinsic motives. It was locked in the autocentric (read: individualist) idea that everyone comments for the same reason you do. _x000a__x000a_Sorry...had to point out the hypocrisy._x000a_"/>
    <s v="UCS3kJcJij9JogEyHBlHLwfg"/>
    <s v="miketv"/>
    <s v="http://www.youtube.com/channel/UCS3kJcJij9JogEyHBlHLwfg"/>
    <m/>
    <s v="wadBvDPeE4E"/>
    <s v="https://www.youtube.com/watch?v=wadBvDPeE4E"/>
    <s v="none"/>
    <n v="0"/>
    <x v="79"/>
    <d v="2012-10-20T19:50:25.000"/>
    <m/>
    <m/>
    <s v=""/>
    <n v="2"/>
    <s v="1"/>
    <s v="1"/>
    <n v="1"/>
    <n v="1.1764705882352942"/>
    <n v="4"/>
    <n v="4.705882352941177"/>
    <n v="0"/>
    <n v="0"/>
    <n v="80"/>
    <n v="94.11764705882354"/>
    <n v="85"/>
  </r>
  <r>
    <s v="UC1RFEg9OTTkrdsrvJwn0SCw"/>
    <s v="UCvQECJukTDE2i6aCoMnS-Vg"/>
    <m/>
    <m/>
    <m/>
    <m/>
    <m/>
    <m/>
    <m/>
    <m/>
    <s v="No"/>
    <n v="83"/>
    <m/>
    <m/>
    <s v="Commented Video"/>
    <x v="0"/>
    <s v="Loving these hour lectures Big Think. Brilliant topics by brilliant people! "/>
    <s v="UC1RFEg9OTTkrdsrvJwn0SCw"/>
    <s v="northandover"/>
    <s v="http://www.youtube.com/channel/UC1RFEg9OTTkrdsrvJwn0SCw"/>
    <m/>
    <s v="wadBvDPeE4E"/>
    <s v="https://www.youtube.com/watch?v=wadBvDPeE4E"/>
    <s v="none"/>
    <n v="4"/>
    <x v="80"/>
    <d v="2012-10-20T19:55:27.000"/>
    <m/>
    <m/>
    <s v=""/>
    <n v="1"/>
    <s v="1"/>
    <s v="1"/>
    <n v="3"/>
    <n v="27.272727272727273"/>
    <n v="0"/>
    <n v="0"/>
    <n v="0"/>
    <n v="0"/>
    <n v="8"/>
    <n v="72.72727272727273"/>
    <n v="11"/>
  </r>
  <r>
    <s v="UCs3P7y7CS0yF7RpLONNwWUw"/>
    <s v="UCvQECJukTDE2i6aCoMnS-Vg"/>
    <m/>
    <m/>
    <m/>
    <m/>
    <m/>
    <m/>
    <m/>
    <m/>
    <s v="No"/>
    <n v="84"/>
    <m/>
    <m/>
    <s v="Commented Video"/>
    <x v="0"/>
    <s v="You&amp;#39;re following the others who try to not fit it. You&amp;#39;re a conformist of non-conformists."/>
    <s v="UCs3P7y7CS0yF7RpLONNwWUw"/>
    <s v="RustyShackleford"/>
    <s v="http://www.youtube.com/channel/UCs3P7y7CS0yF7RpLONNwWUw"/>
    <m/>
    <s v="wadBvDPeE4E"/>
    <s v="https://www.youtube.com/watch?v=wadBvDPeE4E"/>
    <s v="none"/>
    <n v="0"/>
    <x v="81"/>
    <d v="2012-10-20T19:56:18.000"/>
    <m/>
    <m/>
    <s v=""/>
    <n v="1"/>
    <s v="1"/>
    <s v="1"/>
    <n v="0"/>
    <n v="0"/>
    <n v="0"/>
    <n v="0"/>
    <n v="0"/>
    <n v="0"/>
    <n v="20"/>
    <n v="100"/>
    <n v="20"/>
  </r>
  <r>
    <s v="UC0Dz0Z2yd3Jk9madzcmf4EQ"/>
    <s v="UCvQECJukTDE2i6aCoMnS-Vg"/>
    <m/>
    <m/>
    <m/>
    <m/>
    <m/>
    <m/>
    <m/>
    <m/>
    <s v="No"/>
    <n v="85"/>
    <m/>
    <m/>
    <s v="Commented Video"/>
    <x v="0"/>
    <s v="half-way through this i realised it was an hour long wtf"/>
    <s v="UC0Dz0Z2yd3Jk9madzcmf4EQ"/>
    <s v="severuxtrololo"/>
    <s v="http://www.youtube.com/channel/UC0Dz0Z2yd3Jk9madzcmf4EQ"/>
    <m/>
    <s v="wadBvDPeE4E"/>
    <s v="https://www.youtube.com/watch?v=wadBvDPeE4E"/>
    <s v="none"/>
    <n v="0"/>
    <x v="82"/>
    <d v="2012-10-20T20:02:24.000"/>
    <m/>
    <m/>
    <s v=""/>
    <n v="1"/>
    <s v="1"/>
    <s v="1"/>
    <n v="0"/>
    <n v="0"/>
    <n v="0"/>
    <n v="0"/>
    <n v="0"/>
    <n v="0"/>
    <n v="12"/>
    <n v="100"/>
    <n v="12"/>
  </r>
  <r>
    <s v="UCq4VnrOhYuN2IdwITTdQkDw"/>
    <s v="UCvQECJukTDE2i6aCoMnS-Vg"/>
    <m/>
    <m/>
    <m/>
    <m/>
    <m/>
    <m/>
    <m/>
    <m/>
    <s v="No"/>
    <n v="86"/>
    <m/>
    <m/>
    <s v="Commented Video"/>
    <x v="0"/>
    <s v="Sure, but no form of media will give you a degree that will help you find good work in the field."/>
    <s v="UCq4VnrOhYuN2IdwITTdQkDw"/>
    <s v="StavroginNikolai"/>
    <s v="http://www.youtube.com/channel/UCq4VnrOhYuN2IdwITTdQkDw"/>
    <m/>
    <s v="wadBvDPeE4E"/>
    <s v="https://www.youtube.com/watch?v=wadBvDPeE4E"/>
    <s v="none"/>
    <n v="0"/>
    <x v="83"/>
    <d v="2012-10-20T15:24:33.000"/>
    <m/>
    <m/>
    <s v=""/>
    <n v="2"/>
    <s v="1"/>
    <s v="1"/>
    <n v="2"/>
    <n v="9.523809523809524"/>
    <n v="0"/>
    <n v="0"/>
    <n v="0"/>
    <n v="0"/>
    <n v="19"/>
    <n v="90.47619047619048"/>
    <n v="21"/>
  </r>
  <r>
    <s v="UCq4VnrOhYuN2IdwITTdQkDw"/>
    <s v="UCvQECJukTDE2i6aCoMnS-Vg"/>
    <m/>
    <m/>
    <m/>
    <m/>
    <m/>
    <m/>
    <m/>
    <m/>
    <s v="No"/>
    <n v="87"/>
    <m/>
    <m/>
    <s v="Commented Video"/>
    <x v="0"/>
    <s v="I couldn&amp;#39;t agree more - I have a degree in engineering but I pursued a different career altogether. However, we have to function within society and a degree is society&amp;#39;s way of proving expertise (I use that term very loosely) in something."/>
    <s v="UCq4VnrOhYuN2IdwITTdQkDw"/>
    <s v="StavroginNikolai"/>
    <s v="http://www.youtube.com/channel/UCq4VnrOhYuN2IdwITTdQkDw"/>
    <m/>
    <s v="wadBvDPeE4E"/>
    <s v="https://www.youtube.com/watch?v=wadBvDPeE4E"/>
    <s v="none"/>
    <n v="0"/>
    <x v="84"/>
    <d v="2012-10-20T20:03:09.000"/>
    <m/>
    <m/>
    <s v=""/>
    <n v="2"/>
    <s v="1"/>
    <s v="1"/>
    <n v="1"/>
    <n v="2.2222222222222223"/>
    <n v="0"/>
    <n v="0"/>
    <n v="0"/>
    <n v="0"/>
    <n v="44"/>
    <n v="97.77777777777777"/>
    <n v="45"/>
  </r>
  <r>
    <s v="UC3Z92jD5KxL5ll7cW9eR94Q"/>
    <s v="UCvQECJukTDE2i6aCoMnS-Vg"/>
    <m/>
    <m/>
    <m/>
    <m/>
    <m/>
    <m/>
    <m/>
    <m/>
    <s v="No"/>
    <n v="88"/>
    <m/>
    <m/>
    <s v="Commented Video"/>
    <x v="0"/>
    <s v="These videos are a great way for me to practice taking notes during lectures before college."/>
    <s v="UC3Z92jD5KxL5ll7cW9eR94Q"/>
    <s v="daglout"/>
    <s v="http://www.youtube.com/channel/UC3Z92jD5KxL5ll7cW9eR94Q"/>
    <m/>
    <s v="wadBvDPeE4E"/>
    <s v="https://www.youtube.com/watch?v=wadBvDPeE4E"/>
    <s v="none"/>
    <n v="2"/>
    <x v="85"/>
    <d v="2012-10-20T20:07:12.000"/>
    <m/>
    <m/>
    <s v=""/>
    <n v="1"/>
    <s v="1"/>
    <s v="1"/>
    <n v="1"/>
    <n v="6.25"/>
    <n v="0"/>
    <n v="0"/>
    <n v="0"/>
    <n v="0"/>
    <n v="15"/>
    <n v="93.75"/>
    <n v="16"/>
  </r>
  <r>
    <s v="UCKdZVIR5_xlawOW-gFludbA"/>
    <s v="UCvQECJukTDE2i6aCoMnS-Vg"/>
    <m/>
    <m/>
    <m/>
    <m/>
    <m/>
    <m/>
    <m/>
    <m/>
    <s v="No"/>
    <n v="89"/>
    <m/>
    <m/>
    <s v="Commented Video"/>
    <x v="0"/>
    <s v="We don&amp;#39;t all have a group mentality, having to be follower or leader. Surely I&amp;#39;m not alone in thinking this; who&amp;#39;s with me!?!"/>
    <s v="UCKdZVIR5_xlawOW-gFludbA"/>
    <s v="Truthiness231"/>
    <s v="http://www.youtube.com/channel/UCKdZVIR5_xlawOW-gFludbA"/>
    <m/>
    <s v="wadBvDPeE4E"/>
    <s v="https://www.youtube.com/watch?v=wadBvDPeE4E"/>
    <s v="none"/>
    <n v="0"/>
    <x v="86"/>
    <d v="2012-10-20T20:15:59.000"/>
    <m/>
    <m/>
    <s v=""/>
    <n v="1"/>
    <s v="1"/>
    <s v="1"/>
    <n v="0"/>
    <n v="0"/>
    <n v="0"/>
    <n v="0"/>
    <n v="0"/>
    <n v="0"/>
    <n v="29"/>
    <n v="100"/>
    <n v="29"/>
  </r>
  <r>
    <s v="UCoppdEzz15CEiXMiO5idh7A"/>
    <s v="UCvQECJukTDE2i6aCoMnS-Vg"/>
    <m/>
    <m/>
    <m/>
    <m/>
    <m/>
    <m/>
    <m/>
    <m/>
    <s v="No"/>
    <n v="90"/>
    <m/>
    <m/>
    <s v="Commented Video"/>
    <x v="0"/>
    <s v="if he didnt want social acceptance he wouldnt speak at all well put!"/>
    <s v="UCoppdEzz15CEiXMiO5idh7A"/>
    <s v="alienfetusllc"/>
    <s v="http://www.youtube.com/channel/UCoppdEzz15CEiXMiO5idh7A"/>
    <m/>
    <s v="wadBvDPeE4E"/>
    <s v="https://www.youtube.com/watch?v=wadBvDPeE4E"/>
    <s v="none"/>
    <n v="0"/>
    <x v="87"/>
    <d v="2012-10-20T20:23:01.000"/>
    <m/>
    <m/>
    <s v=""/>
    <n v="1"/>
    <s v="1"/>
    <s v="1"/>
    <n v="1"/>
    <n v="7.6923076923076925"/>
    <n v="0"/>
    <n v="0"/>
    <n v="0"/>
    <n v="0"/>
    <n v="12"/>
    <n v="92.3076923076923"/>
    <n v="13"/>
  </r>
  <r>
    <s v="UCCoIMMcJ4llQn9jwl7efsZA"/>
    <s v="UCvQECJukTDE2i6aCoMnS-Vg"/>
    <m/>
    <m/>
    <m/>
    <m/>
    <m/>
    <m/>
    <m/>
    <m/>
    <s v="No"/>
    <n v="91"/>
    <m/>
    <m/>
    <s v="Commented Video"/>
    <x v="0"/>
    <s v="It&amp;#39;s simple true that when you&amp;#39;re part of any society you&amp;#39;re not free, but you&amp;#39;re safer and the other way around."/>
    <s v="UCCoIMMcJ4llQn9jwl7efsZA"/>
    <s v="justsharki"/>
    <s v="http://www.youtube.com/channel/UCCoIMMcJ4llQn9jwl7efsZA"/>
    <m/>
    <s v="wadBvDPeE4E"/>
    <s v="https://www.youtube.com/watch?v=wadBvDPeE4E"/>
    <s v="none"/>
    <n v="0"/>
    <x v="88"/>
    <d v="2012-10-20T20:26:28.000"/>
    <m/>
    <m/>
    <s v=""/>
    <n v="1"/>
    <s v="1"/>
    <s v="1"/>
    <n v="1"/>
    <n v="3.4482758620689653"/>
    <n v="0"/>
    <n v="0"/>
    <n v="0"/>
    <n v="0"/>
    <n v="28"/>
    <n v="96.55172413793103"/>
    <n v="29"/>
  </r>
  <r>
    <s v="UCFufvdhbQ9oOSsEpp9de5SQ"/>
    <s v="UCvQECJukTDE2i6aCoMnS-Vg"/>
    <m/>
    <m/>
    <m/>
    <m/>
    <m/>
    <m/>
    <m/>
    <m/>
    <s v="No"/>
    <n v="92"/>
    <m/>
    <m/>
    <s v="Commented Video"/>
    <x v="0"/>
    <s v="Let me get this straight.  You&amp;#39;re proud of judging a video by it&amp;#39;s title alone?  Wow....that&amp;#39;s genuinely stupid."/>
    <s v="UCFufvdhbQ9oOSsEpp9de5SQ"/>
    <s v="t3tsuyaguy1"/>
    <s v="http://www.youtube.com/channel/UCFufvdhbQ9oOSsEpp9de5SQ"/>
    <m/>
    <s v="wadBvDPeE4E"/>
    <s v="https://www.youtube.com/watch?v=wadBvDPeE4E"/>
    <s v="none"/>
    <n v="0"/>
    <x v="89"/>
    <d v="2012-10-20T19:21:06.000"/>
    <m/>
    <m/>
    <s v=""/>
    <n v="3"/>
    <s v="1"/>
    <s v="1"/>
    <n v="2"/>
    <n v="8"/>
    <n v="1"/>
    <n v="4"/>
    <n v="0"/>
    <n v="0"/>
    <n v="22"/>
    <n v="88"/>
    <n v="25"/>
  </r>
  <r>
    <s v="UCFufvdhbQ9oOSsEpp9de5SQ"/>
    <s v="UCvQECJukTDE2i6aCoMnS-Vg"/>
    <m/>
    <m/>
    <m/>
    <m/>
    <m/>
    <m/>
    <m/>
    <m/>
    <s v="No"/>
    <n v="93"/>
    <m/>
    <m/>
    <s v="Commented Video"/>
    <x v="0"/>
    <s v="&amp;quot;Suicide is a permanent solution to a temporary problem.&amp;quot;  I don&amp;#39;t know who first said that, but I think it&amp;#39;s true.  I don&amp;#39;t know why a put the knife down.  I really don&amp;#39;t.  When I picked it up, I felt relieved that the pain was going to be over.  Somewhere before I actually put it to my flesh I froze, and I didn&amp;#39;t think it was a good idea anymore.  I don&amp;#39;t know why.  I think I&amp;#39;m just lucky.  Later things got better.  Much better.  I think I&amp;#39;m very lucky."/>
    <s v="UCFufvdhbQ9oOSsEpp9de5SQ"/>
    <s v="t3tsuyaguy1"/>
    <s v="http://www.youtube.com/channel/UCFufvdhbQ9oOSsEpp9de5SQ"/>
    <m/>
    <s v="wadBvDPeE4E"/>
    <s v="https://www.youtube.com/watch?v=wadBvDPeE4E"/>
    <s v="none"/>
    <n v="0"/>
    <x v="90"/>
    <d v="2012-10-20T19:31:54.000"/>
    <m/>
    <m/>
    <s v=""/>
    <n v="3"/>
    <s v="1"/>
    <s v="1"/>
    <n v="5"/>
    <n v="4.62962962962963"/>
    <n v="5"/>
    <n v="4.62962962962963"/>
    <n v="0"/>
    <n v="0"/>
    <n v="98"/>
    <n v="90.74074074074075"/>
    <n v="108"/>
  </r>
  <r>
    <s v="UCFufvdhbQ9oOSsEpp9de5SQ"/>
    <s v="UCvQECJukTDE2i6aCoMnS-Vg"/>
    <m/>
    <m/>
    <m/>
    <m/>
    <m/>
    <m/>
    <m/>
    <m/>
    <s v="No"/>
    <n v="94"/>
    <m/>
    <m/>
    <s v="Commented Video"/>
    <x v="0"/>
    <s v="No. Absolutely not. You grossly misunderstood._x000a__x000a_I was only lucky I didn&amp;#39;t kill myself._x000a__x000a_My life got better through hard work and making good choices.  In that regard, I haven&amp;#39;t been lucky at all.  Almost nothing went as planned, and I had to buckle down and fight to get everything I have, pushing myself right to the edge of physical and mental capacity for over a decade.  My happiness isn&amp;#39;t luck in any sense of the word.  I carved it out of the bullshit miasma of my circumstance.  I earned it."/>
    <s v="UCFufvdhbQ9oOSsEpp9de5SQ"/>
    <s v="t3tsuyaguy1"/>
    <s v="http://www.youtube.com/channel/UCFufvdhbQ9oOSsEpp9de5SQ"/>
    <m/>
    <s v="wadBvDPeE4E"/>
    <s v="https://www.youtube.com/watch?v=wadBvDPeE4E"/>
    <s v="none"/>
    <n v="0"/>
    <x v="91"/>
    <d v="2012-10-20T20:32:45.000"/>
    <m/>
    <m/>
    <s v=""/>
    <n v="3"/>
    <s v="1"/>
    <s v="1"/>
    <n v="9"/>
    <n v="9.278350515463918"/>
    <n v="6"/>
    <n v="6.185567010309279"/>
    <n v="0"/>
    <n v="0"/>
    <n v="82"/>
    <n v="84.5360824742268"/>
    <n v="97"/>
  </r>
  <r>
    <s v="UC9A52USZMcDhwqdOsHJBLdA"/>
    <s v="UCvQECJukTDE2i6aCoMnS-Vg"/>
    <m/>
    <m/>
    <m/>
    <m/>
    <m/>
    <m/>
    <m/>
    <m/>
    <s v="No"/>
    <n v="95"/>
    <m/>
    <m/>
    <s v="Commented Video"/>
    <x v="0"/>
    <s v="23 unhappy, ignorant bastards dislike this video, amazing."/>
    <s v="UC9A52USZMcDhwqdOsHJBLdA"/>
    <s v="Jonathan Acosta"/>
    <s v="http://www.youtube.com/channel/UC9A52USZMcDhwqdOsHJBLdA"/>
    <m/>
    <s v="wadBvDPeE4E"/>
    <s v="https://www.youtube.com/watch?v=wadBvDPeE4E"/>
    <s v="none"/>
    <n v="0"/>
    <x v="92"/>
    <d v="2012-10-20T20:47:10.000"/>
    <m/>
    <m/>
    <s v=""/>
    <n v="1"/>
    <s v="1"/>
    <s v="1"/>
    <n v="1"/>
    <n v="12.5"/>
    <n v="4"/>
    <n v="50"/>
    <n v="0"/>
    <n v="0"/>
    <n v="3"/>
    <n v="37.5"/>
    <n v="8"/>
  </r>
  <r>
    <s v="UCVmJY1uho-bA_lofr8djVJA"/>
    <s v="UCvQECJukTDE2i6aCoMnS-Vg"/>
    <m/>
    <m/>
    <m/>
    <m/>
    <m/>
    <m/>
    <m/>
    <m/>
    <s v="No"/>
    <n v="96"/>
    <m/>
    <m/>
    <s v="Commented Video"/>
    <x v="0"/>
    <s v="are you subscribed to bigthink?_x000a_"/>
    <s v="UCVmJY1uho-bA_lofr8djVJA"/>
    <s v="Phillie103"/>
    <s v="http://www.youtube.com/channel/UCVmJY1uho-bA_lofr8djVJA"/>
    <m/>
    <s v="wadBvDPeE4E"/>
    <s v="https://www.youtube.com/watch?v=wadBvDPeE4E"/>
    <s v="none"/>
    <n v="0"/>
    <x v="93"/>
    <d v="2012-10-20T20:50:06.000"/>
    <m/>
    <m/>
    <s v=""/>
    <n v="1"/>
    <s v="1"/>
    <s v="1"/>
    <n v="0"/>
    <n v="0"/>
    <n v="0"/>
    <n v="0"/>
    <n v="0"/>
    <n v="0"/>
    <n v="5"/>
    <n v="100"/>
    <n v="5"/>
  </r>
  <r>
    <s v="UCJkq6kQK2Xwng9aROec3P5Q"/>
    <s v="UCvQECJukTDE2i6aCoMnS-Vg"/>
    <m/>
    <m/>
    <m/>
    <m/>
    <m/>
    <m/>
    <m/>
    <m/>
    <s v="No"/>
    <n v="97"/>
    <m/>
    <m/>
    <s v="Commented Video"/>
    <x v="0"/>
    <s v="I fucking love this 1 hour segments.So good."/>
    <s v="UCJkq6kQK2Xwng9aROec3P5Q"/>
    <s v="Susano19"/>
    <s v="http://www.youtube.com/channel/UCJkq6kQK2Xwng9aROec3P5Q"/>
    <m/>
    <s v="wadBvDPeE4E"/>
    <s v="https://www.youtube.com/watch?v=wadBvDPeE4E"/>
    <s v="none"/>
    <n v="0"/>
    <x v="94"/>
    <d v="2012-10-20T20:52:25.000"/>
    <m/>
    <m/>
    <s v=""/>
    <n v="1"/>
    <s v="1"/>
    <s v="1"/>
    <n v="2"/>
    <n v="22.22222222222222"/>
    <n v="1"/>
    <n v="11.11111111111111"/>
    <n v="0"/>
    <n v="0"/>
    <n v="6"/>
    <n v="66.66666666666667"/>
    <n v="9"/>
  </r>
  <r>
    <s v="UCvEQYyis-vvepurg0Nbys_Q"/>
    <s v="UCvQECJukTDE2i6aCoMnS-Vg"/>
    <m/>
    <m/>
    <m/>
    <m/>
    <m/>
    <m/>
    <m/>
    <m/>
    <s v="No"/>
    <n v="98"/>
    <m/>
    <m/>
    <s v="Commented Video"/>
    <x v="0"/>
    <s v="DAMMIT! I already am a psychology student, so this is all familiar! &amp;gt;:("/>
    <s v="UCvEQYyis-vvepurg0Nbys_Q"/>
    <s v="Ancor3"/>
    <s v="http://www.youtube.com/channel/UCvEQYyis-vvepurg0Nbys_Q"/>
    <m/>
    <s v="wadBvDPeE4E"/>
    <s v="https://www.youtube.com/watch?v=wadBvDPeE4E"/>
    <s v="none"/>
    <n v="1"/>
    <x v="95"/>
    <d v="2012-10-20T14:25:18.000"/>
    <m/>
    <m/>
    <s v=""/>
    <n v="5"/>
    <s v="1"/>
    <s v="1"/>
    <n v="0"/>
    <n v="0"/>
    <n v="0"/>
    <n v="0"/>
    <n v="0"/>
    <n v="0"/>
    <n v="13"/>
    <n v="100"/>
    <n v="13"/>
  </r>
  <r>
    <s v="UCvEQYyis-vvepurg0Nbys_Q"/>
    <s v="UCvQECJukTDE2i6aCoMnS-Vg"/>
    <m/>
    <m/>
    <m/>
    <m/>
    <m/>
    <m/>
    <m/>
    <m/>
    <s v="No"/>
    <n v="99"/>
    <m/>
    <m/>
    <s v="Commented Video"/>
    <x v="0"/>
    <s v="You are not helping! &amp;gt;:("/>
    <s v="UCvEQYyis-vvepurg0Nbys_Q"/>
    <s v="Ancor3"/>
    <s v="http://www.youtube.com/channel/UCvEQYyis-vvepurg0Nbys_Q"/>
    <m/>
    <s v="wadBvDPeE4E"/>
    <s v="https://www.youtube.com/watch?v=wadBvDPeE4E"/>
    <s v="none"/>
    <n v="0"/>
    <x v="96"/>
    <d v="2012-10-20T14:40:59.000"/>
    <m/>
    <m/>
    <s v=""/>
    <n v="5"/>
    <s v="1"/>
    <s v="1"/>
    <n v="1"/>
    <n v="20"/>
    <n v="0"/>
    <n v="0"/>
    <n v="0"/>
    <n v="0"/>
    <n v="4"/>
    <n v="80"/>
    <n v="5"/>
  </r>
  <r>
    <s v="UCvEQYyis-vvepurg0Nbys_Q"/>
    <s v="UCvQECJukTDE2i6aCoMnS-Vg"/>
    <m/>
    <m/>
    <m/>
    <m/>
    <m/>
    <m/>
    <m/>
    <m/>
    <s v="No"/>
    <n v="100"/>
    <m/>
    <m/>
    <s v="Commented Video"/>
    <x v="0"/>
    <s v="Dammit people, YOU ARE NOT HELPING! &amp;gt;:("/>
    <s v="UCvEQYyis-vvepurg0Nbys_Q"/>
    <s v="Ancor3"/>
    <s v="http://www.youtube.com/channel/UCvEQYyis-vvepurg0Nbys_Q"/>
    <m/>
    <s v="wadBvDPeE4E"/>
    <s v="https://www.youtube.com/watch?v=wadBvDPeE4E"/>
    <s v="none"/>
    <n v="0"/>
    <x v="97"/>
    <d v="2012-10-20T14:59:14.000"/>
    <m/>
    <m/>
    <s v=""/>
    <n v="5"/>
    <s v="1"/>
    <s v="1"/>
    <n v="1"/>
    <n v="14.285714285714286"/>
    <n v="0"/>
    <n v="0"/>
    <n v="0"/>
    <n v="0"/>
    <n v="6"/>
    <n v="85.71428571428571"/>
    <n v="7"/>
  </r>
  <r>
    <s v="UCvEQYyis-vvepurg0Nbys_Q"/>
    <s v="UCvQECJukTDE2i6aCoMnS-Vg"/>
    <m/>
    <m/>
    <m/>
    <m/>
    <m/>
    <m/>
    <m/>
    <m/>
    <s v="No"/>
    <n v="101"/>
    <m/>
    <m/>
    <s v="Commented Video"/>
    <x v="0"/>
    <s v="If you&amp;#39;re strongly interested in psychology, yes, it&amp;#39;s worth it. You have a lot of options within the study and afterwards like clinical, social and educational psychology etc (I&amp;#39;m personally a neuro-psychology student) so you&amp;#39;ll probably find something that suits you._x000a_Having a basic understanding of biology helps and ofcourse being open-minded and interpersonal. And you&amp;#39;ll have to read A LOT!"/>
    <s v="UCvEQYyis-vvepurg0Nbys_Q"/>
    <s v="Ancor3"/>
    <s v="http://www.youtube.com/channel/UCvEQYyis-vvepurg0Nbys_Q"/>
    <m/>
    <s v="wadBvDPeE4E"/>
    <s v="https://www.youtube.com/watch?v=wadBvDPeE4E"/>
    <s v="none"/>
    <n v="0"/>
    <x v="98"/>
    <d v="2012-10-20T15:01:19.000"/>
    <m/>
    <m/>
    <s v=""/>
    <n v="5"/>
    <s v="1"/>
    <s v="1"/>
    <n v="2"/>
    <n v="2.73972602739726"/>
    <n v="0"/>
    <n v="0"/>
    <n v="0"/>
    <n v="0"/>
    <n v="71"/>
    <n v="97.26027397260275"/>
    <n v="73"/>
  </r>
  <r>
    <s v="UCvEQYyis-vvepurg0Nbys_Q"/>
    <s v="UCvQECJukTDE2i6aCoMnS-Vg"/>
    <m/>
    <m/>
    <m/>
    <m/>
    <m/>
    <m/>
    <m/>
    <m/>
    <s v="No"/>
    <n v="102"/>
    <m/>
    <m/>
    <s v="Commented Video"/>
    <x v="0"/>
    <s v="9/10 Troll"/>
    <s v="UCvEQYyis-vvepurg0Nbys_Q"/>
    <s v="Ancor3"/>
    <s v="http://www.youtube.com/channel/UCvEQYyis-vvepurg0Nbys_Q"/>
    <m/>
    <s v="wadBvDPeE4E"/>
    <s v="https://www.youtube.com/watch?v=wadBvDPeE4E"/>
    <s v="none"/>
    <n v="0"/>
    <x v="99"/>
    <d v="2012-10-20T21:01:13.000"/>
    <m/>
    <m/>
    <s v=""/>
    <n v="5"/>
    <s v="1"/>
    <s v="1"/>
    <n v="0"/>
    <n v="0"/>
    <n v="0"/>
    <n v="0"/>
    <n v="0"/>
    <n v="0"/>
    <n v="3"/>
    <n v="100"/>
    <n v="3"/>
  </r>
  <r>
    <s v="UChcsUKOjIQn3EN-ixotwjNQ"/>
    <s v="UCvQECJukTDE2i6aCoMnS-Vg"/>
    <m/>
    <m/>
    <m/>
    <m/>
    <m/>
    <m/>
    <m/>
    <m/>
    <s v="No"/>
    <n v="103"/>
    <m/>
    <m/>
    <s v="Commented Video"/>
    <x v="0"/>
    <s v="I skipped class to operate on kids... lol sounds so messed up out of context "/>
    <s v="UChcsUKOjIQn3EN-ixotwjNQ"/>
    <s v="Jehss"/>
    <s v="http://www.youtube.com/channel/UChcsUKOjIQn3EN-ixotwjNQ"/>
    <m/>
    <s v="wadBvDPeE4E"/>
    <s v="https://www.youtube.com/watch?v=wadBvDPeE4E"/>
    <s v="none"/>
    <n v="0"/>
    <x v="100"/>
    <d v="2012-10-20T21:14:40.000"/>
    <m/>
    <m/>
    <s v=""/>
    <n v="1"/>
    <s v="1"/>
    <s v="1"/>
    <n v="0"/>
    <n v="0"/>
    <n v="1"/>
    <n v="6.666666666666667"/>
    <n v="0"/>
    <n v="0"/>
    <n v="14"/>
    <n v="93.33333333333333"/>
    <n v="15"/>
  </r>
  <r>
    <s v="UCUNy-W4ExRBhmCbCR9dB97A"/>
    <s v="UCvQECJukTDE2i6aCoMnS-Vg"/>
    <m/>
    <m/>
    <m/>
    <m/>
    <m/>
    <m/>
    <m/>
    <m/>
    <s v="No"/>
    <n v="104"/>
    <m/>
    <m/>
    <s v="Commented Video"/>
    <x v="0"/>
    <s v="Comparing the different assembly of carbon atoms that create graphite vs diamonds to different assemblies of social networks that create different properties is GENIUS!!!  "/>
    <s v="UCUNy-W4ExRBhmCbCR9dB97A"/>
    <s v="fothinator"/>
    <s v="http://www.youtube.com/channel/UCUNy-W4ExRBhmCbCR9dB97A"/>
    <m/>
    <s v="wadBvDPeE4E"/>
    <s v="https://www.youtube.com/watch?v=wadBvDPeE4E"/>
    <s v="none"/>
    <n v="0"/>
    <x v="101"/>
    <d v="2012-10-20T21:21:40.000"/>
    <m/>
    <m/>
    <s v=""/>
    <n v="1"/>
    <s v="1"/>
    <s v="1"/>
    <n v="1"/>
    <n v="4.166666666666667"/>
    <n v="0"/>
    <n v="0"/>
    <n v="0"/>
    <n v="0"/>
    <n v="23"/>
    <n v="95.83333333333333"/>
    <n v="24"/>
  </r>
  <r>
    <s v="UCV7dUT5Zv3ymhtQKEIkKbhg"/>
    <s v="UCvQECJukTDE2i6aCoMnS-Vg"/>
    <m/>
    <m/>
    <m/>
    <m/>
    <m/>
    <m/>
    <m/>
    <m/>
    <s v="No"/>
    <n v="105"/>
    <m/>
    <m/>
    <s v="Commented Video"/>
    <x v="0"/>
    <s v="The answer is simple, apply mud to the wounds."/>
    <s v="UCV7dUT5Zv3ymhtQKEIkKbhg"/>
    <s v="Mandela Scipio"/>
    <s v="http://www.youtube.com/channel/UCV7dUT5Zv3ymhtQKEIkKbhg"/>
    <m/>
    <s v="wadBvDPeE4E"/>
    <s v="https://www.youtube.com/watch?v=wadBvDPeE4E"/>
    <s v="none"/>
    <n v="0"/>
    <x v="102"/>
    <d v="2012-10-20T21:26:01.000"/>
    <m/>
    <m/>
    <s v=""/>
    <n v="1"/>
    <s v="1"/>
    <s v="1"/>
    <n v="0"/>
    <n v="0"/>
    <n v="1"/>
    <n v="11.11111111111111"/>
    <n v="0"/>
    <n v="0"/>
    <n v="8"/>
    <n v="88.88888888888889"/>
    <n v="9"/>
  </r>
  <r>
    <s v="UC_6DgXMGiqWvMAc3BNqkAvA"/>
    <s v="UCvQECJukTDE2i6aCoMnS-Vg"/>
    <m/>
    <m/>
    <m/>
    <m/>
    <m/>
    <m/>
    <m/>
    <m/>
    <s v="No"/>
    <n v="106"/>
    <m/>
    <m/>
    <s v="Commented Video"/>
    <x v="0"/>
    <s v="Good video. I like how there is an increase in intellectual material on youtube. "/>
    <s v="UC_6DgXMGiqWvMAc3BNqkAvA"/>
    <s v="Jake"/>
    <s v="http://www.youtube.com/channel/UC_6DgXMGiqWvMAc3BNqkAvA"/>
    <m/>
    <s v="wadBvDPeE4E"/>
    <s v="https://www.youtube.com/watch?v=wadBvDPeE4E"/>
    <s v="none"/>
    <n v="2"/>
    <x v="103"/>
    <d v="2012-10-20T21:27:50.000"/>
    <m/>
    <m/>
    <s v=""/>
    <n v="1"/>
    <s v="1"/>
    <s v="1"/>
    <n v="2"/>
    <n v="14.285714285714286"/>
    <n v="0"/>
    <n v="0"/>
    <n v="0"/>
    <n v="0"/>
    <n v="12"/>
    <n v="85.71428571428571"/>
    <n v="14"/>
  </r>
  <r>
    <s v="UCAwS---SMb4W58j0U6MscFw"/>
    <s v="UCvQECJukTDE2i6aCoMnS-Vg"/>
    <m/>
    <m/>
    <m/>
    <m/>
    <m/>
    <m/>
    <m/>
    <m/>
    <s v="No"/>
    <n v="107"/>
    <m/>
    <m/>
    <s v="Commented Video"/>
    <x v="0"/>
    <s v="Trolling someone means you DO seek acceptance, you want them to engage u for it, or want a response. We piss someone off wanting them to retaliate in some form, just like people love dramas and such. Same concept"/>
    <s v="UCAwS---SMb4W58j0U6MscFw"/>
    <s v="Derek"/>
    <s v="http://www.youtube.com/channel/UCAwS---SMb4W58j0U6MscFw"/>
    <m/>
    <s v="wadBvDPeE4E"/>
    <s v="https://www.youtube.com/watch?v=wadBvDPeE4E"/>
    <s v="none"/>
    <n v="0"/>
    <x v="104"/>
    <d v="2012-10-20T21:40:09.000"/>
    <m/>
    <m/>
    <s v=""/>
    <n v="1"/>
    <s v="1"/>
    <s v="1"/>
    <n v="2"/>
    <n v="5.128205128205129"/>
    <n v="1"/>
    <n v="2.5641025641025643"/>
    <n v="0"/>
    <n v="0"/>
    <n v="36"/>
    <n v="92.3076923076923"/>
    <n v="39"/>
  </r>
  <r>
    <s v="UCnBCrWFGwSo0iw57PmtgXOQ"/>
    <s v="UCvQECJukTDE2i6aCoMnS-Vg"/>
    <m/>
    <m/>
    <m/>
    <m/>
    <m/>
    <m/>
    <m/>
    <m/>
    <s v="No"/>
    <n v="108"/>
    <m/>
    <m/>
    <s v="Commented Video"/>
    <x v="0"/>
    <s v="wank wank wank blah blah wank wank"/>
    <s v="UCnBCrWFGwSo0iw57PmtgXOQ"/>
    <s v="SaltyBrains"/>
    <s v="http://www.youtube.com/channel/UCnBCrWFGwSo0iw57PmtgXOQ"/>
    <m/>
    <s v="wadBvDPeE4E"/>
    <s v="https://www.youtube.com/watch?v=wadBvDPeE4E"/>
    <s v="none"/>
    <n v="0"/>
    <x v="105"/>
    <d v="2012-10-20T21:45:29.000"/>
    <m/>
    <m/>
    <s v=""/>
    <n v="1"/>
    <s v="1"/>
    <s v="1"/>
    <n v="0"/>
    <n v="0"/>
    <n v="2"/>
    <n v="28.571428571428573"/>
    <n v="0"/>
    <n v="0"/>
    <n v="5"/>
    <n v="71.42857142857143"/>
    <n v="7"/>
  </r>
  <r>
    <s v="UCQeHyoOmC4fF7wKK0qbbwWw"/>
    <s v="UCvQECJukTDE2i6aCoMnS-Vg"/>
    <m/>
    <m/>
    <m/>
    <m/>
    <m/>
    <m/>
    <m/>
    <m/>
    <s v="No"/>
    <n v="109"/>
    <m/>
    <m/>
    <s v="Commented Video"/>
    <x v="0"/>
    <s v="Damn it, at the end I realized that I heard physicist and scientist _x000a_stead!!"/>
    <s v="UCQeHyoOmC4fF7wKK0qbbwWw"/>
    <s v="PaoLo"/>
    <s v="http://www.youtube.com/channel/UCQeHyoOmC4fF7wKK0qbbwWw"/>
    <m/>
    <s v="wadBvDPeE4E"/>
    <s v="https://www.youtube.com/watch?v=wadBvDPeE4E"/>
    <s v="none"/>
    <n v="0"/>
    <x v="106"/>
    <d v="2012-10-20T22:28:35.000"/>
    <m/>
    <m/>
    <s v=""/>
    <n v="1"/>
    <s v="1"/>
    <s v="1"/>
    <n v="0"/>
    <n v="0"/>
    <n v="1"/>
    <n v="7.142857142857143"/>
    <n v="0"/>
    <n v="0"/>
    <n v="13"/>
    <n v="92.85714285714286"/>
    <n v="14"/>
  </r>
  <r>
    <s v="UCmXeLhU-jhO_904i5g-3rYQ"/>
    <s v="UCvQECJukTDE2i6aCoMnS-Vg"/>
    <m/>
    <m/>
    <m/>
    <m/>
    <m/>
    <m/>
    <m/>
    <m/>
    <s v="No"/>
    <n v="110"/>
    <m/>
    <m/>
    <s v="Commented Video"/>
    <x v="0"/>
    <s v="i hope it only continues"/>
    <s v="UCmXeLhU-jhO_904i5g-3rYQ"/>
    <s v="Staircase Wit"/>
    <s v="http://www.youtube.com/channel/UCmXeLhU-jhO_904i5g-3rYQ"/>
    <m/>
    <s v="wadBvDPeE4E"/>
    <s v="https://www.youtube.com/watch?v=wadBvDPeE4E"/>
    <s v="none"/>
    <n v="0"/>
    <x v="107"/>
    <d v="2012-10-20T23:00:12.000"/>
    <m/>
    <m/>
    <s v=""/>
    <n v="1"/>
    <s v="1"/>
    <s v="1"/>
    <n v="0"/>
    <n v="0"/>
    <n v="0"/>
    <n v="0"/>
    <n v="0"/>
    <n v="0"/>
    <n v="5"/>
    <n v="100"/>
    <n v="5"/>
  </r>
  <r>
    <s v="UC8uVo-4Qkswfhh1JnIDHU1A"/>
    <s v="UCvQECJukTDE2i6aCoMnS-Vg"/>
    <m/>
    <m/>
    <m/>
    <m/>
    <m/>
    <m/>
    <m/>
    <m/>
    <s v="No"/>
    <n v="111"/>
    <m/>
    <m/>
    <s v="Commented Video"/>
    <x v="0"/>
    <s v="I&amp;#39;m liking these hour-long talks. Much more in-depth analysis to the usual good ideas. Keep it up, BT."/>
    <s v="UC8uVo-4Qkswfhh1JnIDHU1A"/>
    <s v="AdmiralBetas"/>
    <s v="http://www.youtube.com/channel/UC8uVo-4Qkswfhh1JnIDHU1A"/>
    <m/>
    <s v="wadBvDPeE4E"/>
    <s v="https://www.youtube.com/watch?v=wadBvDPeE4E"/>
    <s v="none"/>
    <n v="2"/>
    <x v="108"/>
    <d v="2012-10-20T23:02:43.000"/>
    <m/>
    <m/>
    <s v=""/>
    <n v="1"/>
    <s v="1"/>
    <s v="1"/>
    <n v="2"/>
    <n v="9.090909090909092"/>
    <n v="0"/>
    <n v="0"/>
    <n v="0"/>
    <n v="0"/>
    <n v="20"/>
    <n v="90.9090909090909"/>
    <n v="22"/>
  </r>
  <r>
    <s v="UCzGAjyMHa46G5irNmSYkoww"/>
    <s v="UCvQECJukTDE2i6aCoMnS-Vg"/>
    <m/>
    <m/>
    <m/>
    <m/>
    <m/>
    <m/>
    <m/>
    <m/>
    <s v="No"/>
    <n v="112"/>
    <m/>
    <m/>
    <s v="Commented Video"/>
    <x v="0"/>
    <s v="I think it has less to do with where you were born and more with where you were raised. "/>
    <s v="UCzGAjyMHa46G5irNmSYkoww"/>
    <s v="Andrew Halverson"/>
    <s v="http://www.youtube.com/channel/UCzGAjyMHa46G5irNmSYkoww"/>
    <m/>
    <s v="wadBvDPeE4E"/>
    <s v="https://www.youtube.com/watch?v=wadBvDPeE4E"/>
    <s v="none"/>
    <n v="0"/>
    <x v="109"/>
    <d v="2012-10-20T23:14:45.000"/>
    <m/>
    <m/>
    <s v=""/>
    <n v="1"/>
    <s v="1"/>
    <s v="1"/>
    <n v="0"/>
    <n v="0"/>
    <n v="0"/>
    <n v="0"/>
    <n v="0"/>
    <n v="0"/>
    <n v="19"/>
    <n v="100"/>
    <n v="19"/>
  </r>
  <r>
    <s v="UCSTY_QywABvaN4FXATnRIXA"/>
    <s v="UCvQECJukTDE2i6aCoMnS-Vg"/>
    <m/>
    <m/>
    <m/>
    <m/>
    <m/>
    <m/>
    <m/>
    <m/>
    <s v="No"/>
    <n v="113"/>
    <m/>
    <m/>
    <s v="Commented Video"/>
    <x v="0"/>
    <s v="You don&amp;#39;t know why the GG Bridge doesn&amp;#39;t have and can&amp;#39;t have a suicide barrier? Socially what does the GG represent to the average person, or what word comes up for the average person socially when they think of the GG Bridge. Yes, &amp;quot;Freedom&amp;quot; is the word so many come to when they think of the GG Bridge, which is one of the world&amp;#39;s most famous land marks. This is why the GG Bridge can never have suicide barriers, and why if they tried, there would be a large outpouring of people not allowing it."/>
    <s v="UCSTY_QywABvaN4FXATnRIXA"/>
    <s v="Leifur Thor"/>
    <s v="http://www.youtube.com/channel/UCSTY_QywABvaN4FXATnRIXA"/>
    <m/>
    <s v="wadBvDPeE4E"/>
    <s v="https://www.youtube.com/watch?v=wadBvDPeE4E"/>
    <s v="none"/>
    <n v="0"/>
    <x v="110"/>
    <d v="2012-10-20T18:39:31.000"/>
    <m/>
    <m/>
    <s v=""/>
    <n v="2"/>
    <s v="1"/>
    <s v="1"/>
    <n v="2"/>
    <n v="1.9047619047619047"/>
    <n v="2"/>
    <n v="1.9047619047619047"/>
    <n v="0"/>
    <n v="0"/>
    <n v="101"/>
    <n v="96.19047619047619"/>
    <n v="105"/>
  </r>
  <r>
    <s v="UCSTY_QywABvaN4FXATnRIXA"/>
    <s v="UCvQECJukTDE2i6aCoMnS-Vg"/>
    <m/>
    <m/>
    <m/>
    <m/>
    <m/>
    <m/>
    <m/>
    <m/>
    <s v="No"/>
    <n v="114"/>
    <m/>
    <m/>
    <s v="Commented Video"/>
    <x v="0"/>
    <s v="38:35 WTF? Wow that&amp;#39;s fantastic!"/>
    <s v="UCSTY_QywABvaN4FXATnRIXA"/>
    <s v="Leifur Thor"/>
    <s v="http://www.youtube.com/channel/UCSTY_QywABvaN4FXATnRIXA"/>
    <m/>
    <s v="wadBvDPeE4E"/>
    <s v="https://www.youtube.com/watch?v=wadBvDPeE4E"/>
    <s v="none"/>
    <n v="0"/>
    <x v="111"/>
    <d v="2012-10-20T23:39:29.000"/>
    <m/>
    <m/>
    <s v=""/>
    <n v="2"/>
    <s v="1"/>
    <s v="1"/>
    <n v="2"/>
    <n v="25"/>
    <n v="0"/>
    <n v="0"/>
    <n v="0"/>
    <n v="0"/>
    <n v="6"/>
    <n v="75"/>
    <n v="8"/>
  </r>
  <r>
    <s v="UCPrGDitzcCE-AIYo3ePy-Qg"/>
    <s v="UCvQECJukTDE2i6aCoMnS-Vg"/>
    <m/>
    <m/>
    <m/>
    <m/>
    <m/>
    <m/>
    <m/>
    <m/>
    <s v="No"/>
    <n v="115"/>
    <m/>
    <m/>
    <s v="Commented Video"/>
    <x v="0"/>
    <s v="I used to not be interested in sociology. But everything change when he used the word hyperdimensional._x000a_"/>
    <s v="UCPrGDitzcCE-AIYo3ePy-Qg"/>
    <s v="William Black"/>
    <s v="http://www.youtube.com/channel/UCPrGDitzcCE-AIYo3ePy-Qg"/>
    <m/>
    <s v="wadBvDPeE4E"/>
    <s v="https://www.youtube.com/watch?v=wadBvDPeE4E"/>
    <s v="none"/>
    <n v="0"/>
    <x v="112"/>
    <d v="2012-10-21T00:07:46.000"/>
    <m/>
    <m/>
    <s v=""/>
    <n v="1"/>
    <s v="1"/>
    <s v="1"/>
    <n v="0"/>
    <n v="0"/>
    <n v="0"/>
    <n v="0"/>
    <n v="0"/>
    <n v="0"/>
    <n v="17"/>
    <n v="100"/>
    <n v="17"/>
  </r>
  <r>
    <s v="UC1SiIVeKEpTKK_Amm_F3x9w"/>
    <s v="UCvQECJukTDE2i6aCoMnS-Vg"/>
    <m/>
    <m/>
    <m/>
    <m/>
    <m/>
    <m/>
    <m/>
    <m/>
    <s v="No"/>
    <n v="116"/>
    <m/>
    <m/>
    <s v="Commented Video"/>
    <x v="0"/>
    <s v="1st "/>
    <s v="UC1SiIVeKEpTKK_Amm_F3x9w"/>
    <s v="Markoslav Mikhailyevich-Makyevskiy"/>
    <s v="http://www.youtube.com/channel/UC1SiIVeKEpTKK_Amm_F3x9w"/>
    <m/>
    <s v="wadBvDPeE4E"/>
    <s v="https://www.youtube.com/watch?v=wadBvDPeE4E"/>
    <s v="none"/>
    <n v="0"/>
    <x v="113"/>
    <d v="2012-10-20T13:47:28.000"/>
    <m/>
    <m/>
    <s v=""/>
    <n v="7"/>
    <s v="1"/>
    <s v="1"/>
    <n v="0"/>
    <n v="0"/>
    <n v="0"/>
    <n v="0"/>
    <n v="0"/>
    <n v="0"/>
    <n v="1"/>
    <n v="100"/>
    <n v="1"/>
  </r>
  <r>
    <s v="UC1SiIVeKEpTKK_Amm_F3x9w"/>
    <s v="UCvQECJukTDE2i6aCoMnS-Vg"/>
    <m/>
    <m/>
    <m/>
    <m/>
    <m/>
    <m/>
    <m/>
    <m/>
    <s v="No"/>
    <n v="117"/>
    <m/>
    <m/>
    <s v="Commented Video"/>
    <x v="0"/>
    <s v="Sorry I was ten seconds faster."/>
    <s v="UC1SiIVeKEpTKK_Amm_F3x9w"/>
    <s v="Markoslav Mikhailyevich-Makyevskiy"/>
    <s v="http://www.youtube.com/channel/UC1SiIVeKEpTKK_Amm_F3x9w"/>
    <m/>
    <s v="wadBvDPeE4E"/>
    <s v="https://www.youtube.com/watch?v=wadBvDPeE4E"/>
    <s v="none"/>
    <n v="0"/>
    <x v="114"/>
    <d v="2012-10-20T13:48:14.000"/>
    <m/>
    <m/>
    <s v=""/>
    <n v="7"/>
    <s v="1"/>
    <s v="1"/>
    <n v="1"/>
    <n v="16.666666666666668"/>
    <n v="1"/>
    <n v="16.666666666666668"/>
    <n v="0"/>
    <n v="0"/>
    <n v="4"/>
    <n v="66.66666666666667"/>
    <n v="6"/>
  </r>
  <r>
    <s v="UC1SiIVeKEpTKK_Amm_F3x9w"/>
    <s v="UCvQECJukTDE2i6aCoMnS-Vg"/>
    <m/>
    <m/>
    <m/>
    <m/>
    <m/>
    <m/>
    <m/>
    <m/>
    <s v="No"/>
    <n v="118"/>
    <m/>
    <m/>
    <s v="Commented Video"/>
    <x v="0"/>
    <s v="How come you need my name?"/>
    <s v="UC1SiIVeKEpTKK_Amm_F3x9w"/>
    <s v="Markoslav Mikhailyevich-Makyevskiy"/>
    <s v="http://www.youtube.com/channel/UC1SiIVeKEpTKK_Amm_F3x9w"/>
    <m/>
    <s v="wadBvDPeE4E"/>
    <s v="https://www.youtube.com/watch?v=wadBvDPeE4E"/>
    <s v="none"/>
    <n v="0"/>
    <x v="115"/>
    <d v="2012-10-20T13:59:30.000"/>
    <m/>
    <m/>
    <s v=""/>
    <n v="7"/>
    <s v="1"/>
    <s v="1"/>
    <n v="0"/>
    <n v="0"/>
    <n v="0"/>
    <n v="0"/>
    <n v="0"/>
    <n v="0"/>
    <n v="6"/>
    <n v="100"/>
    <n v="6"/>
  </r>
  <r>
    <s v="UC1SiIVeKEpTKK_Amm_F3x9w"/>
    <s v="UCvQECJukTDE2i6aCoMnS-Vg"/>
    <m/>
    <m/>
    <m/>
    <m/>
    <m/>
    <m/>
    <m/>
    <m/>
    <s v="No"/>
    <n v="119"/>
    <m/>
    <m/>
    <s v="Commented Video"/>
    <x v="0"/>
    <s v="Also that doesn&amp;#39;t offend me, it&amp;#39;s alright."/>
    <s v="UC1SiIVeKEpTKK_Amm_F3x9w"/>
    <s v="Markoslav Mikhailyevich-Makyevskiy"/>
    <s v="http://www.youtube.com/channel/UC1SiIVeKEpTKK_Amm_F3x9w"/>
    <m/>
    <s v="wadBvDPeE4E"/>
    <s v="https://www.youtube.com/watch?v=wadBvDPeE4E"/>
    <s v="none"/>
    <n v="0"/>
    <x v="116"/>
    <d v="2012-10-20T14:08:36.000"/>
    <m/>
    <m/>
    <s v=""/>
    <n v="7"/>
    <s v="1"/>
    <s v="1"/>
    <n v="0"/>
    <n v="0"/>
    <n v="1"/>
    <n v="9.090909090909092"/>
    <n v="0"/>
    <n v="0"/>
    <n v="10"/>
    <n v="90.9090909090909"/>
    <n v="11"/>
  </r>
  <r>
    <s v="UC1SiIVeKEpTKK_Amm_F3x9w"/>
    <s v="UCvQECJukTDE2i6aCoMnS-Vg"/>
    <m/>
    <m/>
    <m/>
    <m/>
    <m/>
    <m/>
    <m/>
    <m/>
    <s v="No"/>
    <n v="120"/>
    <m/>
    <m/>
    <s v="Commented Video"/>
    <x v="0"/>
    <s v="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amp;#39;m not going to insult your English because there is a possibility you are not present with English-Native tongue, if so you should think about improving your structure.  Don&amp;#39;t target useless comments."/>
    <s v="UC1SiIVeKEpTKK_Amm_F3x9w"/>
    <s v="Markoslav Mikhailyevich-Makyevskiy"/>
    <s v="http://www.youtube.com/channel/UC1SiIVeKEpTKK_Amm_F3x9w"/>
    <m/>
    <s v="wadBvDPeE4E"/>
    <s v="https://www.youtube.com/watch?v=wadBvDPeE4E"/>
    <s v="none"/>
    <n v="0"/>
    <x v="117"/>
    <d v="2012-10-20T19:09:30.000"/>
    <m/>
    <m/>
    <s v=""/>
    <n v="7"/>
    <s v="1"/>
    <s v="1"/>
    <n v="4"/>
    <n v="4.651162790697675"/>
    <n v="3"/>
    <n v="3.488372093023256"/>
    <n v="0"/>
    <n v="0"/>
    <n v="79"/>
    <n v="91.86046511627907"/>
    <n v="86"/>
  </r>
  <r>
    <s v="UC1SiIVeKEpTKK_Amm_F3x9w"/>
    <s v="UCvQECJukTDE2i6aCoMnS-Vg"/>
    <m/>
    <m/>
    <m/>
    <m/>
    <m/>
    <m/>
    <m/>
    <m/>
    <s v="No"/>
    <n v="121"/>
    <m/>
    <m/>
    <s v="Commented Video"/>
    <x v="0"/>
    <s v="Second note: Don&amp;#39;t respond telling me not to make a useless comment because creating useless comment &amp;gt; targeting useless comments."/>
    <s v="UC1SiIVeKEpTKK_Amm_F3x9w"/>
    <s v="Markoslav Mikhailyevich-Makyevskiy"/>
    <s v="http://www.youtube.com/channel/UC1SiIVeKEpTKK_Amm_F3x9w"/>
    <m/>
    <s v="wadBvDPeE4E"/>
    <s v="https://www.youtube.com/watch?v=wadBvDPeE4E"/>
    <s v="none"/>
    <n v="0"/>
    <x v="118"/>
    <d v="2012-10-20T19:10:17.000"/>
    <m/>
    <m/>
    <s v=""/>
    <n v="7"/>
    <s v="1"/>
    <s v="1"/>
    <n v="0"/>
    <n v="0"/>
    <n v="3"/>
    <n v="13.636363636363637"/>
    <n v="0"/>
    <n v="0"/>
    <n v="19"/>
    <n v="86.36363636363636"/>
    <n v="22"/>
  </r>
  <r>
    <s v="UC1SiIVeKEpTKK_Amm_F3x9w"/>
    <s v="UCvQECJukTDE2i6aCoMnS-Vg"/>
    <m/>
    <m/>
    <m/>
    <m/>
    <m/>
    <m/>
    <m/>
    <m/>
    <s v="No"/>
    <n v="122"/>
    <m/>
    <m/>
    <s v="Commented Video"/>
    <x v="0"/>
    <s v="You used an ellipses wrong at the end of your comment.  I really love your comment though.  I got first and I only commented first because why wouldn&amp;#39;t I do it if I knew that the video was released literally four seconds ago (this is non-fiction).  So I only did it because I had a chance."/>
    <s v="UC1SiIVeKEpTKK_Amm_F3x9w"/>
    <s v="Markoslav Mikhailyevich-Makyevskiy"/>
    <s v="http://www.youtube.com/channel/UC1SiIVeKEpTKK_Amm_F3x9w"/>
    <m/>
    <s v="wadBvDPeE4E"/>
    <s v="https://www.youtube.com/watch?v=wadBvDPeE4E"/>
    <s v="none"/>
    <n v="0"/>
    <x v="119"/>
    <d v="2012-10-21T00:24:39.000"/>
    <m/>
    <m/>
    <s v=""/>
    <n v="7"/>
    <s v="1"/>
    <s v="1"/>
    <n v="1"/>
    <n v="1.694915254237288"/>
    <n v="2"/>
    <n v="3.389830508474576"/>
    <n v="0"/>
    <n v="0"/>
    <n v="56"/>
    <n v="94.91525423728814"/>
    <n v="59"/>
  </r>
  <r>
    <s v="UCEYbT6ad_ujYYDu6E1ev3Zw"/>
    <s v="UCvQECJukTDE2i6aCoMnS-Vg"/>
    <m/>
    <m/>
    <m/>
    <m/>
    <m/>
    <m/>
    <m/>
    <m/>
    <s v="No"/>
    <n v="123"/>
    <m/>
    <m/>
    <s v="Commented Video"/>
    <x v="0"/>
    <s v="very enjoyable. i would love to see more psychological and sociological talks. now what would be really great to see is the sociology of crime and law. it seems rather straightforward but i would like to see what more there could be."/>
    <s v="UCEYbT6ad_ujYYDu6E1ev3Zw"/>
    <s v="ProfessorAddy"/>
    <s v="http://www.youtube.com/channel/UCEYbT6ad_ujYYDu6E1ev3Zw"/>
    <m/>
    <s v="wadBvDPeE4E"/>
    <s v="https://www.youtube.com/watch?v=wadBvDPeE4E"/>
    <s v="none"/>
    <n v="0"/>
    <x v="120"/>
    <d v="2012-10-21T00:32:01.000"/>
    <m/>
    <m/>
    <s v=""/>
    <n v="1"/>
    <s v="1"/>
    <s v="1"/>
    <n v="5"/>
    <n v="11.904761904761905"/>
    <n v="1"/>
    <n v="2.380952380952381"/>
    <n v="0"/>
    <n v="0"/>
    <n v="36"/>
    <n v="85.71428571428571"/>
    <n v="42"/>
  </r>
  <r>
    <s v="UCc96p0qymoYTTv0clM3w4Yg"/>
    <s v="UCvQECJukTDE2i6aCoMnS-Vg"/>
    <m/>
    <m/>
    <m/>
    <m/>
    <m/>
    <m/>
    <m/>
    <m/>
    <s v="No"/>
    <n v="124"/>
    <m/>
    <m/>
    <s v="Commented Video"/>
    <x v="0"/>
    <s v="I get that you are joking, but a college education is in no way equal to the content on the internet in anyway, "/>
    <s v="UCc96p0qymoYTTv0clM3w4Yg"/>
    <s v="Alpinex105"/>
    <s v="http://www.youtube.com/channel/UCc96p0qymoYTTv0clM3w4Yg"/>
    <m/>
    <s v="wadBvDPeE4E"/>
    <s v="https://www.youtube.com/watch?v=wadBvDPeE4E"/>
    <s v="none"/>
    <n v="0"/>
    <x v="121"/>
    <d v="2012-10-20T16:11:59.000"/>
    <m/>
    <m/>
    <s v=""/>
    <n v="4"/>
    <s v="1"/>
    <s v="1"/>
    <n v="0"/>
    <n v="0"/>
    <n v="0"/>
    <n v="0"/>
    <n v="0"/>
    <n v="0"/>
    <n v="23"/>
    <n v="100"/>
    <n v="23"/>
  </r>
  <r>
    <s v="UCc96p0qymoYTTv0clM3w4Yg"/>
    <s v="UCvQECJukTDE2i6aCoMnS-Vg"/>
    <m/>
    <m/>
    <m/>
    <m/>
    <m/>
    <m/>
    <m/>
    <m/>
    <s v="No"/>
    <n v="125"/>
    <m/>
    <m/>
    <s v="Commented Video"/>
    <x v="0"/>
    <s v="Better. "/>
    <s v="UCc96p0qymoYTTv0clM3w4Yg"/>
    <s v="Alpinex105"/>
    <s v="http://www.youtube.com/channel/UCc96p0qymoYTTv0clM3w4Yg"/>
    <m/>
    <s v="wadBvDPeE4E"/>
    <s v="https://www.youtube.com/watch?v=wadBvDPeE4E"/>
    <s v="none"/>
    <n v="0"/>
    <x v="122"/>
    <d v="2012-10-20T17:39:11.000"/>
    <m/>
    <m/>
    <s v=""/>
    <n v="4"/>
    <s v="1"/>
    <s v="1"/>
    <n v="1"/>
    <n v="100"/>
    <n v="0"/>
    <n v="0"/>
    <n v="0"/>
    <n v="0"/>
    <n v="0"/>
    <n v="0"/>
    <n v="1"/>
  </r>
  <r>
    <s v="UCc96p0qymoYTTv0clM3w4Yg"/>
    <s v="UCvQECJukTDE2i6aCoMnS-Vg"/>
    <m/>
    <m/>
    <m/>
    <m/>
    <m/>
    <m/>
    <m/>
    <m/>
    <s v="No"/>
    <n v="126"/>
    <m/>
    <m/>
    <s v="Commented Video"/>
    <x v="0"/>
    <s v="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amp;#39;s up to the individual to keep up. "/>
    <s v="UCc96p0qymoYTTv0clM3w4Yg"/>
    <s v="Alpinex105"/>
    <s v="http://www.youtube.com/channel/UCc96p0qymoYTTv0clM3w4Yg"/>
    <m/>
    <s v="wadBvDPeE4E"/>
    <s v="https://www.youtube.com/watch?v=wadBvDPeE4E"/>
    <s v="none"/>
    <n v="0"/>
    <x v="123"/>
    <d v="2012-10-20T18:02:43.000"/>
    <m/>
    <m/>
    <s v=""/>
    <n v="4"/>
    <s v="1"/>
    <s v="1"/>
    <n v="0"/>
    <n v="0"/>
    <n v="3"/>
    <n v="4.411764705882353"/>
    <n v="0"/>
    <n v="0"/>
    <n v="65"/>
    <n v="95.58823529411765"/>
    <n v="68"/>
  </r>
  <r>
    <s v="UCc96p0qymoYTTv0clM3w4Yg"/>
    <s v="UCvQECJukTDE2i6aCoMnS-Vg"/>
    <m/>
    <m/>
    <m/>
    <m/>
    <m/>
    <m/>
    <m/>
    <m/>
    <s v="No"/>
    <n v="127"/>
    <m/>
    <m/>
    <s v="Commented Video"/>
    <x v="0"/>
    <s v="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amp;#39;t need to go to college to be well educated, but it is a more difficult process.   "/>
    <s v="UCc96p0qymoYTTv0clM3w4Yg"/>
    <s v="Alpinex105"/>
    <s v="http://www.youtube.com/channel/UCc96p0qymoYTTv0clM3w4Yg"/>
    <m/>
    <s v="wadBvDPeE4E"/>
    <s v="https://www.youtube.com/watch?v=wadBvDPeE4E"/>
    <s v="none"/>
    <n v="0"/>
    <x v="124"/>
    <d v="2012-10-21T00:45:13.000"/>
    <m/>
    <m/>
    <s v=""/>
    <n v="4"/>
    <s v="1"/>
    <s v="1"/>
    <n v="5"/>
    <n v="6.172839506172839"/>
    <n v="2"/>
    <n v="2.4691358024691357"/>
    <n v="0"/>
    <n v="0"/>
    <n v="74"/>
    <n v="91.35802469135803"/>
    <n v="81"/>
  </r>
  <r>
    <s v="UCViUti-gCVt-mzdDCR5bfDA"/>
    <s v="UCvQECJukTDE2i6aCoMnS-Vg"/>
    <m/>
    <m/>
    <m/>
    <m/>
    <m/>
    <m/>
    <m/>
    <m/>
    <s v="No"/>
    <n v="128"/>
    <m/>
    <m/>
    <s v="Commented Video"/>
    <x v="0"/>
    <s v="SUPER"/>
    <s v="UCViUti-gCVt-mzdDCR5bfDA"/>
    <s v="JustNeptuN"/>
    <s v="http://www.youtube.com/channel/UCViUti-gCVt-mzdDCR5bfDA"/>
    <m/>
    <s v="wadBvDPeE4E"/>
    <s v="https://www.youtube.com/watch?v=wadBvDPeE4E"/>
    <s v="none"/>
    <n v="0"/>
    <x v="125"/>
    <d v="2012-10-21T00:54:52.000"/>
    <m/>
    <m/>
    <s v=""/>
    <n v="1"/>
    <s v="1"/>
    <s v="1"/>
    <n v="1"/>
    <n v="100"/>
    <n v="0"/>
    <n v="0"/>
    <n v="0"/>
    <n v="0"/>
    <n v="0"/>
    <n v="0"/>
    <n v="1"/>
  </r>
  <r>
    <s v="UCCicWyaGhArRdcW_NgvVrAw"/>
    <s v="UCvQECJukTDE2i6aCoMnS-Vg"/>
    <m/>
    <m/>
    <m/>
    <m/>
    <m/>
    <m/>
    <m/>
    <m/>
    <s v="No"/>
    <n v="129"/>
    <m/>
    <m/>
    <s v="Commented Video"/>
    <x v="0"/>
    <s v="Psycho = psyches, mind, inner self_x000a_Socios = society, large groups and its interacctions .... "/>
    <s v="UCCicWyaGhArRdcW_NgvVrAw"/>
    <s v="The other Doctor"/>
    <s v="http://www.youtube.com/channel/UCCicWyaGhArRdcW_NgvVrAw"/>
    <m/>
    <s v="wadBvDPeE4E"/>
    <s v="https://www.youtube.com/watch?v=wadBvDPeE4E"/>
    <s v="none"/>
    <n v="0"/>
    <x v="126"/>
    <d v="2012-10-21T01:11:23.000"/>
    <m/>
    <m/>
    <s v=""/>
    <n v="1"/>
    <s v="1"/>
    <s v="1"/>
    <n v="0"/>
    <n v="0"/>
    <n v="0"/>
    <n v="0"/>
    <n v="0"/>
    <n v="0"/>
    <n v="12"/>
    <n v="100"/>
    <n v="12"/>
  </r>
  <r>
    <s v="UCwAQe7QX61bTdOycRtPLv0Q"/>
    <s v="UCvQECJukTDE2i6aCoMnS-Vg"/>
    <m/>
    <m/>
    <m/>
    <m/>
    <m/>
    <m/>
    <m/>
    <m/>
    <s v="No"/>
    <n v="130"/>
    <m/>
    <m/>
    <s v="Commented Video"/>
    <x v="0"/>
    <s v="I like how literally the only other thing in this video is a podium and he never uses it"/>
    <s v="UCwAQe7QX61bTdOycRtPLv0Q"/>
    <s v="conairsmith"/>
    <s v="http://www.youtube.com/channel/UCwAQe7QX61bTdOycRtPLv0Q"/>
    <m/>
    <s v="wadBvDPeE4E"/>
    <s v="https://www.youtube.com/watch?v=wadBvDPeE4E"/>
    <s v="none"/>
    <n v="0"/>
    <x v="127"/>
    <d v="2012-10-21T01:40:11.000"/>
    <m/>
    <m/>
    <s v=""/>
    <n v="1"/>
    <s v="1"/>
    <s v="1"/>
    <n v="1"/>
    <n v="5.2631578947368425"/>
    <n v="0"/>
    <n v="0"/>
    <n v="0"/>
    <n v="0"/>
    <n v="18"/>
    <n v="94.73684210526316"/>
    <n v="19"/>
  </r>
  <r>
    <s v="UCxlr2X_1Kf3efsrMWTU0XGw"/>
    <s v="UCvQECJukTDE2i6aCoMnS-Vg"/>
    <m/>
    <m/>
    <m/>
    <m/>
    <m/>
    <m/>
    <m/>
    <m/>
    <s v="No"/>
    <n v="131"/>
    <m/>
    <m/>
    <s v="Commented Video"/>
    <x v="0"/>
    <s v="No I still rather be D. I hate gossip. Ha"/>
    <s v="UCxlr2X_1Kf3efsrMWTU0XGw"/>
    <s v="TheaDragonSpirit"/>
    <s v="http://www.youtube.com/channel/UCxlr2X_1Kf3efsrMWTU0XGw"/>
    <m/>
    <s v="wadBvDPeE4E"/>
    <s v="https://www.youtube.com/watch?v=wadBvDPeE4E"/>
    <s v="none"/>
    <n v="0"/>
    <x v="128"/>
    <d v="2012-10-21T01:09:19.000"/>
    <m/>
    <m/>
    <s v=""/>
    <n v="6"/>
    <s v="1"/>
    <s v="1"/>
    <n v="0"/>
    <n v="0"/>
    <n v="2"/>
    <n v="20"/>
    <n v="0"/>
    <n v="0"/>
    <n v="8"/>
    <n v="80"/>
    <n v="10"/>
  </r>
  <r>
    <s v="UCxlr2X_1Kf3efsrMWTU0XGw"/>
    <s v="UCvQECJukTDE2i6aCoMnS-Vg"/>
    <m/>
    <m/>
    <m/>
    <m/>
    <m/>
    <m/>
    <m/>
    <m/>
    <s v="No"/>
    <n v="132"/>
    <m/>
    <m/>
    <s v="Commented Video"/>
    <x v="0"/>
    <s v="It&amp;#39;s got a complex. Ha."/>
    <s v="UCxlr2X_1Kf3efsrMWTU0XGw"/>
    <s v="TheaDragonSpirit"/>
    <s v="http://www.youtube.com/channel/UCxlr2X_1Kf3efsrMWTU0XGw"/>
    <m/>
    <s v="wadBvDPeE4E"/>
    <s v="https://www.youtube.com/watch?v=wadBvDPeE4E"/>
    <s v="none"/>
    <n v="0"/>
    <x v="129"/>
    <d v="2012-10-21T01:37:44.000"/>
    <m/>
    <m/>
    <s v=""/>
    <n v="6"/>
    <s v="1"/>
    <s v="1"/>
    <n v="0"/>
    <n v="0"/>
    <n v="1"/>
    <n v="14.285714285714286"/>
    <n v="0"/>
    <n v="0"/>
    <n v="6"/>
    <n v="85.71428571428571"/>
    <n v="7"/>
  </r>
  <r>
    <s v="UCxlr2X_1Kf3efsrMWTU0XGw"/>
    <s v="UCvQECJukTDE2i6aCoMnS-Vg"/>
    <m/>
    <m/>
    <m/>
    <m/>
    <m/>
    <m/>
    <m/>
    <m/>
    <s v="No"/>
    <n v="133"/>
    <m/>
    <m/>
    <s v="Commented Video"/>
    <x v="0"/>
    <s v="I think you miss his point. _x000a__x000a_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
    <s v="UCxlr2X_1Kf3efsrMWTU0XGw"/>
    <s v="TheaDragonSpirit"/>
    <s v="http://www.youtube.com/channel/UCxlr2X_1Kf3efsrMWTU0XGw"/>
    <m/>
    <s v="wadBvDPeE4E"/>
    <s v="https://www.youtube.com/watch?v=wadBvDPeE4E"/>
    <s v="none"/>
    <n v="0"/>
    <x v="130"/>
    <d v="2012-10-21T01:47:54.000"/>
    <m/>
    <m/>
    <s v=""/>
    <n v="6"/>
    <s v="1"/>
    <s v="1"/>
    <n v="0"/>
    <n v="0"/>
    <n v="2"/>
    <n v="2.127659574468085"/>
    <n v="0"/>
    <n v="0"/>
    <n v="92"/>
    <n v="97.87234042553192"/>
    <n v="94"/>
  </r>
  <r>
    <s v="UCxlr2X_1Kf3efsrMWTU0XGw"/>
    <s v="UCvQECJukTDE2i6aCoMnS-Vg"/>
    <m/>
    <m/>
    <m/>
    <m/>
    <m/>
    <m/>
    <m/>
    <m/>
    <s v="No"/>
    <n v="134"/>
    <m/>
    <m/>
    <s v="Commented Video"/>
    <x v="0"/>
    <s v="So he seeks negative approval. As in he wants many people to dislike it so he is happy. You assumed that approval is always positive. But if they want people to dislike it and they do dislike it. He has got there negative approval. Attention Seeker. _x000a__x000a_Also stating first is looking to show that you was the most interested and got there first. Hoping people like it and try to get there before you next time like a social challenge. And a lot people stopped this when people though it was stupid._x000a__x000a_"/>
    <s v="UCxlr2X_1Kf3efsrMWTU0XGw"/>
    <s v="TheaDragonSpirit"/>
    <s v="http://www.youtube.com/channel/UCxlr2X_1Kf3efsrMWTU0XGw"/>
    <m/>
    <s v="wadBvDPeE4E"/>
    <s v="https://www.youtube.com/watch?v=wadBvDPeE4E"/>
    <s v="none"/>
    <n v="0"/>
    <x v="131"/>
    <d v="2012-10-21T01:56:22.000"/>
    <m/>
    <m/>
    <s v=""/>
    <n v="6"/>
    <s v="1"/>
    <s v="1"/>
    <n v="7"/>
    <n v="7.608695652173913"/>
    <n v="6"/>
    <n v="6.521739130434782"/>
    <n v="0"/>
    <n v="0"/>
    <n v="79"/>
    <n v="85.8695652173913"/>
    <n v="92"/>
  </r>
  <r>
    <s v="UCxlr2X_1Kf3efsrMWTU0XGw"/>
    <s v="UCvQECJukTDE2i6aCoMnS-Vg"/>
    <m/>
    <m/>
    <m/>
    <m/>
    <m/>
    <m/>
    <m/>
    <m/>
    <s v="No"/>
    <n v="135"/>
    <m/>
    <m/>
    <s v="Commented Video"/>
    <x v="0"/>
    <s v="Finally: I agree somewhat with the original point people don&amp;#39;t always follow people. Personally I do what I am interested and if I like something I might do it, but if someone puts weight on I don&amp;#39;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
    <s v="UCxlr2X_1Kf3efsrMWTU0XGw"/>
    <s v="TheaDragonSpirit"/>
    <s v="http://www.youtube.com/channel/UCxlr2X_1Kf3efsrMWTU0XGw"/>
    <m/>
    <s v="wadBvDPeE4E"/>
    <s v="https://www.youtube.com/watch?v=wadBvDPeE4E"/>
    <s v="none"/>
    <n v="0"/>
    <x v="132"/>
    <d v="2012-10-21T01:59:33.000"/>
    <m/>
    <m/>
    <s v=""/>
    <n v="6"/>
    <s v="1"/>
    <s v="1"/>
    <n v="3"/>
    <n v="3.2967032967032965"/>
    <n v="0"/>
    <n v="0"/>
    <n v="0"/>
    <n v="0"/>
    <n v="88"/>
    <n v="96.7032967032967"/>
    <n v="91"/>
  </r>
  <r>
    <s v="UCxlr2X_1Kf3efsrMWTU0XGw"/>
    <s v="UCvQECJukTDE2i6aCoMnS-Vg"/>
    <m/>
    <m/>
    <m/>
    <m/>
    <m/>
    <m/>
    <m/>
    <m/>
    <s v="No"/>
    <n v="136"/>
    <m/>
    <m/>
    <s v="Commented Video"/>
    <x v="0"/>
    <s v="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 "/>
    <s v="UCxlr2X_1Kf3efsrMWTU0XGw"/>
    <s v="TheaDragonSpirit"/>
    <s v="http://www.youtube.com/channel/UCxlr2X_1Kf3efsrMWTU0XGw"/>
    <m/>
    <s v="wadBvDPeE4E"/>
    <s v="https://www.youtube.com/watch?v=wadBvDPeE4E"/>
    <s v="none"/>
    <n v="0"/>
    <x v="133"/>
    <d v="2012-10-21T02:09:15.000"/>
    <m/>
    <m/>
    <s v=""/>
    <n v="6"/>
    <s v="1"/>
    <s v="1"/>
    <n v="2"/>
    <n v="1.941747572815534"/>
    <n v="1"/>
    <n v="0.970873786407767"/>
    <n v="0"/>
    <n v="0"/>
    <n v="100"/>
    <n v="97.0873786407767"/>
    <n v="103"/>
  </r>
  <r>
    <s v="UCD7z5qCfaEUzzE9XroaV_ew"/>
    <s v="UCvQECJukTDE2i6aCoMnS-Vg"/>
    <m/>
    <m/>
    <m/>
    <m/>
    <m/>
    <m/>
    <m/>
    <m/>
    <s v="No"/>
    <n v="137"/>
    <m/>
    <m/>
    <s v="Commented Video"/>
    <x v="0"/>
    <s v="She was 55 according to the dates posted."/>
    <s v="UCD7z5qCfaEUzzE9XroaV_ew"/>
    <s v="Evan G"/>
    <s v="http://www.youtube.com/channel/UCD7z5qCfaEUzzE9XroaV_ew"/>
    <m/>
    <s v="wadBvDPeE4E"/>
    <s v="https://www.youtube.com/watch?v=wadBvDPeE4E"/>
    <s v="none"/>
    <n v="0"/>
    <x v="134"/>
    <d v="2012-10-21T02:24:00.000"/>
    <m/>
    <m/>
    <s v=""/>
    <n v="1"/>
    <s v="1"/>
    <s v="1"/>
    <n v="0"/>
    <n v="0"/>
    <n v="0"/>
    <n v="0"/>
    <n v="0"/>
    <n v="0"/>
    <n v="8"/>
    <n v="100"/>
    <n v="8"/>
  </r>
  <r>
    <s v="UCzOfJgHp5LlnvNR4gQllD-w"/>
    <s v="UCvQECJukTDE2i6aCoMnS-Vg"/>
    <m/>
    <m/>
    <m/>
    <m/>
    <m/>
    <m/>
    <m/>
    <m/>
    <s v="No"/>
    <n v="138"/>
    <m/>
    <m/>
    <s v="Commented Video"/>
    <x v="0"/>
    <s v="He said people use Myspace as a social networking sight and it made me giggle"/>
    <s v="UCzOfJgHp5LlnvNR4gQllD-w"/>
    <s v="Penzowned OP"/>
    <s v="http://www.youtube.com/channel/UCzOfJgHp5LlnvNR4gQllD-w"/>
    <m/>
    <s v="wadBvDPeE4E"/>
    <s v="https://www.youtube.com/watch?v=wadBvDPeE4E"/>
    <s v="none"/>
    <n v="0"/>
    <x v="135"/>
    <d v="2012-10-21T02:42:18.000"/>
    <m/>
    <m/>
    <s v=""/>
    <n v="1"/>
    <s v="1"/>
    <s v="1"/>
    <n v="0"/>
    <n v="0"/>
    <n v="0"/>
    <n v="0"/>
    <n v="0"/>
    <n v="0"/>
    <n v="15"/>
    <n v="100"/>
    <n v="15"/>
  </r>
  <r>
    <s v="UCKgK_4vy5F___TN3PkqCBTA"/>
    <s v="UCvQECJukTDE2i6aCoMnS-Vg"/>
    <m/>
    <m/>
    <m/>
    <m/>
    <m/>
    <m/>
    <m/>
    <m/>
    <s v="No"/>
    <n v="139"/>
    <m/>
    <m/>
    <s v="Commented Video"/>
    <x v="0"/>
    <s v="social network? Friends? Anyone? Forever alone :("/>
    <s v="UCKgK_4vy5F___TN3PkqCBTA"/>
    <s v="Megalia Lives Matters"/>
    <s v="http://www.youtube.com/channel/UCKgK_4vy5F___TN3PkqCBTA"/>
    <m/>
    <s v="wadBvDPeE4E"/>
    <s v="https://www.youtube.com/watch?v=wadBvDPeE4E"/>
    <s v="none"/>
    <n v="0"/>
    <x v="136"/>
    <d v="2012-10-21T02:42:52.000"/>
    <m/>
    <m/>
    <s v=""/>
    <n v="1"/>
    <s v="1"/>
    <s v="1"/>
    <n v="0"/>
    <n v="0"/>
    <n v="0"/>
    <n v="0"/>
    <n v="0"/>
    <n v="0"/>
    <n v="6"/>
    <n v="100"/>
    <n v="6"/>
  </r>
  <r>
    <s v="UCalKrFmeBM-gF2su6yGVEfA"/>
    <s v="UCvQECJukTDE2i6aCoMnS-Vg"/>
    <m/>
    <m/>
    <m/>
    <m/>
    <m/>
    <m/>
    <m/>
    <m/>
    <s v="No"/>
    <n v="140"/>
    <m/>
    <m/>
    <s v="Commented Video"/>
    <x v="0"/>
    <s v="I think these bigthink lectures are fantastic, but this guys says a few things (here and there) that make me suspect he&amp;#39;s inflating his commentary with math jargon for no real communicative reason. At 31:13... why did we need a taurus? Wouldn&amp;#39;t a sphere be more obvious? Should we really use the term &amp;#39;hyper-dimensional&amp;#39; to describe social networks? Or is this just going to intimidate people who are new to the subject for no real reason?"/>
    <s v="UCalKrFmeBM-gF2su6yGVEfA"/>
    <s v="Drop Dead Fred"/>
    <s v="http://www.youtube.com/channel/UCalKrFmeBM-gF2su6yGVEfA"/>
    <m/>
    <s v="wadBvDPeE4E"/>
    <s v="https://www.youtube.com/watch?v=wadBvDPeE4E"/>
    <s v="none"/>
    <n v="0"/>
    <x v="137"/>
    <d v="2012-10-20T15:23:52.000"/>
    <m/>
    <m/>
    <s v=""/>
    <n v="12"/>
    <s v="1"/>
    <s v="1"/>
    <n v="1"/>
    <n v="1.1904761904761905"/>
    <n v="2"/>
    <n v="2.380952380952381"/>
    <n v="0"/>
    <n v="0"/>
    <n v="81"/>
    <n v="96.42857142857143"/>
    <n v="84"/>
  </r>
  <r>
    <s v="UCalKrFmeBM-gF2su6yGVEfA"/>
    <s v="UCvQECJukTDE2i6aCoMnS-Vg"/>
    <m/>
    <m/>
    <m/>
    <m/>
    <m/>
    <m/>
    <m/>
    <m/>
    <s v="No"/>
    <n v="141"/>
    <m/>
    <m/>
    <s v="Commented Video"/>
    <x v="0"/>
    <s v="But the torus will distort a flat surface too. At least on the sphere, you can plot the network he&amp;#39;s talking about and have it be perfectly symmetric. In the torus, the nodes on the inside will necessarily be denser than those on the outside._x000a__x000a_What&amp;#39;s more, after pointing out that in this situation &amp;quot;everyone would be equi-distant from the edge&amp;quot;, he just drops that hypothetical and moves on to the next idea. What is important about this equi-distant style network that was worth mentioning?_x000a__x000a_"/>
    <s v="UCalKrFmeBM-gF2su6yGVEfA"/>
    <s v="Drop Dead Fred"/>
    <s v="http://www.youtube.com/channel/UCalKrFmeBM-gF2su6yGVEfA"/>
    <m/>
    <s v="wadBvDPeE4E"/>
    <s v="https://www.youtube.com/watch?v=wadBvDPeE4E"/>
    <s v="none"/>
    <n v="0"/>
    <x v="138"/>
    <d v="2012-10-20T16:15:48.000"/>
    <m/>
    <m/>
    <s v=""/>
    <n v="12"/>
    <s v="1"/>
    <s v="1"/>
    <n v="3"/>
    <n v="3.225806451612903"/>
    <n v="2"/>
    <n v="2.150537634408602"/>
    <n v="0"/>
    <n v="0"/>
    <n v="88"/>
    <n v="94.6236559139785"/>
    <n v="93"/>
  </r>
  <r>
    <s v="UCalKrFmeBM-gF2su6yGVEfA"/>
    <s v="UCvQECJukTDE2i6aCoMnS-Vg"/>
    <m/>
    <m/>
    <m/>
    <m/>
    <m/>
    <m/>
    <m/>
    <m/>
    <s v="No"/>
    <n v="142"/>
    <m/>
    <m/>
    <s v="Commented Video"/>
    <x v="0"/>
    <s v="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_x000a__x000a_I think this is impossible on a torus, although proving that it&amp;#39;s impossible would be tricky. If it&amp;#39;s not impossible, it&amp;#39;s certainly not intuitive."/>
    <s v="UCalKrFmeBM-gF2su6yGVEfA"/>
    <s v="Drop Dead Fred"/>
    <s v="http://www.youtube.com/channel/UCalKrFmeBM-gF2su6yGVEfA"/>
    <m/>
    <s v="wadBvDPeE4E"/>
    <s v="https://www.youtube.com/watch?v=wadBvDPeE4E"/>
    <s v="none"/>
    <n v="0"/>
    <x v="139"/>
    <d v="2012-10-20T17:48:17.000"/>
    <m/>
    <m/>
    <s v=""/>
    <n v="12"/>
    <s v="1"/>
    <s v="1"/>
    <n v="3"/>
    <n v="3.1914893617021276"/>
    <n v="5"/>
    <n v="5.319148936170213"/>
    <n v="0"/>
    <n v="0"/>
    <n v="86"/>
    <n v="91.48936170212765"/>
    <n v="94"/>
  </r>
  <r>
    <s v="UCalKrFmeBM-gF2su6yGVEfA"/>
    <s v="UCvQECJukTDE2i6aCoMnS-Vg"/>
    <m/>
    <m/>
    <m/>
    <m/>
    <m/>
    <m/>
    <m/>
    <m/>
    <s v="No"/>
    <n v="143"/>
    <m/>
    <m/>
    <s v="Commented Video"/>
    <x v="0"/>
    <s v="On second thought, I think I can prove that it&amp;#39;s impossible."/>
    <s v="UCalKrFmeBM-gF2su6yGVEfA"/>
    <s v="Drop Dead Fred"/>
    <s v="http://www.youtube.com/channel/UCalKrFmeBM-gF2su6yGVEfA"/>
    <m/>
    <s v="wadBvDPeE4E"/>
    <s v="https://www.youtube.com/watch?v=wadBvDPeE4E"/>
    <s v="none"/>
    <n v="0"/>
    <x v="140"/>
    <d v="2012-10-20T17:50:56.000"/>
    <m/>
    <m/>
    <s v=""/>
    <n v="12"/>
    <s v="1"/>
    <s v="1"/>
    <n v="0"/>
    <n v="0"/>
    <n v="1"/>
    <n v="7.6923076923076925"/>
    <n v="0"/>
    <n v="0"/>
    <n v="12"/>
    <n v="92.3076923076923"/>
    <n v="13"/>
  </r>
  <r>
    <s v="UCalKrFmeBM-gF2su6yGVEfA"/>
    <s v="UCvQECJukTDE2i6aCoMnS-Vg"/>
    <m/>
    <m/>
    <m/>
    <m/>
    <m/>
    <m/>
    <m/>
    <m/>
    <s v="No"/>
    <n v="144"/>
    <m/>
    <m/>
    <s v="Commented Video"/>
    <x v="0"/>
    <s v="A few things:_x000a__x000a_1. He never actually plots the info in three dimensions. 31:14 &amp;quot;two dimensional&amp;quot; does not always mean &amp;quot;flat&amp;quot;. The surface of a torus is still two dimensional. It encloses space in a third dimension, but that space is clearly not populated by the information. Both the lattice and the torus surface are two-dimensional._x000a__x000a_2. His point was about a network whose nodes are equi-distant on a surface that wraps around itself. This is easily representable on a sphere, but not on a torus."/>
    <s v="UCalKrFmeBM-gF2su6yGVEfA"/>
    <s v="Drop Dead Fred"/>
    <s v="http://www.youtube.com/channel/UCalKrFmeBM-gF2su6yGVEfA"/>
    <m/>
    <s v="wadBvDPeE4E"/>
    <s v="https://www.youtube.com/watch?v=wadBvDPeE4E"/>
    <s v="none"/>
    <n v="0"/>
    <x v="141"/>
    <d v="2012-10-20T19:31:18.000"/>
    <m/>
    <m/>
    <s v=""/>
    <n v="12"/>
    <s v="1"/>
    <s v="1"/>
    <n v="1"/>
    <n v="1.075268817204301"/>
    <n v="0"/>
    <n v="0"/>
    <n v="0"/>
    <n v="0"/>
    <n v="92"/>
    <n v="98.9247311827957"/>
    <n v="93"/>
  </r>
  <r>
    <s v="UCalKrFmeBM-gF2su6yGVEfA"/>
    <s v="UCvQECJukTDE2i6aCoMnS-Vg"/>
    <m/>
    <m/>
    <m/>
    <m/>
    <m/>
    <m/>
    <m/>
    <m/>
    <s v="No"/>
    <n v="145"/>
    <m/>
    <m/>
    <s v="Commented Video"/>
    <x v="0"/>
    <s v="3. Thank you for remaining civil during a difference of opinion over the internet."/>
    <s v="UCalKrFmeBM-gF2su6yGVEfA"/>
    <s v="Drop Dead Fred"/>
    <s v="http://www.youtube.com/channel/UCalKrFmeBM-gF2su6yGVEfA"/>
    <m/>
    <s v="wadBvDPeE4E"/>
    <s v="https://www.youtube.com/watch?v=wadBvDPeE4E"/>
    <s v="none"/>
    <n v="1"/>
    <x v="90"/>
    <d v="2012-10-20T19:31:54.000"/>
    <m/>
    <m/>
    <s v=""/>
    <n v="12"/>
    <s v="1"/>
    <s v="1"/>
    <n v="1"/>
    <n v="7.142857142857143"/>
    <n v="0"/>
    <n v="0"/>
    <n v="0"/>
    <n v="0"/>
    <n v="13"/>
    <n v="92.85714285714286"/>
    <n v="14"/>
  </r>
  <r>
    <s v="UCalKrFmeBM-gF2su6yGVEfA"/>
    <s v="UCvQECJukTDE2i6aCoMnS-Vg"/>
    <m/>
    <m/>
    <m/>
    <m/>
    <m/>
    <m/>
    <m/>
    <m/>
    <s v="No"/>
    <n v="146"/>
    <m/>
    <m/>
    <s v="Commented Video"/>
    <x v="0"/>
    <s v="16:30 -- a network is structured as a group of nodes and one-dimensional ties. This is not a hyper-dimensional structure, since it occupies a maximum of three dimensions of space."/>
    <s v="UCalKrFmeBM-gF2su6yGVEfA"/>
    <s v="Drop Dead Fred"/>
    <s v="http://www.youtube.com/channel/UCalKrFmeBM-gF2su6yGVEfA"/>
    <m/>
    <s v="wadBvDPeE4E"/>
    <s v="https://www.youtube.com/watch?v=wadBvDPeE4E"/>
    <s v="none"/>
    <n v="0"/>
    <x v="142"/>
    <d v="2012-10-20T20:24:05.000"/>
    <m/>
    <m/>
    <s v=""/>
    <n v="12"/>
    <s v="1"/>
    <s v="1"/>
    <n v="0"/>
    <n v="0"/>
    <n v="0"/>
    <n v="0"/>
    <n v="0"/>
    <n v="0"/>
    <n v="32"/>
    <n v="100"/>
    <n v="32"/>
  </r>
  <r>
    <s v="UCalKrFmeBM-gF2su6yGVEfA"/>
    <s v="UCvQECJukTDE2i6aCoMnS-Vg"/>
    <m/>
    <m/>
    <m/>
    <m/>
    <m/>
    <m/>
    <m/>
    <m/>
    <s v="No"/>
    <n v="147"/>
    <m/>
    <m/>
    <s v="Commented Video"/>
    <x v="0"/>
    <s v="Yes, you definitely CAN make a hypercube with points and lines. But you don&amp;#39;t NEED to make a hypercube to plot a bunch of points and lines, which is all a network is. It&amp;#39;s totally unnecessary and just adds jargon-y language to something simple for no reason._x000a__x000a_It&amp;#39;s like making a simple graph of something ... like &amp;#39;y vs. x&amp;#39;, and saying &amp;quot;yeah, it totally makes sense to plot that 1-dimensional line in the 17th spacial dimension and call it a hyper-graph.&amp;quot; No value added."/>
    <s v="UCalKrFmeBM-gF2su6yGVEfA"/>
    <s v="Drop Dead Fred"/>
    <s v="http://www.youtube.com/channel/UCalKrFmeBM-gF2su6yGVEfA"/>
    <m/>
    <s v="wadBvDPeE4E"/>
    <s v="https://www.youtube.com/watch?v=wadBvDPeE4E"/>
    <s v="none"/>
    <n v="0"/>
    <x v="143"/>
    <d v="2012-10-20T22:28:39.000"/>
    <m/>
    <m/>
    <s v=""/>
    <n v="12"/>
    <s v="1"/>
    <s v="1"/>
    <n v="2"/>
    <n v="2.0618556701030926"/>
    <n v="3"/>
    <n v="3.0927835051546393"/>
    <n v="0"/>
    <n v="0"/>
    <n v="92"/>
    <n v="94.84536082474227"/>
    <n v="97"/>
  </r>
  <r>
    <s v="UCalKrFmeBM-gF2su6yGVEfA"/>
    <s v="UCvQECJukTDE2i6aCoMnS-Vg"/>
    <m/>
    <m/>
    <m/>
    <m/>
    <m/>
    <m/>
    <m/>
    <m/>
    <s v="No"/>
    <n v="148"/>
    <m/>
    <m/>
    <s v="Commented Video"/>
    <x v="0"/>
    <s v="Personally I don&amp;#39;t see what patterns become clear by asking the reader to imagine a fourth or fifth spacial dimension so that I can plot some of the nodes in them when I could just as easily plot them in 3-space, but I can agree to disagree."/>
    <s v="UCalKrFmeBM-gF2su6yGVEfA"/>
    <s v="Drop Dead Fred"/>
    <s v="http://www.youtube.com/channel/UCalKrFmeBM-gF2su6yGVEfA"/>
    <m/>
    <s v="wadBvDPeE4E"/>
    <s v="https://www.youtube.com/watch?v=wadBvDPeE4E"/>
    <s v="none"/>
    <n v="0"/>
    <x v="144"/>
    <d v="2012-10-21T01:15:26.000"/>
    <m/>
    <m/>
    <s v=""/>
    <n v="12"/>
    <s v="1"/>
    <s v="1"/>
    <n v="1"/>
    <n v="2"/>
    <n v="3"/>
    <n v="6"/>
    <n v="0"/>
    <n v="0"/>
    <n v="46"/>
    <n v="92"/>
    <n v="50"/>
  </r>
  <r>
    <s v="UCalKrFmeBM-gF2su6yGVEfA"/>
    <s v="UCvQECJukTDE2i6aCoMnS-Vg"/>
    <m/>
    <m/>
    <m/>
    <m/>
    <m/>
    <m/>
    <m/>
    <m/>
    <s v="No"/>
    <n v="149"/>
    <m/>
    <m/>
    <s v="Commented Video"/>
    <x v="0"/>
    <s v="Fair enough. Maybe you can explain what I&amp;#39;m mixing up: you say that graphing social networks hyper-dimensionally would make certain patterns clear -- can you give me an example?"/>
    <s v="UCalKrFmeBM-gF2su6yGVEfA"/>
    <s v="Drop Dead Fred"/>
    <s v="http://www.youtube.com/channel/UCalKrFmeBM-gF2su6yGVEfA"/>
    <m/>
    <s v="wadBvDPeE4E"/>
    <s v="https://www.youtube.com/watch?v=wadBvDPeE4E"/>
    <s v="none"/>
    <n v="0"/>
    <x v="145"/>
    <d v="2012-10-21T02:23:16.000"/>
    <m/>
    <m/>
    <s v=""/>
    <n v="12"/>
    <s v="1"/>
    <s v="1"/>
    <n v="3"/>
    <n v="9.67741935483871"/>
    <n v="0"/>
    <n v="0"/>
    <n v="0"/>
    <n v="0"/>
    <n v="28"/>
    <n v="90.3225806451613"/>
    <n v="31"/>
  </r>
  <r>
    <s v="UCalKrFmeBM-gF2su6yGVEfA"/>
    <s v="UCvQECJukTDE2i6aCoMnS-Vg"/>
    <m/>
    <m/>
    <m/>
    <m/>
    <m/>
    <m/>
    <m/>
    <m/>
    <s v="No"/>
    <n v="150"/>
    <m/>
    <m/>
    <s v="Commented Video"/>
    <x v="0"/>
    <s v="Oh, okay. Here are some examples of social network plots in 2D and flattened 3D with clear explanations not requiring any extra-spacial dimensions: 16:07, 17:57, 18:07, 18:29, 19:16, 31:13, 31:22, 32:05, 36:05."/>
    <s v="UCalKrFmeBM-gF2su6yGVEfA"/>
    <s v="Drop Dead Fred"/>
    <s v="http://www.youtube.com/channel/UCalKrFmeBM-gF2su6yGVEfA"/>
    <m/>
    <s v="wadBvDPeE4E"/>
    <s v="https://www.youtube.com/watch?v=wadBvDPeE4E"/>
    <s v="none"/>
    <n v="0"/>
    <x v="146"/>
    <d v="2012-10-21T02:40:10.000"/>
    <m/>
    <m/>
    <s v=""/>
    <n v="12"/>
    <s v="1"/>
    <s v="1"/>
    <n v="1"/>
    <n v="2.380952380952381"/>
    <n v="0"/>
    <n v="0"/>
    <n v="0"/>
    <n v="0"/>
    <n v="41"/>
    <n v="97.61904761904762"/>
    <n v="42"/>
  </r>
  <r>
    <s v="UCalKrFmeBM-gF2su6yGVEfA"/>
    <s v="UCvQECJukTDE2i6aCoMnS-Vg"/>
    <m/>
    <m/>
    <m/>
    <m/>
    <m/>
    <m/>
    <m/>
    <m/>
    <s v="No"/>
    <n v="151"/>
    <m/>
    <m/>
    <s v="Commented Video"/>
    <x v="0"/>
    <s v="You&amp;#39;re people! :)_x000a__x000a_But you&amp;#39;re right -- I&amp;#39;m on my way to a Head of the Charles party in Harvard with my girlfriend, so I&amp;#39;ll have to end our conversation. Thanks for not resorting to name-calling during a disagreement on the internet!"/>
    <s v="UCalKrFmeBM-gF2su6yGVEfA"/>
    <s v="Drop Dead Fred"/>
    <s v="http://www.youtube.com/channel/UCalKrFmeBM-gF2su6yGVEfA"/>
    <m/>
    <s v="wadBvDPeE4E"/>
    <s v="https://www.youtube.com/watch?v=wadBvDPeE4E"/>
    <s v="none"/>
    <n v="0"/>
    <x v="147"/>
    <d v="2012-10-21T02:47:00.000"/>
    <m/>
    <m/>
    <s v=""/>
    <n v="12"/>
    <s v="1"/>
    <s v="1"/>
    <n v="1"/>
    <n v="2.0408163265306123"/>
    <n v="1"/>
    <n v="2.0408163265306123"/>
    <n v="0"/>
    <n v="0"/>
    <n v="47"/>
    <n v="95.91836734693878"/>
    <n v="49"/>
  </r>
  <r>
    <s v="UCqJ4icbP_lB6SxjqE9vhvEQ"/>
    <s v="UC8arHXt-X0QMxaO3HBnMShQ"/>
    <m/>
    <m/>
    <m/>
    <m/>
    <m/>
    <m/>
    <m/>
    <m/>
    <s v="No"/>
    <n v="152"/>
    <m/>
    <m/>
    <s v="Replied Comment"/>
    <x v="1"/>
    <s v="Totally!&lt;br&gt;Knowledge changes w/ our life experience. We can see things in more &amp;amp; more different perspectives when we have experienced life itself.&lt;br&gt;&lt;br&gt;That’s why besides knowledge, academy nowadays also strikes the importance of practice workshop~&lt;br&gt;&lt;br&gt;(Oh and btw, new knowledge also provides old knowledge new perspective. It’s never a waste of time to reach your study into as many far-flung fields as you can.&lt;br&gt;I myself definitely feel the benefits of combining artistic training to my engineering problem-solving flow!!)"/>
    <s v="UCqJ4icbP_lB6SxjqE9vhvEQ"/>
    <s v="tokyomilmil"/>
    <s v="http://www.youtube.com/channel/UCqJ4icbP_lB6SxjqE9vhvEQ"/>
    <s v="UgwagVqmYEDPBZUHnlF4AaABAg"/>
    <s v="wadBvDPeE4E"/>
    <s v="https://www.youtube.com/watch?v=wadBvDPeE4E"/>
    <s v="none"/>
    <n v="3"/>
    <x v="148"/>
    <d v="2021-03-18T05:00:29.000"/>
    <m/>
    <m/>
    <s v=""/>
    <n v="1"/>
    <s v="3"/>
    <s v="3"/>
    <n v="1"/>
    <n v="1.1111111111111112"/>
    <n v="2"/>
    <n v="2.2222222222222223"/>
    <n v="0"/>
    <n v="0"/>
    <n v="87"/>
    <n v="96.66666666666667"/>
    <n v="90"/>
  </r>
  <r>
    <s v="UCyqRPzzVpb3nxouv8ngDnrA"/>
    <s v="UC8arHXt-X0QMxaO3HBnMShQ"/>
    <m/>
    <m/>
    <m/>
    <m/>
    <m/>
    <m/>
    <m/>
    <m/>
    <s v="No"/>
    <n v="153"/>
    <m/>
    <m/>
    <s v="Replied Comment"/>
    <x v="1"/>
    <s v="@tokyomilmil Awesome response! You are spot on!"/>
    <s v="UCyqRPzzVpb3nxouv8ngDnrA"/>
    <s v="verZatile _bmotp"/>
    <s v="http://www.youtube.com/channel/UCyqRPzzVpb3nxouv8ngDnrA"/>
    <s v="UgwagVqmYEDPBZUHnlF4AaABAg"/>
    <s v="wadBvDPeE4E"/>
    <s v="https://www.youtube.com/watch?v=wadBvDPeE4E"/>
    <s v="none"/>
    <n v="0"/>
    <x v="149"/>
    <d v="2021-08-31T21:54:52.000"/>
    <m/>
    <m/>
    <s v=""/>
    <n v="1"/>
    <s v="3"/>
    <s v="3"/>
    <n v="1"/>
    <n v="14.285714285714286"/>
    <n v="0"/>
    <n v="0"/>
    <n v="0"/>
    <n v="0"/>
    <n v="6"/>
    <n v="85.71428571428571"/>
    <n v="7"/>
  </r>
  <r>
    <s v="UC8arHXt-X0QMxaO3HBnMShQ"/>
    <s v="UCvQECJukTDE2i6aCoMnS-Vg"/>
    <m/>
    <m/>
    <m/>
    <m/>
    <m/>
    <m/>
    <m/>
    <m/>
    <s v="No"/>
    <n v="154"/>
    <m/>
    <m/>
    <s v="Commented Video"/>
    <x v="0"/>
    <s v="is it weird that I have watched this 3 times already? I feel that I watch it again and again, I see information clearer and listen something different each time"/>
    <s v="UC8arHXt-X0QMxaO3HBnMShQ"/>
    <s v="DDRisTricky"/>
    <s v="http://www.youtube.com/channel/UC8arHXt-X0QMxaO3HBnMShQ"/>
    <m/>
    <s v="wadBvDPeE4E"/>
    <s v="https://www.youtube.com/watch?v=wadBvDPeE4E"/>
    <s v="none"/>
    <n v="10"/>
    <x v="150"/>
    <d v="2012-10-21T03:09:40.000"/>
    <m/>
    <m/>
    <s v=""/>
    <n v="1"/>
    <s v="3"/>
    <s v="1"/>
    <n v="1"/>
    <n v="3.3333333333333335"/>
    <n v="1"/>
    <n v="3.3333333333333335"/>
    <n v="0"/>
    <n v="0"/>
    <n v="28"/>
    <n v="93.33333333333333"/>
    <n v="30"/>
  </r>
  <r>
    <s v="UCQ6uCr5xhqJYoPqMsNUl8dQ"/>
    <s v="UCvQECJukTDE2i6aCoMnS-Vg"/>
    <m/>
    <m/>
    <m/>
    <m/>
    <m/>
    <m/>
    <m/>
    <m/>
    <s v="No"/>
    <n v="155"/>
    <m/>
    <m/>
    <s v="Commented Video"/>
    <x v="0"/>
    <s v="he he.... &amp;#39;dike&amp;#39;"/>
    <s v="UCQ6uCr5xhqJYoPqMsNUl8dQ"/>
    <s v="agl9591"/>
    <s v="http://www.youtube.com/channel/UCQ6uCr5xhqJYoPqMsNUl8dQ"/>
    <m/>
    <s v="wadBvDPeE4E"/>
    <s v="https://www.youtube.com/watch?v=wadBvDPeE4E"/>
    <s v="none"/>
    <n v="0"/>
    <x v="151"/>
    <d v="2012-10-21T03:25:00.000"/>
    <m/>
    <m/>
    <s v=""/>
    <n v="1"/>
    <s v="1"/>
    <s v="1"/>
    <n v="0"/>
    <n v="0"/>
    <n v="0"/>
    <n v="0"/>
    <n v="0"/>
    <n v="0"/>
    <n v="5"/>
    <n v="100"/>
    <n v="5"/>
  </r>
  <r>
    <s v="UCpgmN2y1t17F3EckpZk79NQ"/>
    <s v="UCvQECJukTDE2i6aCoMnS-Vg"/>
    <m/>
    <m/>
    <m/>
    <m/>
    <m/>
    <m/>
    <m/>
    <m/>
    <s v="No"/>
    <n v="156"/>
    <m/>
    <m/>
    <s v="Commented Video"/>
    <x v="0"/>
    <s v="/watch?v=6fiFcj3ILeo&amp;amp;feature=g-user-u"/>
    <s v="UCpgmN2y1t17F3EckpZk79NQ"/>
    <s v="Aizacc84"/>
    <s v="http://www.youtube.com/channel/UCpgmN2y1t17F3EckpZk79NQ"/>
    <m/>
    <s v="wadBvDPeE4E"/>
    <s v="https://www.youtube.com/watch?v=wadBvDPeE4E"/>
    <s v="none"/>
    <n v="0"/>
    <x v="152"/>
    <d v="2012-10-21T03:25:05.000"/>
    <m/>
    <m/>
    <s v=""/>
    <n v="1"/>
    <s v="1"/>
    <s v="1"/>
    <n v="0"/>
    <n v="0"/>
    <n v="0"/>
    <n v="0"/>
    <n v="0"/>
    <n v="0"/>
    <n v="8"/>
    <n v="100"/>
    <n v="8"/>
  </r>
  <r>
    <s v="UC4cRm0eDbP5GfY6lQkF4Cjw"/>
    <s v="UCvQECJukTDE2i6aCoMnS-Vg"/>
    <m/>
    <m/>
    <m/>
    <m/>
    <m/>
    <m/>
    <m/>
    <m/>
    <s v="No"/>
    <n v="157"/>
    <m/>
    <m/>
    <s v="Commented Video"/>
    <x v="0"/>
    <s v="These videos are so Perfect! Keep making them!"/>
    <s v="UC4cRm0eDbP5GfY6lQkF4Cjw"/>
    <s v="Loytachi"/>
    <s v="http://www.youtube.com/channel/UC4cRm0eDbP5GfY6lQkF4Cjw"/>
    <m/>
    <s v="wadBvDPeE4E"/>
    <s v="https://www.youtube.com/watch?v=wadBvDPeE4E"/>
    <s v="none"/>
    <n v="2"/>
    <x v="153"/>
    <d v="2012-10-21T03:47:02.000"/>
    <m/>
    <m/>
    <s v=""/>
    <n v="1"/>
    <s v="1"/>
    <s v="1"/>
    <n v="1"/>
    <n v="12.5"/>
    <n v="0"/>
    <n v="0"/>
    <n v="0"/>
    <n v="0"/>
    <n v="7"/>
    <n v="87.5"/>
    <n v="8"/>
  </r>
  <r>
    <s v="UCc9qu9hmbak_0Nr5weLjSTQ"/>
    <s v="UCvQECJukTDE2i6aCoMnS-Vg"/>
    <m/>
    <m/>
    <m/>
    <m/>
    <m/>
    <m/>
    <m/>
    <m/>
    <s v="No"/>
    <n v="158"/>
    <m/>
    <m/>
    <s v="Commented Video"/>
    <x v="0"/>
    <s v="by pointing out his little quest of social acceptance you&amp;#39;ve done the same thing as him and so did i and anybody that corrects me will also partake in this little paradox,so don&amp;#39;t judge everyone likes to be accepted regardless if you admit it or not "/>
    <s v="UCc9qu9hmbak_0Nr5weLjSTQ"/>
    <s v="luis magana"/>
    <s v="http://www.youtube.com/channel/UCc9qu9hmbak_0Nr5weLjSTQ"/>
    <m/>
    <s v="wadBvDPeE4E"/>
    <s v="https://www.youtube.com/watch?v=wadBvDPeE4E"/>
    <s v="none"/>
    <n v="0"/>
    <x v="154"/>
    <d v="2012-10-20T21:19:44.000"/>
    <m/>
    <m/>
    <s v=""/>
    <n v="3"/>
    <s v="1"/>
    <s v="1"/>
    <n v="1"/>
    <n v="1.9607843137254901"/>
    <n v="0"/>
    <n v="0"/>
    <n v="0"/>
    <n v="0"/>
    <n v="50"/>
    <n v="98.03921568627452"/>
    <n v="51"/>
  </r>
  <r>
    <s v="UCc9qu9hmbak_0Nr5weLjSTQ"/>
    <s v="UCvQECJukTDE2i6aCoMnS-Vg"/>
    <m/>
    <m/>
    <m/>
    <m/>
    <m/>
    <m/>
    <m/>
    <m/>
    <s v="No"/>
    <n v="159"/>
    <m/>
    <m/>
    <s v="Commented Video"/>
    <x v="0"/>
    <s v="sorry English is second my language,well why are you pointing out the obvious seems a little stupid at least in the sense that your doing the exact same thing, maybe i just wanted to point out the irony of it lol"/>
    <s v="UCc9qu9hmbak_0Nr5weLjSTQ"/>
    <s v="luis magana"/>
    <s v="http://www.youtube.com/channel/UCc9qu9hmbak_0Nr5weLjSTQ"/>
    <m/>
    <s v="wadBvDPeE4E"/>
    <s v="https://www.youtube.com/watch?v=wadBvDPeE4E"/>
    <s v="none"/>
    <n v="0"/>
    <x v="155"/>
    <d v="2012-10-21T03:51:52.000"/>
    <m/>
    <m/>
    <s v=""/>
    <n v="3"/>
    <s v="1"/>
    <s v="1"/>
    <n v="1"/>
    <n v="2.380952380952381"/>
    <n v="3"/>
    <n v="7.142857142857143"/>
    <n v="0"/>
    <n v="0"/>
    <n v="38"/>
    <n v="90.47619047619048"/>
    <n v="42"/>
  </r>
  <r>
    <s v="UCc9qu9hmbak_0Nr5weLjSTQ"/>
    <s v="UCvQECJukTDE2i6aCoMnS-Vg"/>
    <m/>
    <m/>
    <m/>
    <m/>
    <m/>
    <m/>
    <m/>
    <m/>
    <s v="No"/>
    <n v="160"/>
    <m/>
    <m/>
    <s v="Commented Video"/>
    <x v="0"/>
    <s v="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
    <s v="UCc9qu9hmbak_0Nr5weLjSTQ"/>
    <s v="luis magana"/>
    <s v="http://www.youtube.com/channel/UCc9qu9hmbak_0Nr5weLjSTQ"/>
    <m/>
    <s v="wadBvDPeE4E"/>
    <s v="https://www.youtube.com/watch?v=wadBvDPeE4E"/>
    <s v="none"/>
    <n v="0"/>
    <x v="156"/>
    <d v="2012-10-21T04:09:46.000"/>
    <m/>
    <m/>
    <s v=""/>
    <n v="3"/>
    <s v="1"/>
    <s v="1"/>
    <n v="2"/>
    <n v="2.816901408450704"/>
    <n v="2"/>
    <n v="2.816901408450704"/>
    <n v="0"/>
    <n v="0"/>
    <n v="67"/>
    <n v="94.36619718309859"/>
    <n v="71"/>
  </r>
  <r>
    <s v="UCSk24Nsn_pSMK0mr6ApUyBw"/>
    <s v="UCvQECJukTDE2i6aCoMnS-Vg"/>
    <m/>
    <m/>
    <m/>
    <m/>
    <m/>
    <m/>
    <m/>
    <m/>
    <s v="No"/>
    <n v="161"/>
    <m/>
    <m/>
    <s v="Commented Video"/>
    <x v="0"/>
    <s v="more power apologetics. state interventions are not optimal solutions to any problem. social concern ought translate to voluntary philanthropic solutions"/>
    <s v="UCSk24Nsn_pSMK0mr6ApUyBw"/>
    <s v="oldworldhuman"/>
    <s v="http://www.youtube.com/channel/UCSk24Nsn_pSMK0mr6ApUyBw"/>
    <m/>
    <s v="wadBvDPeE4E"/>
    <s v="https://www.youtube.com/watch?v=wadBvDPeE4E"/>
    <s v="none"/>
    <n v="0"/>
    <x v="157"/>
    <d v="2012-10-21T05:15:53.000"/>
    <m/>
    <m/>
    <s v=""/>
    <n v="1"/>
    <s v="1"/>
    <s v="1"/>
    <n v="1"/>
    <n v="5"/>
    <n v="2"/>
    <n v="10"/>
    <n v="0"/>
    <n v="0"/>
    <n v="17"/>
    <n v="85"/>
    <n v="20"/>
  </r>
  <r>
    <s v="UCQCITDKhRvmb0qb9uKjq7Tw"/>
    <s v="UCvQECJukTDE2i6aCoMnS-Vg"/>
    <m/>
    <m/>
    <m/>
    <m/>
    <m/>
    <m/>
    <m/>
    <m/>
    <s v="No"/>
    <n v="162"/>
    <m/>
    <m/>
    <s v="Commented Video"/>
    <x v="0"/>
    <s v="we&amp;#39;re way smarter than most people"/>
    <s v="UCQCITDKhRvmb0qb9uKjq7Tw"/>
    <s v="colhom 1"/>
    <s v="http://www.youtube.com/channel/UCQCITDKhRvmb0qb9uKjq7Tw"/>
    <m/>
    <s v="wadBvDPeE4E"/>
    <s v="https://www.youtube.com/watch?v=wadBvDPeE4E"/>
    <s v="none"/>
    <n v="0"/>
    <x v="158"/>
    <d v="2012-10-21T07:34:40.000"/>
    <m/>
    <m/>
    <s v=""/>
    <n v="1"/>
    <s v="1"/>
    <s v="1"/>
    <n v="1"/>
    <n v="12.5"/>
    <n v="0"/>
    <n v="0"/>
    <n v="0"/>
    <n v="0"/>
    <n v="7"/>
    <n v="87.5"/>
    <n v="8"/>
  </r>
  <r>
    <s v="UCa5CmMz6J6zsMXzIVJy1XPQ"/>
    <s v="UCvQECJukTDE2i6aCoMnS-Vg"/>
    <m/>
    <m/>
    <m/>
    <m/>
    <m/>
    <m/>
    <m/>
    <m/>
    <s v="No"/>
    <n v="163"/>
    <m/>
    <m/>
    <s v="Commented Video"/>
    <x v="0"/>
    <s v="one would think that these kind of videos are viewed by individuals that are smart enough to not care about stating that they were first to comment :D But that just proves that i need to study sociology to understand that it is not the case :D"/>
    <s v="UCa5CmMz6J6zsMXzIVJy1XPQ"/>
    <s v="Squall Leonhart"/>
    <s v="http://www.youtube.com/channel/UCa5CmMz6J6zsMXzIVJy1XPQ"/>
    <m/>
    <s v="wadBvDPeE4E"/>
    <s v="https://www.youtube.com/watch?v=wadBvDPeE4E"/>
    <s v="none"/>
    <n v="0"/>
    <x v="159"/>
    <d v="2012-10-20T15:13:59.000"/>
    <m/>
    <m/>
    <s v=""/>
    <n v="2"/>
    <s v="1"/>
    <s v="1"/>
    <n v="3"/>
    <n v="6.382978723404255"/>
    <n v="0"/>
    <n v="0"/>
    <n v="0"/>
    <n v="0"/>
    <n v="44"/>
    <n v="93.61702127659575"/>
    <n v="47"/>
  </r>
  <r>
    <s v="UCa5CmMz6J6zsMXzIVJy1XPQ"/>
    <s v="UCvQECJukTDE2i6aCoMnS-Vg"/>
    <m/>
    <m/>
    <m/>
    <m/>
    <m/>
    <m/>
    <m/>
    <m/>
    <s v="No"/>
    <n v="164"/>
    <m/>
    <m/>
    <s v="Commented Video"/>
    <x v="0"/>
    <s v="Personally i find it very sad that you interpreted my observation as a &amp;quot;personal attack&amp;quot; even though i clearly expressed that you inspired me to study human behavior more. Could as well see my gratitude instead. Makes me wonder if you are used to &amp;quot;personal attacks&amp;quot; directed at you... must be related to your Hitlers profile picture... _x000a__x000a_P.S. FYI the &amp;quot;informal emoticons&amp;quot; meaning is &amp;quot;happy&amp;quot; - it was deliberately used to express my happiness caused by your unusual behavior that inspired me to study."/>
    <s v="UCa5CmMz6J6zsMXzIVJy1XPQ"/>
    <s v="Squall Leonhart"/>
    <s v="http://www.youtube.com/channel/UCa5CmMz6J6zsMXzIVJy1XPQ"/>
    <m/>
    <s v="wadBvDPeE4E"/>
    <s v="https://www.youtube.com/watch?v=wadBvDPeE4E"/>
    <s v="none"/>
    <n v="0"/>
    <x v="160"/>
    <d v="2012-10-21T08:01:31.000"/>
    <m/>
    <m/>
    <s v=""/>
    <n v="2"/>
    <s v="1"/>
    <s v="1"/>
    <n v="6"/>
    <n v="6.521739130434782"/>
    <n v="4"/>
    <n v="4.3478260869565215"/>
    <n v="0"/>
    <n v="0"/>
    <n v="82"/>
    <n v="89.1304347826087"/>
    <n v="92"/>
  </r>
  <r>
    <s v="UCp0gW4T9SMfczHwBLotTuNQ"/>
    <s v="UCvQECJukTDE2i6aCoMnS-Vg"/>
    <m/>
    <m/>
    <m/>
    <m/>
    <m/>
    <m/>
    <m/>
    <m/>
    <s v="No"/>
    <n v="165"/>
    <m/>
    <m/>
    <s v="Commented Video"/>
    <x v="0"/>
    <s v="Do you really think that a simple grate would save thousands of lives? People would surely find some other ways after being unsuccessful on the Golden Gate bridge. Like jumping of some skyscraper would become an option."/>
    <s v="UCp0gW4T9SMfczHwBLotTuNQ"/>
    <s v="Rom Hook"/>
    <s v="http://www.youtube.com/channel/UCp0gW4T9SMfczHwBLotTuNQ"/>
    <m/>
    <s v="wadBvDPeE4E"/>
    <s v="https://www.youtube.com/watch?v=wadBvDPeE4E"/>
    <s v="none"/>
    <n v="0"/>
    <x v="161"/>
    <d v="2012-10-21T08:40:50.000"/>
    <m/>
    <m/>
    <s v=""/>
    <n v="1"/>
    <s v="1"/>
    <s v="1"/>
    <n v="2"/>
    <n v="5.405405405405405"/>
    <n v="2"/>
    <n v="5.405405405405405"/>
    <n v="0"/>
    <n v="0"/>
    <n v="33"/>
    <n v="89.1891891891892"/>
    <n v="37"/>
  </r>
  <r>
    <s v="UCqHav2T8EfBmAp2bGh1bJUQ"/>
    <s v="UCvQECJukTDE2i6aCoMnS-Vg"/>
    <m/>
    <m/>
    <m/>
    <m/>
    <m/>
    <m/>
    <m/>
    <m/>
    <s v="No"/>
    <n v="166"/>
    <m/>
    <m/>
    <s v="Commented Video"/>
    <x v="0"/>
    <s v="Big Think is the best."/>
    <s v="UCqHav2T8EfBmAp2bGh1bJUQ"/>
    <s v="mangeybum"/>
    <s v="http://www.youtube.com/channel/UCqHav2T8EfBmAp2bGh1bJUQ"/>
    <m/>
    <s v="wadBvDPeE4E"/>
    <s v="https://www.youtube.com/watch?v=wadBvDPeE4E"/>
    <s v="none"/>
    <n v="0"/>
    <x v="162"/>
    <d v="2012-10-21T08:48:23.000"/>
    <m/>
    <m/>
    <s v=""/>
    <n v="1"/>
    <s v="1"/>
    <s v="1"/>
    <n v="1"/>
    <n v="20"/>
    <n v="0"/>
    <n v="0"/>
    <n v="0"/>
    <n v="0"/>
    <n v="4"/>
    <n v="80"/>
    <n v="5"/>
  </r>
  <r>
    <s v="UCBtYZsDaTEj51OodIzYrgmQ"/>
    <s v="UCvQECJukTDE2i6aCoMnS-Vg"/>
    <m/>
    <m/>
    <m/>
    <m/>
    <m/>
    <m/>
    <m/>
    <m/>
    <s v="No"/>
    <n v="167"/>
    <m/>
    <m/>
    <s v="Commented Video"/>
    <x v="0"/>
    <s v="Wow, Dr Christakis you blew my mind away! So the fact that i&amp;#39;m posting a comment has been predetermined by the structure of my current existence. This truly  has been  a deep and profound experience. I hope you continue these online lectures._x000a__x000a_ I just purchased your book &amp;quot;connected&amp;quot; and assuming it&amp;#39;s in the same style as this video cast, I shall continue this amazing experience. "/>
    <s v="UCBtYZsDaTEj51OodIzYrgmQ"/>
    <s v="Jeff Hirai"/>
    <s v="http://www.youtube.com/channel/UCBtYZsDaTEj51OodIzYrgmQ"/>
    <m/>
    <s v="wadBvDPeE4E"/>
    <s v="https://www.youtube.com/watch?v=wadBvDPeE4E"/>
    <s v="none"/>
    <n v="2"/>
    <x v="163"/>
    <d v="2012-10-21T10:04:25.000"/>
    <m/>
    <m/>
    <s v=""/>
    <n v="1"/>
    <s v="1"/>
    <s v="1"/>
    <n v="3"/>
    <n v="4.225352112676056"/>
    <n v="0"/>
    <n v="0"/>
    <n v="0"/>
    <n v="0"/>
    <n v="68"/>
    <n v="95.77464788732394"/>
    <n v="71"/>
  </r>
  <r>
    <s v="UCsXnwapwuxHXs70NCxCVDmg"/>
    <s v="UCvQECJukTDE2i6aCoMnS-Vg"/>
    <m/>
    <m/>
    <m/>
    <m/>
    <m/>
    <m/>
    <m/>
    <m/>
    <s v="No"/>
    <n v="168"/>
    <m/>
    <m/>
    <s v="Commented Video"/>
    <x v="0"/>
    <s v="whats the difference between sociology and psychology?"/>
    <s v="UCsXnwapwuxHXs70NCxCVDmg"/>
    <s v="haku4207"/>
    <s v="http://www.youtube.com/channel/UCsXnwapwuxHXs70NCxCVDmg"/>
    <m/>
    <s v="wadBvDPeE4E"/>
    <s v="https://www.youtube.com/watch?v=wadBvDPeE4E"/>
    <s v="none"/>
    <n v="0"/>
    <x v="164"/>
    <d v="2012-10-21T00:59:03.000"/>
    <m/>
    <m/>
    <s v=""/>
    <n v="2"/>
    <s v="1"/>
    <s v="1"/>
    <n v="0"/>
    <n v="0"/>
    <n v="0"/>
    <n v="0"/>
    <n v="0"/>
    <n v="0"/>
    <n v="7"/>
    <n v="100"/>
    <n v="7"/>
  </r>
  <r>
    <s v="UCsXnwapwuxHXs70NCxCVDmg"/>
    <s v="UCvQECJukTDE2i6aCoMnS-Vg"/>
    <m/>
    <m/>
    <m/>
    <m/>
    <m/>
    <m/>
    <m/>
    <m/>
    <s v="No"/>
    <n v="169"/>
    <m/>
    <m/>
    <s v="Commented Video"/>
    <x v="0"/>
    <s v="thanks, I think social psychology would be my favourite branch to study"/>
    <s v="UCsXnwapwuxHXs70NCxCVDmg"/>
    <s v="haku4207"/>
    <s v="http://www.youtube.com/channel/UCsXnwapwuxHXs70NCxCVDmg"/>
    <m/>
    <s v="wadBvDPeE4E"/>
    <s v="https://www.youtube.com/watch?v=wadBvDPeE4E"/>
    <s v="none"/>
    <n v="0"/>
    <x v="165"/>
    <d v="2012-10-21T14:28:13.000"/>
    <m/>
    <m/>
    <s v=""/>
    <n v="2"/>
    <s v="1"/>
    <s v="1"/>
    <n v="0"/>
    <n v="0"/>
    <n v="0"/>
    <n v="0"/>
    <n v="0"/>
    <n v="0"/>
    <n v="12"/>
    <n v="100"/>
    <n v="12"/>
  </r>
  <r>
    <s v="UCzBU8flfYX1lWOo-JAnAKTg"/>
    <s v="UCvQECJukTDE2i6aCoMnS-Vg"/>
    <m/>
    <m/>
    <m/>
    <m/>
    <m/>
    <m/>
    <m/>
    <m/>
    <s v="No"/>
    <n v="170"/>
    <m/>
    <m/>
    <s v="Commented Video"/>
    <x v="0"/>
    <s v="obesity is a epidemic O-o......"/>
    <s v="UCzBU8flfYX1lWOo-JAnAKTg"/>
    <s v="hamdan aziz"/>
    <s v="http://www.youtube.com/channel/UCzBU8flfYX1lWOo-JAnAKTg"/>
    <m/>
    <s v="wadBvDPeE4E"/>
    <s v="https://www.youtube.com/watch?v=wadBvDPeE4E"/>
    <s v="none"/>
    <n v="0"/>
    <x v="166"/>
    <d v="2012-10-21T15:39:51.000"/>
    <m/>
    <m/>
    <s v=""/>
    <n v="1"/>
    <s v="1"/>
    <s v="1"/>
    <n v="0"/>
    <n v="0"/>
    <n v="1"/>
    <n v="16.666666666666668"/>
    <n v="0"/>
    <n v="0"/>
    <n v="5"/>
    <n v="83.33333333333333"/>
    <n v="6"/>
  </r>
  <r>
    <s v="UC39xVeV3dYjBTUkSBK8XBaA"/>
    <s v="UCvQECJukTDE2i6aCoMnS-Vg"/>
    <m/>
    <m/>
    <m/>
    <m/>
    <m/>
    <m/>
    <m/>
    <m/>
    <s v="No"/>
    <n v="171"/>
    <m/>
    <m/>
    <s v="Commented Video"/>
    <x v="0"/>
    <s v="I&amp;#39;m 15 and I had no idea of the things he was talking about before he educated me. I feel so much smarter being subscribed to BigThink"/>
    <s v="UC39xVeV3dYjBTUkSBK8XBaA"/>
    <s v="John Gallagher"/>
    <s v="http://www.youtube.com/channel/UC39xVeV3dYjBTUkSBK8XBaA"/>
    <m/>
    <s v="wadBvDPeE4E"/>
    <s v="https://www.youtube.com/watch?v=wadBvDPeE4E"/>
    <s v="none"/>
    <n v="0"/>
    <x v="167"/>
    <d v="2012-10-21T16:46:14.000"/>
    <m/>
    <m/>
    <s v=""/>
    <n v="1"/>
    <s v="1"/>
    <s v="1"/>
    <n v="2"/>
    <n v="6.896551724137931"/>
    <n v="0"/>
    <n v="0"/>
    <n v="0"/>
    <n v="0"/>
    <n v="27"/>
    <n v="93.10344827586206"/>
    <n v="29"/>
  </r>
  <r>
    <s v="UCLvt3bD1AJUnf7LEUXk_SOA"/>
    <s v="UCvQECJukTDE2i6aCoMnS-Vg"/>
    <m/>
    <m/>
    <m/>
    <m/>
    <m/>
    <m/>
    <m/>
    <m/>
    <s v="No"/>
    <n v="172"/>
    <m/>
    <m/>
    <s v="Commented Video"/>
    <x v="0"/>
    <s v="Great video!!! Sadly posting and sharing such videos on FB is not considered &amp;quot;cool&amp;quot; by the majority of people and views and interest will remain low for the foreseeable future :("/>
    <s v="UCLvt3bD1AJUnf7LEUXk_SOA"/>
    <s v="Danail Irinkov"/>
    <s v="http://www.youtube.com/channel/UCLvt3bD1AJUnf7LEUXk_SOA"/>
    <m/>
    <s v="wadBvDPeE4E"/>
    <s v="https://www.youtube.com/watch?v=wadBvDPeE4E"/>
    <s v="none"/>
    <n v="0"/>
    <x v="168"/>
    <d v="2012-10-21T16:46:57.000"/>
    <m/>
    <m/>
    <s v=""/>
    <n v="1"/>
    <s v="1"/>
    <s v="1"/>
    <n v="2"/>
    <n v="6.25"/>
    <n v="1"/>
    <n v="3.125"/>
    <n v="0"/>
    <n v="0"/>
    <n v="29"/>
    <n v="90.625"/>
    <n v="32"/>
  </r>
  <r>
    <s v="UCfzICRGe-9WPFYK7DQC4i0g"/>
    <s v="UCvQECJukTDE2i6aCoMnS-Vg"/>
    <m/>
    <m/>
    <m/>
    <m/>
    <m/>
    <m/>
    <m/>
    <m/>
    <s v="No"/>
    <n v="173"/>
    <m/>
    <m/>
    <s v="Commented Video"/>
    <x v="0"/>
    <s v="Guys, you&amp;#39;re really fast."/>
    <s v="UCfzICRGe-9WPFYK7DQC4i0g"/>
    <s v="gaibarhongkong"/>
    <s v="http://www.youtube.com/channel/UCfzICRGe-9WPFYK7DQC4i0g"/>
    <m/>
    <s v="wadBvDPeE4E"/>
    <s v="https://www.youtube.com/watch?v=wadBvDPeE4E"/>
    <s v="none"/>
    <n v="0"/>
    <x v="169"/>
    <d v="2012-10-20T13:49:20.000"/>
    <m/>
    <m/>
    <s v=""/>
    <n v="2"/>
    <s v="1"/>
    <s v="1"/>
    <n v="1"/>
    <n v="16.666666666666668"/>
    <n v="0"/>
    <n v="0"/>
    <n v="0"/>
    <n v="0"/>
    <n v="5"/>
    <n v="83.33333333333333"/>
    <n v="6"/>
  </r>
  <r>
    <s v="UCfzICRGe-9WPFYK7DQC4i0g"/>
    <s v="UCvQECJukTDE2i6aCoMnS-Vg"/>
    <m/>
    <m/>
    <m/>
    <m/>
    <m/>
    <m/>
    <m/>
    <m/>
    <s v="No"/>
    <n v="174"/>
    <m/>
    <m/>
    <s v="Commented Video"/>
    <x v="0"/>
    <s v="DAMMIT! I don&amp;#39;t speak English, so these words are not familiar &amp;gt;:("/>
    <s v="UCfzICRGe-9WPFYK7DQC4i0g"/>
    <s v="gaibarhongkong"/>
    <s v="http://www.youtube.com/channel/UCfzICRGe-9WPFYK7DQC4i0g"/>
    <m/>
    <s v="wadBvDPeE4E"/>
    <s v="https://www.youtube.com/watch?v=wadBvDPeE4E"/>
    <s v="none"/>
    <n v="0"/>
    <x v="170"/>
    <d v="2012-10-21T18:22:20.000"/>
    <m/>
    <m/>
    <s v=""/>
    <n v="2"/>
    <s v="1"/>
    <s v="1"/>
    <n v="0"/>
    <n v="0"/>
    <n v="0"/>
    <n v="0"/>
    <n v="0"/>
    <n v="0"/>
    <n v="14"/>
    <n v="100"/>
    <n v="14"/>
  </r>
  <r>
    <s v="UCnWB9pweC3vmwsOFh9CiJ9A"/>
    <s v="UCIrzfquSKE6mbwQqyL-Y8eQ"/>
    <m/>
    <m/>
    <m/>
    <m/>
    <m/>
    <m/>
    <m/>
    <m/>
    <s v="No"/>
    <n v="175"/>
    <m/>
    <m/>
    <s v="Replied Comment"/>
    <x v="1"/>
    <s v="It&amp;#39;s a science, not a hobby, please"/>
    <s v="UCnWB9pweC3vmwsOFh9CiJ9A"/>
    <s v="Delir"/>
    <s v="http://www.youtube.com/channel/UCnWB9pweC3vmwsOFh9CiJ9A"/>
    <s v="Ugy_wNDDX-ch4G33UmB4AaABAg"/>
    <s v="wadBvDPeE4E"/>
    <s v="https://www.youtube.com/watch?v=wadBvDPeE4E"/>
    <s v="none"/>
    <n v="0"/>
    <x v="171"/>
    <d v="2020-05-31T02:30:08.000"/>
    <m/>
    <m/>
    <s v=""/>
    <n v="1"/>
    <s v="13"/>
    <s v="13"/>
    <n v="0"/>
    <n v="0"/>
    <n v="0"/>
    <n v="0"/>
    <n v="0"/>
    <n v="0"/>
    <n v="9"/>
    <n v="100"/>
    <n v="9"/>
  </r>
  <r>
    <s v="UCzdkUb_z4LGJ-yz6CW4wFOQ"/>
    <s v="UCIrzfquSKE6mbwQqyL-Y8eQ"/>
    <m/>
    <m/>
    <m/>
    <m/>
    <m/>
    <m/>
    <m/>
    <m/>
    <s v="No"/>
    <n v="176"/>
    <m/>
    <m/>
    <s v="Replied Comment"/>
    <x v="1"/>
    <s v="How do you feel about this comment a year later Delir?"/>
    <s v="UCzdkUb_z4LGJ-yz6CW4wFOQ"/>
    <s v="GNARGNARHEAD"/>
    <s v="http://www.youtube.com/channel/UCzdkUb_z4LGJ-yz6CW4wFOQ"/>
    <s v="Ugy_wNDDX-ch4G33UmB4AaABAg"/>
    <s v="wadBvDPeE4E"/>
    <s v="https://www.youtube.com/watch?v=wadBvDPeE4E"/>
    <s v="none"/>
    <n v="0"/>
    <x v="172"/>
    <d v="2021-12-30T19:45:02.000"/>
    <m/>
    <m/>
    <s v=""/>
    <n v="1"/>
    <s v="13"/>
    <s v="13"/>
    <n v="0"/>
    <n v="0"/>
    <n v="0"/>
    <n v="0"/>
    <n v="0"/>
    <n v="0"/>
    <n v="11"/>
    <n v="100"/>
    <n v="11"/>
  </r>
  <r>
    <s v="UCQWi4ALl7UzEqBQ_DhdkygA"/>
    <s v="UCvQECJukTDE2i6aCoMnS-Vg"/>
    <m/>
    <m/>
    <m/>
    <m/>
    <m/>
    <m/>
    <m/>
    <m/>
    <s v="No"/>
    <n v="177"/>
    <m/>
    <m/>
    <s v="Commented Video"/>
    <x v="0"/>
    <s v="Great video!"/>
    <s v="UCQWi4ALl7UzEqBQ_DhdkygA"/>
    <s v="kristofari"/>
    <s v="http://www.youtube.com/channel/UCQWi4ALl7UzEqBQ_DhdkygA"/>
    <m/>
    <s v="wadBvDPeE4E"/>
    <s v="https://www.youtube.com/watch?v=wadBvDPeE4E"/>
    <s v="none"/>
    <n v="0"/>
    <x v="173"/>
    <d v="2012-10-21T19:01:24.000"/>
    <m/>
    <m/>
    <s v=""/>
    <n v="1"/>
    <s v="1"/>
    <s v="1"/>
    <n v="1"/>
    <n v="50"/>
    <n v="0"/>
    <n v="0"/>
    <n v="0"/>
    <n v="0"/>
    <n v="1"/>
    <n v="50"/>
    <n v="2"/>
  </r>
  <r>
    <s v="UCESIaJhf6RuFhvtpGfvCEVg"/>
    <s v="UCvQECJukTDE2i6aCoMnS-Vg"/>
    <m/>
    <m/>
    <m/>
    <m/>
    <m/>
    <m/>
    <m/>
    <m/>
    <s v="No"/>
    <n v="178"/>
    <m/>
    <m/>
    <s v="Commented Video"/>
    <x v="0"/>
    <s v="Suicide intervention, by unsuspected individuals or in the case of the Golden Gate Bridge, a safety net, may help reduce suicide rate because it gives people a chance to &amp;#39;step back&amp;#39; and rethink their action at the very last critical moment._x000a__x000a_A suicide barrier is ineffective in preventing suicide in the sense that an acutely depressed person might just opt for another bridge or tall building instead. The barrier is more effective in preventing suicidal person from damaging the image of a building"/>
    <s v="UCESIaJhf6RuFhvtpGfvCEVg"/>
    <s v="Ktisu"/>
    <s v="http://www.youtube.com/channel/UCESIaJhf6RuFhvtpGfvCEVg"/>
    <m/>
    <s v="wadBvDPeE4E"/>
    <s v="https://www.youtube.com/watch?v=wadBvDPeE4E"/>
    <s v="none"/>
    <n v="0"/>
    <x v="174"/>
    <d v="2012-10-21T19:12:03.000"/>
    <m/>
    <m/>
    <s v=""/>
    <n v="2"/>
    <s v="1"/>
    <s v="1"/>
    <n v="2"/>
    <n v="2.3529411764705883"/>
    <n v="9"/>
    <n v="10.588235294117647"/>
    <n v="0"/>
    <n v="0"/>
    <n v="74"/>
    <n v="87.05882352941177"/>
    <n v="85"/>
  </r>
  <r>
    <s v="UCESIaJhf6RuFhvtpGfvCEVg"/>
    <s v="UCvQECJukTDE2i6aCoMnS-Vg"/>
    <m/>
    <m/>
    <m/>
    <m/>
    <m/>
    <m/>
    <m/>
    <m/>
    <s v="No"/>
    <n v="179"/>
    <m/>
    <m/>
    <s v="Commented Video"/>
    <x v="0"/>
    <s v="A great video for thoughts nonetheless."/>
    <s v="UCESIaJhf6RuFhvtpGfvCEVg"/>
    <s v="Ktisu"/>
    <s v="http://www.youtube.com/channel/UCESIaJhf6RuFhvtpGfvCEVg"/>
    <m/>
    <s v="wadBvDPeE4E"/>
    <s v="https://www.youtube.com/watch?v=wadBvDPeE4E"/>
    <s v="none"/>
    <n v="0"/>
    <x v="175"/>
    <d v="2012-10-21T19:44:27.000"/>
    <m/>
    <m/>
    <s v=""/>
    <n v="2"/>
    <s v="1"/>
    <s v="1"/>
    <n v="1"/>
    <n v="16.666666666666668"/>
    <n v="0"/>
    <n v="0"/>
    <n v="0"/>
    <n v="0"/>
    <n v="5"/>
    <n v="83.33333333333333"/>
    <n v="6"/>
  </r>
  <r>
    <s v="UCVXQrNbG3_sjKQE9T4fpkYQ"/>
    <s v="UCvQECJukTDE2i6aCoMnS-Vg"/>
    <m/>
    <m/>
    <m/>
    <m/>
    <m/>
    <m/>
    <m/>
    <m/>
    <s v="No"/>
    <n v="180"/>
    <m/>
    <m/>
    <s v="Commented Video"/>
    <x v="0"/>
    <s v="What do you do to make it your hobby? "/>
    <s v="UCVXQrNbG3_sjKQE9T4fpkYQ"/>
    <s v="Coffeeisnecessarynow"/>
    <s v="http://www.youtube.com/channel/UCVXQrNbG3_sjKQE9T4fpkYQ"/>
    <m/>
    <s v="wadBvDPeE4E"/>
    <s v="https://www.youtube.com/watch?v=wadBvDPeE4E"/>
    <s v="none"/>
    <n v="0"/>
    <x v="176"/>
    <d v="2012-10-21T20:05:22.000"/>
    <m/>
    <m/>
    <s v=""/>
    <n v="1"/>
    <s v="1"/>
    <s v="1"/>
    <n v="0"/>
    <n v="0"/>
    <n v="0"/>
    <n v="0"/>
    <n v="0"/>
    <n v="0"/>
    <n v="9"/>
    <n v="100"/>
    <n v="9"/>
  </r>
  <r>
    <s v="UCCLFsheeNQmsG8a6iEVeTIA"/>
    <s v="UCvQECJukTDE2i6aCoMnS-Vg"/>
    <m/>
    <m/>
    <m/>
    <m/>
    <m/>
    <m/>
    <m/>
    <m/>
    <s v="No"/>
    <n v="181"/>
    <m/>
    <m/>
    <s v="Commented Video"/>
    <x v="0"/>
    <s v="If any of them would have mentioned they were going to kill themselves, society would have stopped them."/>
    <s v="UCCLFsheeNQmsG8a6iEVeTIA"/>
    <s v="cozyfoxstudio"/>
    <s v="http://www.youtube.com/channel/UCCLFsheeNQmsG8a6iEVeTIA"/>
    <m/>
    <s v="wadBvDPeE4E"/>
    <s v="https://www.youtube.com/watch?v=wadBvDPeE4E"/>
    <s v="none"/>
    <n v="0"/>
    <x v="177"/>
    <d v="2012-10-21T22:01:37.000"/>
    <m/>
    <m/>
    <s v=""/>
    <n v="1"/>
    <s v="1"/>
    <s v="1"/>
    <n v="0"/>
    <n v="0"/>
    <n v="1"/>
    <n v="5.555555555555555"/>
    <n v="0"/>
    <n v="0"/>
    <n v="17"/>
    <n v="94.44444444444444"/>
    <n v="18"/>
  </r>
  <r>
    <s v="UC7s6geywFBnD83-AAuxTKkQ"/>
    <s v="UCvQECJukTDE2i6aCoMnS-Vg"/>
    <m/>
    <m/>
    <m/>
    <m/>
    <m/>
    <m/>
    <m/>
    <m/>
    <s v="No"/>
    <n v="182"/>
    <m/>
    <m/>
    <s v="Commented Video"/>
    <x v="0"/>
    <s v="Dope video!"/>
    <s v="UC7s6geywFBnD83-AAuxTKkQ"/>
    <s v="edworrld"/>
    <s v="http://www.youtube.com/channel/UC7s6geywFBnD83-AAuxTKkQ"/>
    <m/>
    <s v="wadBvDPeE4E"/>
    <s v="https://www.youtube.com/watch?v=wadBvDPeE4E"/>
    <s v="none"/>
    <n v="0"/>
    <x v="178"/>
    <d v="2012-10-21T22:15:44.000"/>
    <m/>
    <m/>
    <s v=""/>
    <n v="1"/>
    <s v="1"/>
    <s v="1"/>
    <n v="0"/>
    <n v="0"/>
    <n v="1"/>
    <n v="50"/>
    <n v="0"/>
    <n v="0"/>
    <n v="1"/>
    <n v="50"/>
    <n v="2"/>
  </r>
  <r>
    <s v="UC7QqPCx8JUs30KzlclH4UiQ"/>
    <s v="UCvQECJukTDE2i6aCoMnS-Vg"/>
    <m/>
    <m/>
    <m/>
    <m/>
    <m/>
    <m/>
    <m/>
    <m/>
    <s v="No"/>
    <n v="183"/>
    <m/>
    <m/>
    <s v="Commented Video"/>
    <x v="0"/>
    <s v="P.B. is a social capital."/>
    <s v="UC7QqPCx8JUs30KzlclH4UiQ"/>
    <s v="z3bis"/>
    <s v="http://www.youtube.com/channel/UC7QqPCx8JUs30KzlclH4UiQ"/>
    <m/>
    <s v="wadBvDPeE4E"/>
    <s v="https://www.youtube.com/watch?v=wadBvDPeE4E"/>
    <s v="none"/>
    <n v="0"/>
    <x v="179"/>
    <d v="2012-10-21T22:21:18.000"/>
    <m/>
    <m/>
    <s v=""/>
    <n v="1"/>
    <s v="1"/>
    <s v="1"/>
    <n v="0"/>
    <n v="0"/>
    <n v="0"/>
    <n v="0"/>
    <n v="0"/>
    <n v="0"/>
    <n v="6"/>
    <n v="100"/>
    <n v="6"/>
  </r>
  <r>
    <s v="UCZx4ITIvj0ywX13d6SeMxjg"/>
    <s v="UCvQECJukTDE2i6aCoMnS-Vg"/>
    <m/>
    <m/>
    <m/>
    <m/>
    <m/>
    <m/>
    <m/>
    <m/>
    <s v="No"/>
    <n v="184"/>
    <m/>
    <m/>
    <s v="Commented Video"/>
    <x v="0"/>
    <s v="This guy for president"/>
    <s v="UCZx4ITIvj0ywX13d6SeMxjg"/>
    <s v="Marioguitar"/>
    <s v="http://www.youtube.com/channel/UCZx4ITIvj0ywX13d6SeMxjg"/>
    <m/>
    <s v="wadBvDPeE4E"/>
    <s v="https://www.youtube.com/watch?v=wadBvDPeE4E"/>
    <s v="none"/>
    <n v="0"/>
    <x v="180"/>
    <d v="2012-10-21T23:32:49.000"/>
    <m/>
    <m/>
    <s v=""/>
    <n v="1"/>
    <s v="1"/>
    <s v="1"/>
    <n v="0"/>
    <n v="0"/>
    <n v="0"/>
    <n v="0"/>
    <n v="0"/>
    <n v="0"/>
    <n v="4"/>
    <n v="100"/>
    <n v="4"/>
  </r>
  <r>
    <s v="UCucerXyWN1kO_jFDRofjfTg"/>
    <s v="UCvQECJukTDE2i6aCoMnS-Vg"/>
    <m/>
    <m/>
    <m/>
    <m/>
    <m/>
    <m/>
    <m/>
    <m/>
    <s v="No"/>
    <n v="185"/>
    <m/>
    <m/>
    <s v="Commented Video"/>
    <x v="0"/>
    <s v="11:00 a reason for suicide is, that people can end up in a negative thinking spiral. Once they decide to jump, that negative spiral is viewed from the outside, as that what it is, and thus actually understandable and fixable._x000a__x000a_in other words, a sort of virtual suicide can help to relativize the current problem as solvable and create a new perspective that gives tools to overcome the current situation._x000a__x000a__x000a_"/>
    <s v="UCucerXyWN1kO_jFDRofjfTg"/>
    <s v="ultraverydeepfield"/>
    <s v="http://www.youtube.com/channel/UCucerXyWN1kO_jFDRofjfTg"/>
    <m/>
    <s v="wadBvDPeE4E"/>
    <s v="https://www.youtube.com/watch?v=wadBvDPeE4E"/>
    <s v="none"/>
    <n v="0"/>
    <x v="181"/>
    <d v="2012-10-21T23:49:37.000"/>
    <m/>
    <m/>
    <s v=""/>
    <n v="2"/>
    <s v="1"/>
    <s v="1"/>
    <n v="1"/>
    <n v="1.408450704225352"/>
    <n v="5"/>
    <n v="7.042253521126761"/>
    <n v="0"/>
    <n v="0"/>
    <n v="65"/>
    <n v="91.54929577464789"/>
    <n v="71"/>
  </r>
  <r>
    <s v="UCucerXyWN1kO_jFDRofjfTg"/>
    <s v="UCvQECJukTDE2i6aCoMnS-Vg"/>
    <m/>
    <m/>
    <m/>
    <m/>
    <m/>
    <m/>
    <m/>
    <m/>
    <s v="No"/>
    <n v="186"/>
    <m/>
    <m/>
    <s v="Commented Video"/>
    <x v="0"/>
    <s v="28:20 Allan Watts: Trees are appling. Rocks are peopleing."/>
    <s v="UCucerXyWN1kO_jFDRofjfTg"/>
    <s v="ultraverydeepfield"/>
    <s v="http://www.youtube.com/channel/UCucerXyWN1kO_jFDRofjfTg"/>
    <m/>
    <s v="wadBvDPeE4E"/>
    <s v="https://www.youtube.com/watch?v=wadBvDPeE4E"/>
    <s v="none"/>
    <n v="1"/>
    <x v="182"/>
    <d v="2012-10-22T00:10:38.000"/>
    <m/>
    <m/>
    <s v=""/>
    <n v="2"/>
    <s v="1"/>
    <s v="1"/>
    <n v="0"/>
    <n v="0"/>
    <n v="0"/>
    <n v="0"/>
    <n v="0"/>
    <n v="0"/>
    <n v="10"/>
    <n v="100"/>
    <n v="10"/>
  </r>
  <r>
    <s v="UCIrzfquSKE6mbwQqyL-Y8eQ"/>
    <s v="UCvQECJukTDE2i6aCoMnS-Vg"/>
    <m/>
    <m/>
    <m/>
    <m/>
    <m/>
    <m/>
    <m/>
    <m/>
    <s v="No"/>
    <n v="187"/>
    <m/>
    <m/>
    <s v="Commented Video"/>
    <x v="0"/>
    <s v="well, as a social group, collectively, why aren&amp;#39;t Americans making a decision to improve the quality of food they eat? "/>
    <s v="UCIrzfquSKE6mbwQqyL-Y8eQ"/>
    <s v="Anna"/>
    <s v="http://www.youtube.com/channel/UCIrzfquSKE6mbwQqyL-Y8eQ"/>
    <m/>
    <s v="wadBvDPeE4E"/>
    <s v="https://www.youtube.com/watch?v=wadBvDPeE4E"/>
    <s v="none"/>
    <n v="0"/>
    <x v="183"/>
    <d v="2012-10-21T14:59:01.000"/>
    <m/>
    <m/>
    <s v=""/>
    <n v="4"/>
    <s v="13"/>
    <s v="1"/>
    <n v="2"/>
    <n v="9.090909090909092"/>
    <n v="0"/>
    <n v="0"/>
    <n v="0"/>
    <n v="0"/>
    <n v="20"/>
    <n v="90.9090909090909"/>
    <n v="22"/>
  </r>
  <r>
    <s v="UCIrzfquSKE6mbwQqyL-Y8eQ"/>
    <s v="UCvQECJukTDE2i6aCoMnS-Vg"/>
    <m/>
    <m/>
    <m/>
    <m/>
    <m/>
    <m/>
    <m/>
    <m/>
    <s v="No"/>
    <n v="188"/>
    <m/>
    <m/>
    <s v="Commented Video"/>
    <x v="0"/>
    <s v="This was so interesting. Thank you! I think sociology might become my new hobby..."/>
    <s v="UCIrzfquSKE6mbwQqyL-Y8eQ"/>
    <s v="Anna"/>
    <s v="http://www.youtube.com/channel/UCIrzfquSKE6mbwQqyL-Y8eQ"/>
    <m/>
    <s v="wadBvDPeE4E"/>
    <s v="https://www.youtube.com/watch?v=wadBvDPeE4E"/>
    <s v="none"/>
    <n v="1"/>
    <x v="184"/>
    <d v="2012-10-21T18:30:12.000"/>
    <m/>
    <m/>
    <s v=""/>
    <n v="4"/>
    <s v="13"/>
    <s v="1"/>
    <n v="2"/>
    <n v="14.285714285714286"/>
    <n v="0"/>
    <n v="0"/>
    <n v="0"/>
    <n v="0"/>
    <n v="12"/>
    <n v="85.71428571428571"/>
    <n v="14"/>
  </r>
  <r>
    <s v="UCIrzfquSKE6mbwQqyL-Y8eQ"/>
    <s v="UCvQECJukTDE2i6aCoMnS-Vg"/>
    <m/>
    <m/>
    <m/>
    <m/>
    <m/>
    <m/>
    <m/>
    <m/>
    <s v="No"/>
    <n v="189"/>
    <m/>
    <m/>
    <s v="Commented Video"/>
    <x v="0"/>
    <s v="Hey, I appreciate your comment. I just want to point out that I&amp;#39;m not picking on Americans, I was responding to a previous commenter who was talking about &amp;quot;what people eat&amp;quot; being a factor in US obesity. So I just thought from a sociological perspective the question might be why society is allowing for these changes. But that question could apply to any society with any issue, probably not even just food."/>
    <s v="UCIrzfquSKE6mbwQqyL-Y8eQ"/>
    <s v="Anna"/>
    <s v="http://www.youtube.com/channel/UCIrzfquSKE6mbwQqyL-Y8eQ"/>
    <m/>
    <s v="wadBvDPeE4E"/>
    <s v="https://www.youtube.com/watch?v=wadBvDPeE4E"/>
    <s v="none"/>
    <n v="0"/>
    <x v="185"/>
    <d v="2012-10-21T18:33:37.000"/>
    <m/>
    <m/>
    <s v=""/>
    <n v="4"/>
    <s v="13"/>
    <s v="1"/>
    <n v="1"/>
    <n v="1.3157894736842106"/>
    <n v="1"/>
    <n v="1.3157894736842106"/>
    <n v="0"/>
    <n v="0"/>
    <n v="74"/>
    <n v="97.36842105263158"/>
    <n v="76"/>
  </r>
  <r>
    <s v="UCIrzfquSKE6mbwQqyL-Y8eQ"/>
    <s v="UCvQECJukTDE2i6aCoMnS-Vg"/>
    <m/>
    <m/>
    <m/>
    <m/>
    <m/>
    <m/>
    <m/>
    <m/>
    <s v="No"/>
    <n v="190"/>
    <m/>
    <m/>
    <s v="Commented Video"/>
    <x v="0"/>
    <s v="lol, good question. I guess that for me means I&amp;#39;ll be reading about it and looking up more videos and seeking out other people who are interested so that I can talk to them about it. Maybe even take a class."/>
    <s v="UCIrzfquSKE6mbwQqyL-Y8eQ"/>
    <s v="Anna"/>
    <s v="http://www.youtube.com/channel/UCIrzfquSKE6mbwQqyL-Y8eQ"/>
    <m/>
    <s v="wadBvDPeE4E"/>
    <s v="https://www.youtube.com/watch?v=wadBvDPeE4E"/>
    <s v="none"/>
    <n v="0"/>
    <x v="186"/>
    <d v="2012-10-22T00:30:39.000"/>
    <m/>
    <m/>
    <s v=""/>
    <n v="4"/>
    <s v="13"/>
    <s v="1"/>
    <n v="1"/>
    <n v="2.3255813953488373"/>
    <n v="0"/>
    <n v="0"/>
    <n v="0"/>
    <n v="0"/>
    <n v="42"/>
    <n v="97.67441860465117"/>
    <n v="43"/>
  </r>
  <r>
    <s v="UCkPmuaC7K6pQeDfJLxVtwxg"/>
    <s v="UCvQECJukTDE2i6aCoMnS-Vg"/>
    <m/>
    <m/>
    <m/>
    <m/>
    <m/>
    <m/>
    <m/>
    <m/>
    <s v="No"/>
    <n v="191"/>
    <m/>
    <m/>
    <s v="Commented Video"/>
    <x v="0"/>
    <s v="I don&amp;#39;t think lectures can be any better than this"/>
    <s v="UCkPmuaC7K6pQeDfJLxVtwxg"/>
    <s v="John Fox"/>
    <s v="http://www.youtube.com/channel/UCkPmuaC7K6pQeDfJLxVtwxg"/>
    <m/>
    <s v="wadBvDPeE4E"/>
    <s v="https://www.youtube.com/watch?v=wadBvDPeE4E"/>
    <s v="none"/>
    <n v="0"/>
    <x v="187"/>
    <d v="2012-10-22T00:48:23.000"/>
    <m/>
    <m/>
    <s v=""/>
    <n v="1"/>
    <s v="1"/>
    <s v="1"/>
    <n v="1"/>
    <n v="8.333333333333334"/>
    <n v="0"/>
    <n v="0"/>
    <n v="0"/>
    <n v="0"/>
    <n v="11"/>
    <n v="91.66666666666667"/>
    <n v="12"/>
  </r>
  <r>
    <s v="UC6OdjLZrVAo6n2iY3ZHy9jw"/>
    <s v="UCFoQC1-a6Y3QoUtDlNAOubQ"/>
    <m/>
    <m/>
    <m/>
    <m/>
    <m/>
    <m/>
    <m/>
    <m/>
    <s v="No"/>
    <n v="192"/>
    <m/>
    <m/>
    <s v="Replied Comment"/>
    <x v="1"/>
    <s v="Hope you have a job"/>
    <s v="UC6OdjLZrVAo6n2iY3ZHy9jw"/>
    <s v="archmad"/>
    <s v="http://www.youtube.com/channel/UC6OdjLZrVAo6n2iY3ZHy9jw"/>
    <s v="UgwV9Jo-0vpmLVsYI0Z4AaABAg"/>
    <s v="wadBvDPeE4E"/>
    <s v="https://www.youtube.com/watch?v=wadBvDPeE4E"/>
    <s v="none"/>
    <n v="0"/>
    <x v="188"/>
    <d v="2020-10-31T11:04:08.000"/>
    <m/>
    <m/>
    <s v=""/>
    <n v="1"/>
    <s v="17"/>
    <s v="17"/>
    <n v="0"/>
    <n v="0"/>
    <n v="0"/>
    <n v="0"/>
    <n v="0"/>
    <n v="0"/>
    <n v="5"/>
    <n v="100"/>
    <n v="5"/>
  </r>
  <r>
    <s v="UCFoQC1-a6Y3QoUtDlNAOubQ"/>
    <s v="UCvQECJukTDE2i6aCoMnS-Vg"/>
    <m/>
    <m/>
    <m/>
    <m/>
    <m/>
    <m/>
    <m/>
    <m/>
    <s v="No"/>
    <n v="193"/>
    <m/>
    <m/>
    <s v="Commented Video"/>
    <x v="0"/>
    <s v="I already am a Sociology student, yay! :D"/>
    <s v="UCFoQC1-a6Y3QoUtDlNAOubQ"/>
    <s v="CHilL4o"/>
    <s v="http://www.youtube.com/channel/UCFoQC1-a6Y3QoUtDlNAOubQ"/>
    <m/>
    <s v="wadBvDPeE4E"/>
    <s v="https://www.youtube.com/watch?v=wadBvDPeE4E"/>
    <s v="none"/>
    <n v="1"/>
    <x v="189"/>
    <d v="2012-10-22T01:02:57.000"/>
    <m/>
    <m/>
    <s v=""/>
    <n v="1"/>
    <s v="17"/>
    <s v="1"/>
    <n v="1"/>
    <n v="12.5"/>
    <n v="0"/>
    <n v="0"/>
    <n v="0"/>
    <n v="0"/>
    <n v="7"/>
    <n v="87.5"/>
    <n v="8"/>
  </r>
  <r>
    <s v="UCe_v3IeUGHGbB4B3MECm65g"/>
    <s v="UCvQECJukTDE2i6aCoMnS-Vg"/>
    <m/>
    <m/>
    <m/>
    <m/>
    <m/>
    <m/>
    <m/>
    <m/>
    <s v="No"/>
    <n v="194"/>
    <m/>
    <m/>
    <s v="Commented Video"/>
    <x v="0"/>
    <s v="Beautiful video!!!!"/>
    <s v="UCe_v3IeUGHGbB4B3MECm65g"/>
    <s v="Mario Nebiaj"/>
    <s v="http://www.youtube.com/channel/UCe_v3IeUGHGbB4B3MECm65g"/>
    <m/>
    <s v="wadBvDPeE4E"/>
    <s v="https://www.youtube.com/watch?v=wadBvDPeE4E"/>
    <s v="none"/>
    <n v="0"/>
    <x v="190"/>
    <d v="2012-10-22T01:09:17.000"/>
    <m/>
    <m/>
    <s v=""/>
    <n v="1"/>
    <s v="1"/>
    <s v="1"/>
    <n v="1"/>
    <n v="50"/>
    <n v="0"/>
    <n v="0"/>
    <n v="0"/>
    <n v="0"/>
    <n v="1"/>
    <n v="50"/>
    <n v="2"/>
  </r>
  <r>
    <s v="UCpTmLYv1oTol3nYfhult0nA"/>
    <s v="UCvQECJukTDE2i6aCoMnS-Vg"/>
    <m/>
    <m/>
    <m/>
    <m/>
    <m/>
    <m/>
    <m/>
    <m/>
    <s v="No"/>
    <n v="195"/>
    <m/>
    <m/>
    <s v="Commented Video"/>
    <x v="0"/>
    <s v="28:02 leviathan ftw"/>
    <s v="UCpTmLYv1oTol3nYfhult0nA"/>
    <s v="Thombolism"/>
    <s v="http://www.youtube.com/channel/UCpTmLYv1oTol3nYfhult0nA"/>
    <m/>
    <s v="wadBvDPeE4E"/>
    <s v="https://www.youtube.com/watch?v=wadBvDPeE4E"/>
    <s v="none"/>
    <n v="0"/>
    <x v="191"/>
    <d v="2012-10-22T03:07:49.000"/>
    <m/>
    <m/>
    <s v=""/>
    <n v="1"/>
    <s v="1"/>
    <s v="1"/>
    <n v="1"/>
    <n v="25"/>
    <n v="0"/>
    <n v="0"/>
    <n v="0"/>
    <n v="0"/>
    <n v="3"/>
    <n v="75"/>
    <n v="4"/>
  </r>
  <r>
    <s v="UCvLJwnZedAU3vc7U3k-GcLg"/>
    <s v="UCvQECJukTDE2i6aCoMnS-Vg"/>
    <m/>
    <m/>
    <m/>
    <m/>
    <m/>
    <m/>
    <m/>
    <m/>
    <s v="No"/>
    <n v="196"/>
    <m/>
    <m/>
    <s v="Commented Video"/>
    <x v="0"/>
    <s v="Yay!"/>
    <s v="UCvLJwnZedAU3vc7U3k-GcLg"/>
    <s v="Leviathan268"/>
    <s v="http://www.youtube.com/channel/UCvLJwnZedAU3vc7U3k-GcLg"/>
    <m/>
    <s v="wadBvDPeE4E"/>
    <s v="https://www.youtube.com/watch?v=wadBvDPeE4E"/>
    <s v="none"/>
    <n v="0"/>
    <x v="192"/>
    <d v="2012-10-22T03:19:33.000"/>
    <m/>
    <m/>
    <s v=""/>
    <n v="1"/>
    <s v="1"/>
    <s v="1"/>
    <n v="1"/>
    <n v="100"/>
    <n v="0"/>
    <n v="0"/>
    <n v="0"/>
    <n v="0"/>
    <n v="0"/>
    <n v="0"/>
    <n v="1"/>
  </r>
  <r>
    <s v="UCjvZu-1q13oykl4Ggmh8i-w"/>
    <s v="UCvQECJukTDE2i6aCoMnS-Vg"/>
    <m/>
    <m/>
    <m/>
    <m/>
    <m/>
    <m/>
    <m/>
    <m/>
    <s v="No"/>
    <n v="197"/>
    <m/>
    <m/>
    <s v="Commented Video"/>
    <x v="0"/>
    <s v="Im afraid that if i watch too many of these vidual lectures i wont be able to appreciate a normal lecture"/>
    <s v="UCjvZu-1q13oykl4Ggmh8i-w"/>
    <s v="Mortis Thig"/>
    <s v="http://www.youtube.com/channel/UCjvZu-1q13oykl4Ggmh8i-w"/>
    <m/>
    <s v="wadBvDPeE4E"/>
    <s v="https://www.youtube.com/watch?v=wadBvDPeE4E"/>
    <s v="none"/>
    <n v="0"/>
    <x v="193"/>
    <d v="2012-10-22T04:25:31.000"/>
    <m/>
    <m/>
    <s v=""/>
    <n v="1"/>
    <s v="1"/>
    <s v="1"/>
    <n v="1"/>
    <n v="4.761904761904762"/>
    <n v="1"/>
    <n v="4.761904761904762"/>
    <n v="0"/>
    <n v="0"/>
    <n v="19"/>
    <n v="90.47619047619048"/>
    <n v="21"/>
  </r>
  <r>
    <s v="UCt5dZNnmMNccXdtemElxqeA"/>
    <s v="UCvQECJukTDE2i6aCoMnS-Vg"/>
    <m/>
    <m/>
    <m/>
    <m/>
    <m/>
    <m/>
    <m/>
    <m/>
    <s v="No"/>
    <n v="198"/>
    <m/>
    <m/>
    <s v="Commented Video"/>
    <x v="0"/>
    <s v="A bit over a couple hundred years ago, a Jew came to my country, he gave way to enslavement of both the body and soul of my people._x000a__x000a_-a Mexican citizen. "/>
    <s v="UCt5dZNnmMNccXdtemElxqeA"/>
    <s v="Nssto"/>
    <s v="http://www.youtube.com/channel/UCt5dZNnmMNccXdtemElxqeA"/>
    <m/>
    <s v="wadBvDPeE4E"/>
    <s v="https://www.youtube.com/watch?v=wadBvDPeE4E"/>
    <s v="none"/>
    <n v="0"/>
    <x v="194"/>
    <d v="2012-10-22T05:59:15.000"/>
    <m/>
    <m/>
    <s v=""/>
    <n v="2"/>
    <s v="1"/>
    <s v="1"/>
    <n v="0"/>
    <n v="0"/>
    <n v="0"/>
    <n v="0"/>
    <n v="0"/>
    <n v="0"/>
    <n v="31"/>
    <n v="100"/>
    <n v="31"/>
  </r>
  <r>
    <s v="UCt5dZNnmMNccXdtemElxqeA"/>
    <s v="UCvQECJukTDE2i6aCoMnS-Vg"/>
    <m/>
    <m/>
    <m/>
    <m/>
    <m/>
    <m/>
    <m/>
    <m/>
    <s v="No"/>
    <n v="199"/>
    <m/>
    <m/>
    <s v="Commented Video"/>
    <x v="0"/>
    <s v="Meant to say 500"/>
    <s v="UCt5dZNnmMNccXdtemElxqeA"/>
    <s v="Nssto"/>
    <s v="http://www.youtube.com/channel/UCt5dZNnmMNccXdtemElxqeA"/>
    <m/>
    <s v="wadBvDPeE4E"/>
    <s v="https://www.youtube.com/watch?v=wadBvDPeE4E"/>
    <s v="none"/>
    <n v="0"/>
    <x v="195"/>
    <d v="2012-10-22T06:05:10.000"/>
    <m/>
    <m/>
    <s v=""/>
    <n v="2"/>
    <s v="1"/>
    <s v="1"/>
    <n v="0"/>
    <n v="0"/>
    <n v="0"/>
    <n v="0"/>
    <n v="0"/>
    <n v="0"/>
    <n v="4"/>
    <n v="100"/>
    <n v="4"/>
  </r>
  <r>
    <s v="UCV8B5_8wLN0zPRgP0nEvJ_Q"/>
    <s v="UCvQECJukTDE2i6aCoMnS-Vg"/>
    <m/>
    <m/>
    <m/>
    <m/>
    <m/>
    <m/>
    <m/>
    <m/>
    <s v="No"/>
    <n v="200"/>
    <m/>
    <m/>
    <s v="Commented Video"/>
    <x v="0"/>
    <s v="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
    <s v="UCV8B5_8wLN0zPRgP0nEvJ_Q"/>
    <s v="zhangvict"/>
    <s v="http://www.youtube.com/channel/UCV8B5_8wLN0zPRgP0nEvJ_Q"/>
    <m/>
    <s v="wadBvDPeE4E"/>
    <s v="https://www.youtube.com/watch?v=wadBvDPeE4E"/>
    <s v="none"/>
    <n v="0"/>
    <x v="196"/>
    <d v="2012-10-22T06:27:35.000"/>
    <m/>
    <m/>
    <s v=""/>
    <n v="1"/>
    <s v="1"/>
    <s v="1"/>
    <n v="2"/>
    <n v="4.081632653061225"/>
    <n v="1"/>
    <n v="2.0408163265306123"/>
    <n v="0"/>
    <n v="0"/>
    <n v="46"/>
    <n v="93.87755102040816"/>
    <n v="49"/>
  </r>
  <r>
    <s v="UCjaxtx_NGa5TStCheS4nNnw"/>
    <s v="UCvQECJukTDE2i6aCoMnS-Vg"/>
    <m/>
    <m/>
    <m/>
    <m/>
    <m/>
    <m/>
    <m/>
    <m/>
    <s v="No"/>
    <n v="201"/>
    <m/>
    <m/>
    <s v="Commented Video"/>
    <x v="0"/>
    <s v="...what"/>
    <s v="UCjaxtx_NGa5TStCheS4nNnw"/>
    <s v="Josh"/>
    <s v="http://www.youtube.com/channel/UCjaxtx_NGa5TStCheS4nNnw"/>
    <m/>
    <s v="wadBvDPeE4E"/>
    <s v="https://www.youtube.com/watch?v=wadBvDPeE4E"/>
    <s v="none"/>
    <n v="0"/>
    <x v="197"/>
    <d v="2012-10-22T07:26:49.000"/>
    <m/>
    <m/>
    <s v=""/>
    <n v="1"/>
    <s v="1"/>
    <s v="1"/>
    <n v="0"/>
    <n v="0"/>
    <n v="0"/>
    <n v="0"/>
    <n v="0"/>
    <n v="0"/>
    <n v="1"/>
    <n v="100"/>
    <n v="1"/>
  </r>
  <r>
    <s v="UCcg9nOqmYYkZmY0TU3Aw6MQ"/>
    <s v="UCvQECJukTDE2i6aCoMnS-Vg"/>
    <m/>
    <m/>
    <m/>
    <m/>
    <m/>
    <m/>
    <m/>
    <m/>
    <s v="No"/>
    <n v="202"/>
    <m/>
    <m/>
    <s v="Commented Video"/>
    <x v="0"/>
    <s v="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  "/>
    <s v="UCcg9nOqmYYkZmY0TU3Aw6MQ"/>
    <s v="Nata Dzadzamia"/>
    <s v="http://www.youtube.com/channel/UCcg9nOqmYYkZmY0TU3Aw6MQ"/>
    <m/>
    <s v="wadBvDPeE4E"/>
    <s v="https://www.youtube.com/watch?v=wadBvDPeE4E"/>
    <s v="none"/>
    <n v="0"/>
    <x v="198"/>
    <d v="2012-10-21T12:02:30.000"/>
    <m/>
    <m/>
    <s v=""/>
    <n v="5"/>
    <s v="1"/>
    <s v="1"/>
    <n v="1"/>
    <n v="1.2048192771084338"/>
    <n v="4"/>
    <n v="4.819277108433735"/>
    <n v="0"/>
    <n v="0"/>
    <n v="78"/>
    <n v="93.97590361445783"/>
    <n v="83"/>
  </r>
  <r>
    <s v="UCcg9nOqmYYkZmY0TU3Aw6MQ"/>
    <s v="UCvQECJukTDE2i6aCoMnS-Vg"/>
    <m/>
    <m/>
    <m/>
    <m/>
    <m/>
    <m/>
    <m/>
    <m/>
    <s v="No"/>
    <n v="203"/>
    <m/>
    <m/>
    <s v="Commented Video"/>
    <x v="0"/>
    <s v="Hmm actually its no question  for me :) cause I&amp;#39;m not living in US , But quality of  food is big problem all over the world , cause today  everywhere  genetically engineered  food is on the market  and it&amp;#39;s very bad for human organism. agree, that Americans ,as society they can  require  to improve  quality of the food, but for that first of all they have to realize what they are eating , than gather  and take some action . "/>
    <s v="UCcg9nOqmYYkZmY0TU3Aw6MQ"/>
    <s v="Nata Dzadzamia"/>
    <s v="http://www.youtube.com/channel/UCcg9nOqmYYkZmY0TU3Aw6MQ"/>
    <m/>
    <s v="wadBvDPeE4E"/>
    <s v="https://www.youtube.com/watch?v=wadBvDPeE4E"/>
    <s v="none"/>
    <n v="0"/>
    <x v="199"/>
    <d v="2012-10-21T17:18:06.000"/>
    <m/>
    <m/>
    <s v=""/>
    <n v="5"/>
    <s v="1"/>
    <s v="1"/>
    <n v="1"/>
    <n v="1.2658227848101267"/>
    <n v="2"/>
    <n v="2.5316455696202533"/>
    <n v="0"/>
    <n v="0"/>
    <n v="76"/>
    <n v="96.20253164556962"/>
    <n v="79"/>
  </r>
  <r>
    <s v="UCcg9nOqmYYkZmY0TU3Aw6MQ"/>
    <s v="UCvQECJukTDE2i6aCoMnS-Vg"/>
    <m/>
    <m/>
    <m/>
    <m/>
    <m/>
    <m/>
    <m/>
    <m/>
    <s v="No"/>
    <n v="204"/>
    <m/>
    <m/>
    <s v="Commented Video"/>
    <x v="0"/>
    <s v="...But in the country like US , where advertisements rocks everywhere its not easy :/ "/>
    <s v="UCcg9nOqmYYkZmY0TU3Aw6MQ"/>
    <s v="Nata Dzadzamia"/>
    <s v="http://www.youtube.com/channel/UCcg9nOqmYYkZmY0TU3Aw6MQ"/>
    <m/>
    <s v="wadBvDPeE4E"/>
    <s v="https://www.youtube.com/watch?v=wadBvDPeE4E"/>
    <s v="none"/>
    <n v="0"/>
    <x v="200"/>
    <d v="2012-10-21T17:18:44.000"/>
    <m/>
    <m/>
    <s v=""/>
    <n v="5"/>
    <s v="1"/>
    <s v="1"/>
    <n v="2"/>
    <n v="15.384615384615385"/>
    <n v="0"/>
    <n v="0"/>
    <n v="0"/>
    <n v="0"/>
    <n v="11"/>
    <n v="84.61538461538461"/>
    <n v="13"/>
  </r>
  <r>
    <s v="UCcg9nOqmYYkZmY0TU3Aw6MQ"/>
    <s v="UCvQECJukTDE2i6aCoMnS-Vg"/>
    <m/>
    <m/>
    <m/>
    <m/>
    <m/>
    <m/>
    <m/>
    <m/>
    <s v="No"/>
    <n v="205"/>
    <m/>
    <m/>
    <s v="Commented Video"/>
    <x v="0"/>
    <s v=" 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
    <s v="UCcg9nOqmYYkZmY0TU3Aw6MQ"/>
    <s v="Nata Dzadzamia"/>
    <s v="http://www.youtube.com/channel/UCcg9nOqmYYkZmY0TU3Aw6MQ"/>
    <m/>
    <s v="wadBvDPeE4E"/>
    <s v="https://www.youtube.com/watch?v=wadBvDPeE4E"/>
    <s v="none"/>
    <n v="0"/>
    <x v="201"/>
    <d v="2012-10-22T07:56:07.000"/>
    <m/>
    <m/>
    <s v=""/>
    <n v="5"/>
    <s v="1"/>
    <s v="1"/>
    <n v="0"/>
    <n v="0"/>
    <n v="4"/>
    <n v="4.878048780487805"/>
    <n v="0"/>
    <n v="0"/>
    <n v="78"/>
    <n v="95.1219512195122"/>
    <n v="82"/>
  </r>
  <r>
    <s v="UCcg9nOqmYYkZmY0TU3Aw6MQ"/>
    <s v="UCvQECJukTDE2i6aCoMnS-Vg"/>
    <m/>
    <m/>
    <m/>
    <m/>
    <m/>
    <m/>
    <m/>
    <m/>
    <s v="No"/>
    <n v="206"/>
    <m/>
    <m/>
    <s v="Commented Video"/>
    <x v="0"/>
    <s v="thanks for comment :)  interesting conversation:)  "/>
    <s v="UCcg9nOqmYYkZmY0TU3Aw6MQ"/>
    <s v="Nata Dzadzamia"/>
    <s v="http://www.youtube.com/channel/UCcg9nOqmYYkZmY0TU3Aw6MQ"/>
    <m/>
    <s v="wadBvDPeE4E"/>
    <s v="https://www.youtube.com/watch?v=wadBvDPeE4E"/>
    <s v="none"/>
    <n v="0"/>
    <x v="202"/>
    <d v="2012-10-22T07:56:31.000"/>
    <m/>
    <m/>
    <s v=""/>
    <n v="5"/>
    <s v="1"/>
    <s v="1"/>
    <n v="1"/>
    <n v="20"/>
    <n v="0"/>
    <n v="0"/>
    <n v="0"/>
    <n v="0"/>
    <n v="4"/>
    <n v="80"/>
    <n v="5"/>
  </r>
  <r>
    <s v="UCO0d_DTPKCIc_ikRyMHYwFQ"/>
    <s v="UCvQECJukTDE2i6aCoMnS-Vg"/>
    <m/>
    <m/>
    <m/>
    <m/>
    <m/>
    <m/>
    <m/>
    <m/>
    <s v="No"/>
    <n v="207"/>
    <m/>
    <m/>
    <s v="Commented Video"/>
    <x v="0"/>
    <s v="who cares"/>
    <s v="UCO0d_DTPKCIc_ikRyMHYwFQ"/>
    <s v="Marcel Wintervoss"/>
    <s v="http://www.youtube.com/channel/UCO0d_DTPKCIc_ikRyMHYwFQ"/>
    <m/>
    <s v="wadBvDPeE4E"/>
    <s v="https://www.youtube.com/watch?v=wadBvDPeE4E"/>
    <s v="none"/>
    <n v="0"/>
    <x v="203"/>
    <d v="2012-10-21T16:44:58.000"/>
    <m/>
    <m/>
    <s v=""/>
    <n v="3"/>
    <s v="1"/>
    <s v="1"/>
    <n v="0"/>
    <n v="0"/>
    <n v="0"/>
    <n v="0"/>
    <n v="0"/>
    <n v="0"/>
    <n v="2"/>
    <n v="100"/>
    <n v="2"/>
  </r>
  <r>
    <s v="UCO0d_DTPKCIc_ikRyMHYwFQ"/>
    <s v="UCvQECJukTDE2i6aCoMnS-Vg"/>
    <m/>
    <m/>
    <m/>
    <m/>
    <m/>
    <m/>
    <m/>
    <m/>
    <s v="No"/>
    <n v="208"/>
    <m/>
    <m/>
    <s v="Commented Video"/>
    <x v="0"/>
    <s v="Judaism is benign, has been for thousands of years. Take your predjudice somewhere else, or at least do some impartial research both ways. It doesn&amp;#39;t take much to realise that the threat of fundamental Islam is far and away more real than your concerns over &amp;#39;Jewish Control&amp;#39;. Jews are individuals more or less working for themselves, not for a Jewish Agenda. They appreciate science and reason and (largely) treat other humans with respect. They value knowledge, hence the powerful positions."/>
    <s v="UCO0d_DTPKCIc_ikRyMHYwFQ"/>
    <s v="Marcel Wintervoss"/>
    <s v="http://www.youtube.com/channel/UCO0d_DTPKCIc_ikRyMHYwFQ"/>
    <m/>
    <s v="wadBvDPeE4E"/>
    <s v="https://www.youtube.com/watch?v=wadBvDPeE4E"/>
    <s v="none"/>
    <n v="0"/>
    <x v="204"/>
    <d v="2012-10-22T02:44:53.000"/>
    <m/>
    <m/>
    <s v=""/>
    <n v="3"/>
    <s v="1"/>
    <s v="1"/>
    <n v="4"/>
    <n v="4.761904761904762"/>
    <n v="2"/>
    <n v="2.380952380952381"/>
    <n v="0"/>
    <n v="0"/>
    <n v="78"/>
    <n v="92.85714285714286"/>
    <n v="84"/>
  </r>
  <r>
    <s v="UCO0d_DTPKCIc_ikRyMHYwFQ"/>
    <s v="UCvQECJukTDE2i6aCoMnS-Vg"/>
    <m/>
    <m/>
    <m/>
    <m/>
    <m/>
    <m/>
    <m/>
    <m/>
    <s v="No"/>
    <n v="209"/>
    <m/>
    <m/>
    <s v="Commented Video"/>
    <x v="0"/>
    <s v="Dude, double space your sentences more. Might make your points less ridiculous._x000a__x000a_&amp;#39;My explanation is lacking.&amp;#39; Look man, if you can&amp;#39;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amp;#39;s. _x000a__x000a_America needs to blame itself, not its minorities. ffs"/>
    <s v="UCO0d_DTPKCIc_ikRyMHYwFQ"/>
    <s v="Marcel Wintervoss"/>
    <s v="http://www.youtube.com/channel/UCO0d_DTPKCIc_ikRyMHYwFQ"/>
    <m/>
    <s v="wadBvDPeE4E"/>
    <s v="https://www.youtube.com/watch?v=wadBvDPeE4E"/>
    <s v="none"/>
    <n v="0"/>
    <x v="205"/>
    <d v="2012-10-22T10:31:06.000"/>
    <m/>
    <m/>
    <s v=""/>
    <n v="3"/>
    <s v="1"/>
    <s v="1"/>
    <n v="6"/>
    <n v="6.593406593406593"/>
    <n v="4"/>
    <n v="4.395604395604396"/>
    <n v="0"/>
    <n v="0"/>
    <n v="81"/>
    <n v="89.01098901098901"/>
    <n v="91"/>
  </r>
  <r>
    <s v="UC0XSjBFZc67Pde9N4bYiBSQ"/>
    <s v="UCvQECJukTDE2i6aCoMnS-Vg"/>
    <m/>
    <m/>
    <m/>
    <m/>
    <m/>
    <m/>
    <m/>
    <m/>
    <s v="No"/>
    <n v="210"/>
    <m/>
    <m/>
    <s v="Commented Video"/>
    <x v="0"/>
    <s v="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
    <s v="UC0XSjBFZc67Pde9N4bYiBSQ"/>
    <s v="Lewis Hamilton"/>
    <s v="http://www.youtube.com/channel/UC0XSjBFZc67Pde9N4bYiBSQ"/>
    <m/>
    <s v="wadBvDPeE4E"/>
    <s v="https://www.youtube.com/watch?v=wadBvDPeE4E"/>
    <s v="none"/>
    <n v="0"/>
    <x v="206"/>
    <d v="2012-10-22T14:14:34.000"/>
    <m/>
    <m/>
    <s v=""/>
    <n v="1"/>
    <s v="1"/>
    <s v="1"/>
    <n v="1"/>
    <n v="1.0638297872340425"/>
    <n v="4"/>
    <n v="4.25531914893617"/>
    <n v="0"/>
    <n v="0"/>
    <n v="89"/>
    <n v="94.68085106382979"/>
    <n v="94"/>
  </r>
  <r>
    <s v="UCnrhrDLWRvP2KoJwlzsctzQ"/>
    <s v="UCvQECJukTDE2i6aCoMnS-Vg"/>
    <m/>
    <m/>
    <m/>
    <m/>
    <m/>
    <m/>
    <m/>
    <m/>
    <s v="No"/>
    <n v="211"/>
    <m/>
    <m/>
    <s v="Commented Video"/>
    <x v="0"/>
    <s v="it&amp;#39;s sad that i find this incredibly boring given that this is one of the majors i&amp;#39;m taking.."/>
    <s v="UCnrhrDLWRvP2KoJwlzsctzQ"/>
    <s v="m25a"/>
    <s v="http://www.youtube.com/channel/UCnrhrDLWRvP2KoJwlzsctzQ"/>
    <m/>
    <s v="wadBvDPeE4E"/>
    <s v="https://www.youtube.com/watch?v=wadBvDPeE4E"/>
    <s v="none"/>
    <n v="0"/>
    <x v="207"/>
    <d v="2012-10-22T14:25:11.000"/>
    <m/>
    <m/>
    <s v=""/>
    <n v="1"/>
    <s v="1"/>
    <s v="1"/>
    <n v="1"/>
    <n v="4.545454545454546"/>
    <n v="2"/>
    <n v="9.090909090909092"/>
    <n v="0"/>
    <n v="0"/>
    <n v="19"/>
    <n v="86.36363636363636"/>
    <n v="22"/>
  </r>
  <r>
    <s v="UC4sITMVla3iKR5KPXO8i4wQ"/>
    <s v="UCvQECJukTDE2i6aCoMnS-Vg"/>
    <m/>
    <m/>
    <m/>
    <m/>
    <m/>
    <m/>
    <m/>
    <m/>
    <s v="No"/>
    <n v="212"/>
    <m/>
    <m/>
    <s v="Commented Video"/>
    <x v="0"/>
    <s v="...and how you were raised*"/>
    <s v="UC4sITMVla3iKR5KPXO8i4wQ"/>
    <s v="Leo Kovatsch"/>
    <s v="http://www.youtube.com/channel/UC4sITMVla3iKR5KPXO8i4wQ"/>
    <m/>
    <s v="wadBvDPeE4E"/>
    <s v="https://www.youtube.com/watch?v=wadBvDPeE4E"/>
    <s v="none"/>
    <n v="0"/>
    <x v="208"/>
    <d v="2012-10-21T15:25:32.000"/>
    <m/>
    <m/>
    <s v=""/>
    <n v="2"/>
    <s v="1"/>
    <s v="1"/>
    <n v="0"/>
    <n v="0"/>
    <n v="0"/>
    <n v="0"/>
    <n v="0"/>
    <n v="0"/>
    <n v="5"/>
    <n v="100"/>
    <n v="5"/>
  </r>
  <r>
    <s v="UC4sITMVla3iKR5KPXO8i4wQ"/>
    <s v="UCvQECJukTDE2i6aCoMnS-Vg"/>
    <m/>
    <m/>
    <m/>
    <m/>
    <m/>
    <m/>
    <m/>
    <m/>
    <s v="No"/>
    <n v="213"/>
    <m/>
    <m/>
    <s v="Commented Video"/>
    <x v="0"/>
    <s v="everytime a professor of floating university ends its lecture and says &amp;quot;thank you&amp;quot;, it makes me happy and feel like a better person"/>
    <s v="UC4sITMVla3iKR5KPXO8i4wQ"/>
    <s v="Leo Kovatsch"/>
    <s v="http://www.youtube.com/channel/UC4sITMVla3iKR5KPXO8i4wQ"/>
    <m/>
    <s v="wadBvDPeE4E"/>
    <s v="https://www.youtube.com/watch?v=wadBvDPeE4E"/>
    <s v="none"/>
    <n v="22"/>
    <x v="209"/>
    <d v="2012-10-22T15:50:50.000"/>
    <m/>
    <m/>
    <s v=""/>
    <n v="2"/>
    <s v="1"/>
    <s v="1"/>
    <n v="4"/>
    <n v="16"/>
    <n v="0"/>
    <n v="0"/>
    <n v="0"/>
    <n v="0"/>
    <n v="21"/>
    <n v="84"/>
    <n v="25"/>
  </r>
  <r>
    <s v="UCOZ8e2ZZOSN0o5zq_SoypbQ"/>
    <s v="UCvQECJukTDE2i6aCoMnS-Vg"/>
    <m/>
    <m/>
    <m/>
    <m/>
    <m/>
    <m/>
    <m/>
    <m/>
    <s v="No"/>
    <n v="214"/>
    <m/>
    <m/>
    <s v="Commented Video"/>
    <x v="0"/>
    <s v="nurture not nature "/>
    <s v="UCOZ8e2ZZOSN0o5zq_SoypbQ"/>
    <s v="erichitz79"/>
    <s v="http://www.youtube.com/channel/UCOZ8e2ZZOSN0o5zq_SoypbQ"/>
    <m/>
    <s v="wadBvDPeE4E"/>
    <s v="https://www.youtube.com/watch?v=wadBvDPeE4E"/>
    <s v="none"/>
    <n v="0"/>
    <x v="210"/>
    <d v="2012-10-22T18:53:47.000"/>
    <m/>
    <m/>
    <s v=""/>
    <n v="2"/>
    <s v="1"/>
    <s v="1"/>
    <n v="0"/>
    <n v="0"/>
    <n v="0"/>
    <n v="0"/>
    <n v="0"/>
    <n v="0"/>
    <n v="3"/>
    <n v="100"/>
    <n v="3"/>
  </r>
  <r>
    <s v="UCOZ8e2ZZOSN0o5zq_SoypbQ"/>
    <s v="UCvQECJukTDE2i6aCoMnS-Vg"/>
    <m/>
    <m/>
    <m/>
    <m/>
    <m/>
    <m/>
    <m/>
    <m/>
    <s v="No"/>
    <n v="215"/>
    <m/>
    <m/>
    <s v="Commented Video"/>
    <x v="0"/>
    <s v="man that is a pimp ass blazer. "/>
    <s v="UCOZ8e2ZZOSN0o5zq_SoypbQ"/>
    <s v="erichitz79"/>
    <s v="http://www.youtube.com/channel/UCOZ8e2ZZOSN0o5zq_SoypbQ"/>
    <m/>
    <s v="wadBvDPeE4E"/>
    <s v="https://www.youtube.com/watch?v=wadBvDPeE4E"/>
    <s v="none"/>
    <n v="0"/>
    <x v="211"/>
    <d v="2012-10-22T18:54:10.000"/>
    <m/>
    <m/>
    <s v=""/>
    <n v="2"/>
    <s v="1"/>
    <s v="1"/>
    <n v="0"/>
    <n v="0"/>
    <n v="0"/>
    <n v="0"/>
    <n v="0"/>
    <n v="0"/>
    <n v="7"/>
    <n v="100"/>
    <n v="7"/>
  </r>
  <r>
    <s v="UC80K-iJwEmwH1L-JALZMYIg"/>
    <s v="UCvQECJukTDE2i6aCoMnS-Vg"/>
    <m/>
    <m/>
    <m/>
    <m/>
    <m/>
    <m/>
    <m/>
    <m/>
    <s v="No"/>
    <n v="216"/>
    <m/>
    <m/>
    <s v="Commented Video"/>
    <x v="0"/>
    <s v="i feel smarter by listening to this while i sleep"/>
    <s v="UC80K-iJwEmwH1L-JALZMYIg"/>
    <s v="Gabe Barney"/>
    <s v="http://www.youtube.com/channel/UC80K-iJwEmwH1L-JALZMYIg"/>
    <m/>
    <s v="wadBvDPeE4E"/>
    <s v="https://www.youtube.com/watch?v=wadBvDPeE4E"/>
    <s v="none"/>
    <n v="10"/>
    <x v="212"/>
    <d v="2012-10-22T21:39:10.000"/>
    <m/>
    <m/>
    <s v=""/>
    <n v="1"/>
    <s v="1"/>
    <s v="1"/>
    <n v="1"/>
    <n v="10"/>
    <n v="0"/>
    <n v="0"/>
    <n v="0"/>
    <n v="0"/>
    <n v="9"/>
    <n v="90"/>
    <n v="10"/>
  </r>
  <r>
    <s v="UCKn14BKTwi54h2efB3lkKcg"/>
    <s v="UCvQECJukTDE2i6aCoMnS-Vg"/>
    <m/>
    <m/>
    <m/>
    <m/>
    <m/>
    <m/>
    <m/>
    <m/>
    <s v="No"/>
    <n v="217"/>
    <m/>
    <m/>
    <s v="Commented Video"/>
    <x v="0"/>
    <s v="This video makes me wanna kill myself"/>
    <s v="UCKn14BKTwi54h2efB3lkKcg"/>
    <s v="oscurochu"/>
    <s v="http://www.youtube.com/channel/UCKn14BKTwi54h2efB3lkKcg"/>
    <m/>
    <s v="wadBvDPeE4E"/>
    <s v="https://www.youtube.com/watch?v=wadBvDPeE4E"/>
    <s v="none"/>
    <n v="0"/>
    <x v="213"/>
    <d v="2012-10-22T23:19:12.000"/>
    <m/>
    <m/>
    <s v=""/>
    <n v="1"/>
    <s v="1"/>
    <s v="1"/>
    <n v="0"/>
    <n v="0"/>
    <n v="1"/>
    <n v="14.285714285714286"/>
    <n v="0"/>
    <n v="0"/>
    <n v="6"/>
    <n v="85.71428571428571"/>
    <n v="7"/>
  </r>
  <r>
    <s v="UCME5F1eMaSBeBEiIQcPWV-Q"/>
    <s v="UCvQECJukTDE2i6aCoMnS-Vg"/>
    <m/>
    <m/>
    <m/>
    <m/>
    <m/>
    <m/>
    <m/>
    <m/>
    <s v="No"/>
    <n v="218"/>
    <m/>
    <m/>
    <s v="Commented Video"/>
    <x v="0"/>
    <s v="Actually, that guy was greatly influenced in his decision by the effect his disease would have on those around him. That&amp;#39;s the whole point.. the rationalization of his decision is mostly social in nature. He specifically states that he has NOT given up, he just doesn&amp;#39;t want to be a burden. _x000a_So the question remains, would he have killed himself if his disease hadn&amp;#39;t represented a burden for the people he loved? Or was this simply a rationalization, masking egoistic motivation?"/>
    <s v="UCME5F1eMaSBeBEiIQcPWV-Q"/>
    <s v="VMLM3"/>
    <s v="http://www.youtube.com/channel/UCME5F1eMaSBeBEiIQcPWV-Q"/>
    <m/>
    <s v="wadBvDPeE4E"/>
    <s v="https://www.youtube.com/watch?v=wadBvDPeE4E"/>
    <s v="none"/>
    <n v="0"/>
    <x v="214"/>
    <d v="2012-10-23T04:07:42.000"/>
    <m/>
    <m/>
    <s v=""/>
    <n v="2"/>
    <s v="1"/>
    <s v="1"/>
    <n v="1"/>
    <n v="1.1494252873563218"/>
    <n v="3"/>
    <n v="3.4482758620689653"/>
    <n v="0"/>
    <n v="0"/>
    <n v="83"/>
    <n v="95.40229885057471"/>
    <n v="87"/>
  </r>
  <r>
    <s v="UCME5F1eMaSBeBEiIQcPWV-Q"/>
    <s v="UCvQECJukTDE2i6aCoMnS-Vg"/>
    <m/>
    <m/>
    <m/>
    <m/>
    <m/>
    <m/>
    <m/>
    <m/>
    <s v="No"/>
    <n v="219"/>
    <m/>
    <m/>
    <s v="Commented Video"/>
    <x v="0"/>
    <s v="well the advantage of youtube is that you can pause the video, or jump to any point in it whenever you want. "/>
    <s v="UCME5F1eMaSBeBEiIQcPWV-Q"/>
    <s v="VMLM3"/>
    <s v="http://www.youtube.com/channel/UCME5F1eMaSBeBEiIQcPWV-Q"/>
    <m/>
    <s v="wadBvDPeE4E"/>
    <s v="https://www.youtube.com/watch?v=wadBvDPeE4E"/>
    <s v="none"/>
    <n v="0"/>
    <x v="215"/>
    <d v="2012-10-23T04:09:04.000"/>
    <m/>
    <m/>
    <s v=""/>
    <n v="2"/>
    <s v="1"/>
    <s v="1"/>
    <n v="2"/>
    <n v="9.090909090909092"/>
    <n v="0"/>
    <n v="0"/>
    <n v="0"/>
    <n v="0"/>
    <n v="20"/>
    <n v="90.9090909090909"/>
    <n v="22"/>
  </r>
  <r>
    <s v="UCTkydyNvBtEjOX7sD17Di8w"/>
    <s v="UCvQECJukTDE2i6aCoMnS-Vg"/>
    <m/>
    <m/>
    <m/>
    <m/>
    <m/>
    <m/>
    <m/>
    <m/>
    <s v="No"/>
    <n v="220"/>
    <m/>
    <m/>
    <s v="Commented Video"/>
    <x v="0"/>
    <s v="Interesting video!_x000d__x000a_This is an invitation to see an artist theory on the physics of light and time!_x000d__x000a_This theory is based on just two postulates_x000d__x000a_1. Is that the quantum wave particle function Ψ or probability function represents the forward passage of time itself_x000d__x000a_2. Is that Heisenberg’s Uncertainty Principle ∆×∆p×≥h/4π that is formed by the w-function is the same uncertainty we have with any future event within our own ref-frame that we can interact with turning the possible into the actual! _x000d__x000a_"/>
    <s v="UCTkydyNvBtEjOX7sD17Di8w"/>
    <s v="Dyslexic Artist Theory on the Physics of 'Time'"/>
    <s v="http://www.youtube.com/channel/UCTkydyNvBtEjOX7sD17Di8w"/>
    <m/>
    <s v="wadBvDPeE4E"/>
    <s v="https://www.youtube.com/watch?v=wadBvDPeE4E"/>
    <s v="none"/>
    <n v="1"/>
    <x v="216"/>
    <d v="2012-10-23T20:47:30.000"/>
    <m/>
    <m/>
    <s v=""/>
    <n v="1"/>
    <s v="1"/>
    <s v="1"/>
    <n v="1"/>
    <n v="1.1363636363636365"/>
    <n v="0"/>
    <n v="0"/>
    <n v="0"/>
    <n v="0"/>
    <n v="87"/>
    <n v="98.86363636363636"/>
    <n v="88"/>
  </r>
  <r>
    <s v="UClP0ucxUZqe-x_o_nPZQBPA"/>
    <s v="UCvQECJukTDE2i6aCoMnS-Vg"/>
    <m/>
    <m/>
    <m/>
    <m/>
    <m/>
    <m/>
    <m/>
    <m/>
    <s v="No"/>
    <n v="221"/>
    <m/>
    <m/>
    <s v="Commented Video"/>
    <x v="0"/>
    <s v="yeah, i&amp;#39;m pretty sure the guy with aids who wrote the letter didn&amp;#39;t think &amp;quot;oh wait! i can live with aids!&amp;quot; the second he jumped. i think its really unlikely a social help would&amp;#39;ve changed his mind B/C of the reasons why he did it. that other boy&amp;#39;s reason was &amp;quot;no one likes me, and life is hard.&amp;quot; so it&amp;#39;s much easier to see a guy like that change his mind."/>
    <s v="UClP0ucxUZqe-x_o_nPZQBPA"/>
    <s v="meemeekoeX"/>
    <s v="http://www.youtube.com/channel/UClP0ucxUZqe-x_o_nPZQBPA"/>
    <m/>
    <s v="wadBvDPeE4E"/>
    <s v="https://www.youtube.com/watch?v=wadBvDPeE4E"/>
    <s v="none"/>
    <n v="0"/>
    <x v="217"/>
    <d v="2012-10-22T23:49:13.000"/>
    <m/>
    <m/>
    <s v=""/>
    <n v="2"/>
    <s v="1"/>
    <s v="1"/>
    <n v="4"/>
    <n v="4.651162790697675"/>
    <n v="2"/>
    <n v="2.3255813953488373"/>
    <n v="0"/>
    <n v="0"/>
    <n v="80"/>
    <n v="93.02325581395348"/>
    <n v="86"/>
  </r>
  <r>
    <s v="UClP0ucxUZqe-x_o_nPZQBPA"/>
    <s v="UCvQECJukTDE2i6aCoMnS-Vg"/>
    <m/>
    <m/>
    <m/>
    <m/>
    <m/>
    <m/>
    <m/>
    <m/>
    <s v="No"/>
    <n v="222"/>
    <m/>
    <m/>
    <s v="Commented Video"/>
    <x v="0"/>
    <s v="yeah i understand all that. that&amp;#39;s not what i was commenting about at all."/>
    <s v="UClP0ucxUZqe-x_o_nPZQBPA"/>
    <s v="meemeekoeX"/>
    <s v="http://www.youtube.com/channel/UClP0ucxUZqe-x_o_nPZQBPA"/>
    <m/>
    <s v="wadBvDPeE4E"/>
    <s v="https://www.youtube.com/watch?v=wadBvDPeE4E"/>
    <s v="none"/>
    <n v="0"/>
    <x v="218"/>
    <d v="2012-10-23T21:03:26.000"/>
    <m/>
    <m/>
    <s v=""/>
    <n v="2"/>
    <s v="1"/>
    <s v="1"/>
    <n v="0"/>
    <n v="0"/>
    <n v="0"/>
    <n v="0"/>
    <n v="0"/>
    <n v="0"/>
    <n v="16"/>
    <n v="100"/>
    <n v="16"/>
  </r>
  <r>
    <s v="UCo7GzEp1TtihFueS7zGiYCg"/>
    <s v="UCvQECJukTDE2i6aCoMnS-Vg"/>
    <m/>
    <m/>
    <m/>
    <m/>
    <m/>
    <m/>
    <m/>
    <m/>
    <s v="No"/>
    <n v="223"/>
    <m/>
    <m/>
    <s v="Commented Video"/>
    <x v="0"/>
    <s v="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
    <s v="UCo7GzEp1TtihFueS7zGiYCg"/>
    <s v="Belinda Rankin"/>
    <s v="http://www.youtube.com/channel/UCo7GzEp1TtihFueS7zGiYCg"/>
    <m/>
    <s v="wadBvDPeE4E"/>
    <s v="https://www.youtube.com/watch?v=wadBvDPeE4E"/>
    <s v="none"/>
    <n v="0"/>
    <x v="219"/>
    <d v="2012-10-24T02:31:07.000"/>
    <m/>
    <m/>
    <s v=""/>
    <n v="1"/>
    <s v="1"/>
    <s v="1"/>
    <n v="3"/>
    <n v="3.7974683544303796"/>
    <n v="2"/>
    <n v="2.5316455696202533"/>
    <n v="0"/>
    <n v="0"/>
    <n v="74"/>
    <n v="93.67088607594937"/>
    <n v="79"/>
  </r>
  <r>
    <s v="UCnfOIxXxHtCq2hHoltwLlsg"/>
    <s v="UCvQECJukTDE2i6aCoMnS-Vg"/>
    <m/>
    <m/>
    <m/>
    <m/>
    <m/>
    <m/>
    <m/>
    <m/>
    <s v="No"/>
    <n v="224"/>
    <m/>
    <m/>
    <s v="Commented Video"/>
    <x v="0"/>
    <s v="No. _x000a__x000a_That&amp;#39;s just physics."/>
    <s v="UCnfOIxXxHtCq2hHoltwLlsg"/>
    <s v="Fonzi Alf"/>
    <s v="http://www.youtube.com/channel/UCnfOIxXxHtCq2hHoltwLlsg"/>
    <m/>
    <s v="wadBvDPeE4E"/>
    <s v="https://www.youtube.com/watch?v=wadBvDPeE4E"/>
    <s v="none"/>
    <n v="0"/>
    <x v="220"/>
    <d v="2012-10-24T04:41:33.000"/>
    <m/>
    <m/>
    <s v=""/>
    <n v="1"/>
    <s v="1"/>
    <s v="1"/>
    <n v="0"/>
    <n v="0"/>
    <n v="0"/>
    <n v="0"/>
    <n v="0"/>
    <n v="0"/>
    <n v="6"/>
    <n v="100"/>
    <n v="6"/>
  </r>
  <r>
    <s v="UCn9qCtKejAR9WHTo0N6slUg"/>
    <s v="UCvQECJukTDE2i6aCoMnS-Vg"/>
    <m/>
    <m/>
    <m/>
    <m/>
    <m/>
    <m/>
    <m/>
    <m/>
    <s v="No"/>
    <n v="225"/>
    <m/>
    <m/>
    <s v="Commented Video"/>
    <x v="0"/>
    <s v="What the fuck!!! This video is INSANE!!! Reading suicide notes, and then saying how long it takes to hit the water??? This guy is NUTTTTSSSSS!!!!!!"/>
    <s v="UCn9qCtKejAR9WHTo0N6slUg"/>
    <s v="MarStoryTime"/>
    <s v="http://www.youtube.com/channel/UCn9qCtKejAR9WHTo0N6slUg"/>
    <m/>
    <s v="wadBvDPeE4E"/>
    <s v="https://www.youtube.com/watch?v=wadBvDPeE4E"/>
    <s v="none"/>
    <n v="0"/>
    <x v="221"/>
    <d v="2012-10-24T09:47:23.000"/>
    <m/>
    <m/>
    <s v=""/>
    <n v="1"/>
    <s v="1"/>
    <s v="1"/>
    <n v="0"/>
    <n v="0"/>
    <n v="3"/>
    <n v="12"/>
    <n v="0"/>
    <n v="0"/>
    <n v="22"/>
    <n v="88"/>
    <n v="25"/>
  </r>
  <r>
    <s v="UCs8UJ9JazQwL5AI8KsdplrA"/>
    <s v="UCvQECJukTDE2i6aCoMnS-Vg"/>
    <m/>
    <m/>
    <m/>
    <m/>
    <m/>
    <m/>
    <m/>
    <m/>
    <s v="No"/>
    <n v="226"/>
    <m/>
    <m/>
    <s v="Commented Video"/>
    <x v="0"/>
    <s v="TRIGGER WARNING: Suicide"/>
    <s v="UCs8UJ9JazQwL5AI8KsdplrA"/>
    <s v="oharari"/>
    <s v="http://www.youtube.com/channel/UCs8UJ9JazQwL5AI8KsdplrA"/>
    <m/>
    <s v="wadBvDPeE4E"/>
    <s v="https://www.youtube.com/watch?v=wadBvDPeE4E"/>
    <s v="none"/>
    <n v="0"/>
    <x v="222"/>
    <d v="2012-10-24T11:31:47.000"/>
    <m/>
    <m/>
    <s v=""/>
    <n v="1"/>
    <s v="1"/>
    <s v="1"/>
    <n v="0"/>
    <n v="0"/>
    <n v="2"/>
    <n v="66.66666666666667"/>
    <n v="0"/>
    <n v="0"/>
    <n v="1"/>
    <n v="33.333333333333336"/>
    <n v="3"/>
  </r>
  <r>
    <s v="UCCt6FVz_V46ZRI0P3PeBLFA"/>
    <s v="UCvQECJukTDE2i6aCoMnS-Vg"/>
    <m/>
    <m/>
    <m/>
    <m/>
    <m/>
    <m/>
    <m/>
    <m/>
    <s v="No"/>
    <n v="227"/>
    <m/>
    <m/>
    <s v="Commented Video"/>
    <x v="0"/>
    <s v="Good insights"/>
    <s v="UCCt6FVz_V46ZRI0P3PeBLFA"/>
    <s v="Ninad Kothari"/>
    <s v="http://www.youtube.com/channel/UCCt6FVz_V46ZRI0P3PeBLFA"/>
    <m/>
    <s v="wadBvDPeE4E"/>
    <s v="https://www.youtube.com/watch?v=wadBvDPeE4E"/>
    <s v="none"/>
    <n v="1"/>
    <x v="223"/>
    <d v="2012-10-24T13:35:34.000"/>
    <m/>
    <m/>
    <s v=""/>
    <n v="1"/>
    <s v="1"/>
    <s v="1"/>
    <n v="1"/>
    <n v="50"/>
    <n v="0"/>
    <n v="0"/>
    <n v="0"/>
    <n v="0"/>
    <n v="1"/>
    <n v="50"/>
    <n v="2"/>
  </r>
  <r>
    <s v="UC7tDCPfjQaEoetZOv0J6hCg"/>
    <s v="UCvQECJukTDE2i6aCoMnS-Vg"/>
    <m/>
    <m/>
    <m/>
    <m/>
    <m/>
    <m/>
    <m/>
    <m/>
    <s v="No"/>
    <n v="228"/>
    <m/>
    <m/>
    <s v="Commented Video"/>
    <x v="0"/>
    <s v="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amp;#39;t cut off his choice of an exit."/>
    <s v="UC7tDCPfjQaEoetZOv0J6hCg"/>
    <s v="Daniel Koellner"/>
    <s v="http://www.youtube.com/channel/UC7tDCPfjQaEoetZOv0J6hCg"/>
    <m/>
    <s v="wadBvDPeE4E"/>
    <s v="https://www.youtube.com/watch?v=wadBvDPeE4E"/>
    <s v="none"/>
    <n v="0"/>
    <x v="224"/>
    <d v="2012-10-24T21:25:56.000"/>
    <m/>
    <m/>
    <s v=""/>
    <n v="4"/>
    <s v="1"/>
    <s v="1"/>
    <n v="2"/>
    <n v="2.380952380952381"/>
    <n v="6"/>
    <n v="7.142857142857143"/>
    <n v="0"/>
    <n v="0"/>
    <n v="76"/>
    <n v="90.47619047619048"/>
    <n v="84"/>
  </r>
  <r>
    <s v="UC7tDCPfjQaEoetZOv0J6hCg"/>
    <s v="UCvQECJukTDE2i6aCoMnS-Vg"/>
    <m/>
    <m/>
    <m/>
    <m/>
    <m/>
    <m/>
    <m/>
    <m/>
    <s v="No"/>
    <n v="229"/>
    <m/>
    <m/>
    <s v="Commented Video"/>
    <x v="0"/>
    <s v="What has one to do with the other? Your point is completely unrelated to my statement."/>
    <s v="UC7tDCPfjQaEoetZOv0J6hCg"/>
    <s v="Daniel Koellner"/>
    <s v="http://www.youtube.com/channel/UC7tDCPfjQaEoetZOv0J6hCg"/>
    <m/>
    <s v="wadBvDPeE4E"/>
    <s v="https://www.youtube.com/watch?v=wadBvDPeE4E"/>
    <s v="none"/>
    <n v="0"/>
    <x v="225"/>
    <d v="2012-10-25T19:17:38.000"/>
    <m/>
    <m/>
    <s v=""/>
    <n v="4"/>
    <s v="1"/>
    <s v="1"/>
    <n v="0"/>
    <n v="0"/>
    <n v="0"/>
    <n v="0"/>
    <n v="0"/>
    <n v="0"/>
    <n v="16"/>
    <n v="100"/>
    <n v="16"/>
  </r>
  <r>
    <s v="UC7tDCPfjQaEoetZOv0J6hCg"/>
    <s v="UCvQECJukTDE2i6aCoMnS-Vg"/>
    <m/>
    <m/>
    <m/>
    <m/>
    <m/>
    <m/>
    <m/>
    <m/>
    <s v="No"/>
    <n v="230"/>
    <m/>
    <m/>
    <s v="Commented Video"/>
    <x v="0"/>
    <s v="btw: Just because Schopenhauer said so doesn&amp;#39;t make it the ultimate truth. "/>
    <s v="UC7tDCPfjQaEoetZOv0J6hCg"/>
    <s v="Daniel Koellner"/>
    <s v="http://www.youtube.com/channel/UC7tDCPfjQaEoetZOv0J6hCg"/>
    <m/>
    <s v="wadBvDPeE4E"/>
    <s v="https://www.youtube.com/watch?v=wadBvDPeE4E"/>
    <s v="none"/>
    <n v="0"/>
    <x v="226"/>
    <d v="2012-10-25T19:18:27.000"/>
    <m/>
    <m/>
    <s v=""/>
    <n v="4"/>
    <s v="1"/>
    <s v="1"/>
    <n v="0"/>
    <n v="0"/>
    <n v="0"/>
    <n v="0"/>
    <n v="0"/>
    <n v="0"/>
    <n v="14"/>
    <n v="100"/>
    <n v="14"/>
  </r>
  <r>
    <s v="UC7tDCPfjQaEoetZOv0J6hCg"/>
    <s v="UCvQECJukTDE2i6aCoMnS-Vg"/>
    <m/>
    <m/>
    <m/>
    <m/>
    <m/>
    <m/>
    <m/>
    <m/>
    <s v="No"/>
    <n v="231"/>
    <m/>
    <m/>
    <s v="Commented Video"/>
    <x v="0"/>
    <s v="@Marko Kraguljac are you serious? i talk about suicide and you pick up single words to make a point for free will? gees, you must be really bored."/>
    <s v="UC7tDCPfjQaEoetZOv0J6hCg"/>
    <s v="Daniel Koellner"/>
    <s v="http://www.youtube.com/channel/UC7tDCPfjQaEoetZOv0J6hCg"/>
    <m/>
    <s v="wadBvDPeE4E"/>
    <s v="https://www.youtube.com/watch?v=wadBvDPeE4E"/>
    <s v="none"/>
    <n v="0"/>
    <x v="227"/>
    <d v="2012-10-25T21:22:50.000"/>
    <m/>
    <m/>
    <s v=""/>
    <n v="4"/>
    <s v="1"/>
    <s v="1"/>
    <n v="1"/>
    <n v="3.5714285714285716"/>
    <n v="2"/>
    <n v="7.142857142857143"/>
    <n v="0"/>
    <n v="0"/>
    <n v="25"/>
    <n v="89.28571428571429"/>
    <n v="28"/>
  </r>
  <r>
    <s v="UCaxEabjy5w2w0quLQSTwlMA"/>
    <s v="UCvQECJukTDE2i6aCoMnS-Vg"/>
    <m/>
    <m/>
    <m/>
    <m/>
    <m/>
    <m/>
    <m/>
    <m/>
    <s v="No"/>
    <n v="232"/>
    <m/>
    <m/>
    <s v="Commented Video"/>
    <x v="0"/>
    <s v="you could appreciate normal lectures before? o_O"/>
    <s v="UCaxEabjy5w2w0quLQSTwlMA"/>
    <s v="sidewize"/>
    <s v="http://www.youtube.com/channel/UCaxEabjy5w2w0quLQSTwlMA"/>
    <m/>
    <s v="wadBvDPeE4E"/>
    <s v="https://www.youtube.com/watch?v=wadBvDPeE4E"/>
    <s v="none"/>
    <n v="0"/>
    <x v="228"/>
    <d v="2012-10-26T01:38:22.000"/>
    <m/>
    <m/>
    <s v=""/>
    <n v="1"/>
    <s v="1"/>
    <s v="1"/>
    <n v="1"/>
    <n v="14.285714285714286"/>
    <n v="0"/>
    <n v="0"/>
    <n v="0"/>
    <n v="0"/>
    <n v="6"/>
    <n v="85.71428571428571"/>
    <n v="7"/>
  </r>
  <r>
    <s v="UCBXLI4-dB-OMA6vvULUnJRg"/>
    <s v="UCvQECJukTDE2i6aCoMnS-Vg"/>
    <m/>
    <m/>
    <m/>
    <m/>
    <m/>
    <m/>
    <m/>
    <m/>
    <s v="No"/>
    <n v="233"/>
    <m/>
    <m/>
    <s v="Commented Video"/>
    <x v="0"/>
    <s v="There is no free will. As with every other &amp;quot;choice&amp;quot;,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_x000a_Same is with majority of &amp;quot;decisions&amp;quot; to commit suicide."/>
    <s v="UCBXLI4-dB-OMA6vvULUnJRg"/>
    <s v="Marko Kraguljac"/>
    <s v="http://www.youtube.com/channel/UCBXLI4-dB-OMA6vvULUnJRg"/>
    <m/>
    <s v="wadBvDPeE4E"/>
    <s v="https://www.youtube.com/watch?v=wadBvDPeE4E"/>
    <s v="none"/>
    <n v="0"/>
    <x v="229"/>
    <d v="2012-10-25T18:01:06.000"/>
    <m/>
    <m/>
    <s v=""/>
    <n v="9"/>
    <s v="1"/>
    <s v="1"/>
    <n v="3"/>
    <n v="3.75"/>
    <n v="2"/>
    <n v="2.5"/>
    <n v="0"/>
    <n v="0"/>
    <n v="75"/>
    <n v="93.75"/>
    <n v="80"/>
  </r>
  <r>
    <s v="UCBXLI4-dB-OMA6vvULUnJRg"/>
    <s v="UCvQECJukTDE2i6aCoMnS-Vg"/>
    <m/>
    <m/>
    <m/>
    <m/>
    <m/>
    <m/>
    <m/>
    <m/>
    <s v="No"/>
    <n v="234"/>
    <m/>
    <m/>
    <s v="Commented Video"/>
    <x v="0"/>
    <s v="It is related to your points C and D. At least according to what you wrote in these points you take &amp;quot;free&amp;quot;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
    <s v="UCBXLI4-dB-OMA6vvULUnJRg"/>
    <s v="Marko Kraguljac"/>
    <s v="http://www.youtube.com/channel/UCBXLI4-dB-OMA6vvULUnJRg"/>
    <m/>
    <s v="wadBvDPeE4E"/>
    <s v="https://www.youtube.com/watch?v=wadBvDPeE4E"/>
    <s v="none"/>
    <n v="0"/>
    <x v="230"/>
    <d v="2012-10-25T21:04:55.000"/>
    <m/>
    <m/>
    <s v=""/>
    <n v="9"/>
    <s v="1"/>
    <s v="1"/>
    <n v="4"/>
    <n v="4.301075268817204"/>
    <n v="5"/>
    <n v="5.376344086021505"/>
    <n v="0"/>
    <n v="0"/>
    <n v="84"/>
    <n v="90.3225806451613"/>
    <n v="93"/>
  </r>
  <r>
    <s v="UCBXLI4-dB-OMA6vvULUnJRg"/>
    <s v="UCvQECJukTDE2i6aCoMnS-Vg"/>
    <m/>
    <m/>
    <m/>
    <m/>
    <m/>
    <m/>
    <m/>
    <m/>
    <s v="No"/>
    <n v="235"/>
    <m/>
    <m/>
    <s v="Commented Video"/>
    <x v="0"/>
    <s v="Am I understanding you right that personal belief at any precise moment is absolute alpha and omega and that society cannot have any role in that matter?_x000a_If its not it, please rephrase it."/>
    <s v="UCBXLI4-dB-OMA6vvULUnJRg"/>
    <s v="Marko Kraguljac"/>
    <s v="http://www.youtube.com/channel/UCBXLI4-dB-OMA6vvULUnJRg"/>
    <m/>
    <s v="wadBvDPeE4E"/>
    <s v="https://www.youtube.com/watch?v=wadBvDPeE4E"/>
    <s v="none"/>
    <n v="0"/>
    <x v="231"/>
    <d v="2012-10-25T23:30:36.000"/>
    <m/>
    <m/>
    <s v=""/>
    <n v="9"/>
    <s v="1"/>
    <s v="1"/>
    <n v="2"/>
    <n v="5.882352941176471"/>
    <n v="0"/>
    <n v="0"/>
    <n v="0"/>
    <n v="0"/>
    <n v="32"/>
    <n v="94.11764705882354"/>
    <n v="34"/>
  </r>
  <r>
    <s v="UCBXLI4-dB-OMA6vvULUnJRg"/>
    <s v="UCvQECJukTDE2i6aCoMnS-Vg"/>
    <m/>
    <m/>
    <m/>
    <m/>
    <m/>
    <m/>
    <m/>
    <m/>
    <s v="No"/>
    <n v="236"/>
    <m/>
    <m/>
    <s v="Commented Video"/>
    <x v="0"/>
    <s v="I dont find these matters so trivial even from afar. Ad hominem wont get us anywhere."/>
    <s v="UCBXLI4-dB-OMA6vvULUnJRg"/>
    <s v="Marko Kraguljac"/>
    <s v="http://www.youtube.com/channel/UCBXLI4-dB-OMA6vvULUnJRg"/>
    <m/>
    <s v="wadBvDPeE4E"/>
    <s v="https://www.youtube.com/watch?v=wadBvDPeE4E"/>
    <s v="none"/>
    <n v="0"/>
    <x v="232"/>
    <d v="2012-10-25T23:55:32.000"/>
    <m/>
    <m/>
    <s v=""/>
    <n v="9"/>
    <s v="1"/>
    <s v="1"/>
    <n v="0"/>
    <n v="0"/>
    <n v="1"/>
    <n v="6.25"/>
    <n v="0"/>
    <n v="0"/>
    <n v="15"/>
    <n v="93.75"/>
    <n v="16"/>
  </r>
  <r>
    <s v="UCBXLI4-dB-OMA6vvULUnJRg"/>
    <s v="UCvQECJukTDE2i6aCoMnS-Vg"/>
    <m/>
    <m/>
    <m/>
    <m/>
    <m/>
    <m/>
    <m/>
    <m/>
    <s v="No"/>
    <n v="237"/>
    <m/>
    <m/>
    <s v="Commented Video"/>
    <x v="0"/>
    <s v="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
    <s v="UCBXLI4-dB-OMA6vvULUnJRg"/>
    <s v="Marko Kraguljac"/>
    <s v="http://www.youtube.com/channel/UCBXLI4-dB-OMA6vvULUnJRg"/>
    <m/>
    <s v="wadBvDPeE4E"/>
    <s v="https://www.youtube.com/watch?v=wadBvDPeE4E"/>
    <s v="none"/>
    <n v="0"/>
    <x v="233"/>
    <d v="2012-10-26T00:05:24.000"/>
    <m/>
    <m/>
    <s v=""/>
    <n v="9"/>
    <s v="1"/>
    <s v="1"/>
    <n v="4"/>
    <n v="6.779661016949152"/>
    <n v="5"/>
    <n v="8.474576271186441"/>
    <n v="0"/>
    <n v="0"/>
    <n v="50"/>
    <n v="84.7457627118644"/>
    <n v="59"/>
  </r>
  <r>
    <s v="UCBXLI4-dB-OMA6vvULUnJRg"/>
    <s v="UCvQECJukTDE2i6aCoMnS-Vg"/>
    <m/>
    <m/>
    <m/>
    <m/>
    <m/>
    <m/>
    <m/>
    <m/>
    <s v="No"/>
    <n v="238"/>
    <m/>
    <m/>
    <s v="Commented Video"/>
    <x v="0"/>
    <s v="I read your other parallel comment and will answer to both here._x000a_Concept of free will was misused throughout history as a cop-out for all sorts of violence and injustice, frequently as a result of ignorance or lack of material means. An example: There is no food for everyone? Thats god&amp;#39;s will or some deficiency of those who will starve. Some people have 10,000,000 times bigger income than someone else? Thats their own personal productivity or incompetence of poorly payed. Continued&amp;gt;"/>
    <s v="UCBXLI4-dB-OMA6vvULUnJRg"/>
    <s v="Marko Kraguljac"/>
    <s v="http://www.youtube.com/channel/UCBXLI4-dB-OMA6vvULUnJRg"/>
    <m/>
    <s v="wadBvDPeE4E"/>
    <s v="https://www.youtube.com/watch?v=wadBvDPeE4E"/>
    <s v="none"/>
    <n v="0"/>
    <x v="234"/>
    <d v="2012-10-26T01:05:52.000"/>
    <m/>
    <m/>
    <s v=""/>
    <n v="9"/>
    <s v="1"/>
    <s v="1"/>
    <n v="1"/>
    <n v="1.1494252873563218"/>
    <n v="7"/>
    <n v="8.045977011494253"/>
    <n v="0"/>
    <n v="0"/>
    <n v="79"/>
    <n v="90.80459770114942"/>
    <n v="87"/>
  </r>
  <r>
    <s v="UCBXLI4-dB-OMA6vvULUnJRg"/>
    <s v="UCvQECJukTDE2i6aCoMnS-Vg"/>
    <m/>
    <m/>
    <m/>
    <m/>
    <m/>
    <m/>
    <m/>
    <m/>
    <s v="No"/>
    <n v="239"/>
    <m/>
    <m/>
    <s v="Commented Video"/>
    <x v="0"/>
    <s v="Continued&amp;gt; Its all a string of false justifications of material and social realities. Or take this: Someone killed. They are evil! There is no explanation of *existing* deep causality because he has &amp;quot;free will&amp;quot; etc_x000a_Realizing that we do not have free will factually empowers us.. but it needs time to understand how.. and in the meantime, how you feel about it is not determined by external factors but how your body functions. You can be blissful in worst circumstances or miserable in best. Cont2&amp;gt;"/>
    <s v="UCBXLI4-dB-OMA6vvULUnJRg"/>
    <s v="Marko Kraguljac"/>
    <s v="http://www.youtube.com/channel/UCBXLI4-dB-OMA6vvULUnJRg"/>
    <m/>
    <s v="wadBvDPeE4E"/>
    <s v="https://www.youtube.com/watch?v=wadBvDPeE4E"/>
    <s v="none"/>
    <n v="0"/>
    <x v="235"/>
    <d v="2012-10-26T01:10:20.000"/>
    <m/>
    <m/>
    <s v=""/>
    <n v="9"/>
    <s v="1"/>
    <s v="1"/>
    <n v="4"/>
    <n v="4.49438202247191"/>
    <n v="5"/>
    <n v="5.617977528089888"/>
    <n v="0"/>
    <n v="0"/>
    <n v="80"/>
    <n v="89.88764044943821"/>
    <n v="89"/>
  </r>
  <r>
    <s v="UCBXLI4-dB-OMA6vvULUnJRg"/>
    <s v="UCvQECJukTDE2i6aCoMnS-Vg"/>
    <m/>
    <m/>
    <m/>
    <m/>
    <m/>
    <m/>
    <m/>
    <m/>
    <s v="No"/>
    <n v="240"/>
    <m/>
    <m/>
    <s v="Commented Video"/>
    <x v="0"/>
    <s v="Cont2&amp;gt; I highly recommend you check out Sadhguru Jaggi Vasudev. Especially his talks about body and mind, happiness, religion, &amp;quot;destiny&amp;quot;, &amp;quot;god&amp;quot; etc. I am not obsessed with gurus but this guy knows what he&amp;#39;s talking about, 99% of the time."/>
    <s v="UCBXLI4-dB-OMA6vvULUnJRg"/>
    <s v="Marko Kraguljac"/>
    <s v="http://www.youtube.com/channel/UCBXLI4-dB-OMA6vvULUnJRg"/>
    <m/>
    <s v="wadBvDPeE4E"/>
    <s v="https://www.youtube.com/watch?v=wadBvDPeE4E"/>
    <s v="none"/>
    <n v="0"/>
    <x v="236"/>
    <d v="2012-10-26T01:14:14.000"/>
    <m/>
    <m/>
    <s v=""/>
    <n v="9"/>
    <s v="1"/>
    <s v="1"/>
    <n v="3"/>
    <n v="6.382978723404255"/>
    <n v="0"/>
    <n v="0"/>
    <n v="0"/>
    <n v="0"/>
    <n v="44"/>
    <n v="93.61702127659575"/>
    <n v="47"/>
  </r>
  <r>
    <s v="UCBXLI4-dB-OMA6vvULUnJRg"/>
    <s v="UCvQECJukTDE2i6aCoMnS-Vg"/>
    <m/>
    <m/>
    <m/>
    <m/>
    <m/>
    <m/>
    <m/>
    <m/>
    <s v="No"/>
    <n v="241"/>
    <m/>
    <m/>
    <s v="Commented Video"/>
    <x v="0"/>
    <s v="Have you read my remaining two comments chained to the one you answered to?"/>
    <s v="UCBXLI4-dB-OMA6vvULUnJRg"/>
    <s v="Marko Kraguljac"/>
    <s v="http://www.youtube.com/channel/UCBXLI4-dB-OMA6vvULUnJRg"/>
    <m/>
    <s v="wadBvDPeE4E"/>
    <s v="https://www.youtube.com/watch?v=wadBvDPeE4E"/>
    <s v="none"/>
    <n v="0"/>
    <x v="237"/>
    <d v="2012-10-26T05:43:02.000"/>
    <m/>
    <m/>
    <s v=""/>
    <n v="9"/>
    <s v="1"/>
    <s v="1"/>
    <n v="0"/>
    <n v="0"/>
    <n v="0"/>
    <n v="0"/>
    <n v="0"/>
    <n v="0"/>
    <n v="14"/>
    <n v="100"/>
    <n v="14"/>
  </r>
  <r>
    <s v="UCaVj9dy6-8SIkGpknU4GZ8w"/>
    <s v="UCvQECJukTDE2i6aCoMnS-Vg"/>
    <m/>
    <m/>
    <m/>
    <m/>
    <m/>
    <m/>
    <m/>
    <m/>
    <s v="No"/>
    <n v="242"/>
    <m/>
    <m/>
    <s v="Commented Video"/>
    <x v="0"/>
    <s v="Free will or no free will, if a person believes that every decision they make out of all the decisions they cognitively realize are possible will help them achieve what they think as &amp;quot;good&amp;quot; in that moment than that in itself should count out the notion of no free will when making choices because absolutely no body thinks about that when in the moment of making a decision. That, and where you&amp;#39;re from/how you were raised has never limited anyone in doing anything that has ever happened."/>
    <s v="UCaVj9dy6-8SIkGpknU4GZ8w"/>
    <s v="shivad aspiliqueta"/>
    <s v="http://www.youtube.com/channel/UCaVj9dy6-8SIkGpknU4GZ8w"/>
    <m/>
    <s v="wadBvDPeE4E"/>
    <s v="https://www.youtube.com/watch?v=wadBvDPeE4E"/>
    <s v="none"/>
    <n v="0"/>
    <x v="238"/>
    <d v="2012-10-25T23:02:54.000"/>
    <m/>
    <m/>
    <s v=""/>
    <n v="6"/>
    <s v="1"/>
    <s v="1"/>
    <n v="4"/>
    <n v="4.3478260869565215"/>
    <n v="1"/>
    <n v="1.0869565217391304"/>
    <n v="0"/>
    <n v="0"/>
    <n v="87"/>
    <n v="94.56521739130434"/>
    <n v="92"/>
  </r>
  <r>
    <s v="UCaVj9dy6-8SIkGpknU4GZ8w"/>
    <s v="UCvQECJukTDE2i6aCoMnS-Vg"/>
    <m/>
    <m/>
    <m/>
    <m/>
    <m/>
    <m/>
    <m/>
    <m/>
    <s v="No"/>
    <n v="243"/>
    <m/>
    <m/>
    <s v="Commented Video"/>
    <x v="0"/>
    <s v="No free will is a depressing thought for creatures who can&amp;#39;t actualize this notion in their act of existence. "/>
    <s v="UCaVj9dy6-8SIkGpknU4GZ8w"/>
    <s v="shivad aspiliqueta"/>
    <s v="http://www.youtube.com/channel/UCaVj9dy6-8SIkGpknU4GZ8w"/>
    <m/>
    <s v="wadBvDPeE4E"/>
    <s v="https://www.youtube.com/watch?v=wadBvDPeE4E"/>
    <s v="none"/>
    <n v="0"/>
    <x v="239"/>
    <d v="2012-10-25T23:03:02.000"/>
    <m/>
    <m/>
    <s v=""/>
    <n v="6"/>
    <s v="1"/>
    <s v="1"/>
    <n v="1"/>
    <n v="4.761904761904762"/>
    <n v="1"/>
    <n v="4.761904761904762"/>
    <n v="0"/>
    <n v="0"/>
    <n v="19"/>
    <n v="90.47619047619048"/>
    <n v="21"/>
  </r>
  <r>
    <s v="UCaVj9dy6-8SIkGpknU4GZ8w"/>
    <s v="UCvQECJukTDE2i6aCoMnS-Vg"/>
    <m/>
    <m/>
    <m/>
    <m/>
    <m/>
    <m/>
    <m/>
    <m/>
    <s v="No"/>
    <n v="244"/>
    <m/>
    <m/>
    <s v="Commented Video"/>
    <x v="0"/>
    <s v="Good catch, my last sentence is worded incorrectly. Society definitely plays a role. It&amp;#39;s basically your conditioning, but at a certain point people have proven to be able to rationalize past such barriers, and come to higher insights on what is &amp;quot;good&amp;quot; and &amp;quot;bad&amp;quot; about not just only that society, but humanity in general. This being the case, and seeing as you understand my point (see your other post) about no free will not really affecting our capability of choice, isn&amp;#39;t it best to call it free?"/>
    <s v="UCaVj9dy6-8SIkGpknU4GZ8w"/>
    <s v="shivad aspiliqueta"/>
    <s v="http://www.youtube.com/channel/UCaVj9dy6-8SIkGpknU4GZ8w"/>
    <m/>
    <s v="wadBvDPeE4E"/>
    <s v="https://www.youtube.com/watch?v=wadBvDPeE4E"/>
    <s v="none"/>
    <n v="0"/>
    <x v="240"/>
    <d v="2012-10-26T00:23:04.000"/>
    <m/>
    <m/>
    <s v=""/>
    <n v="6"/>
    <s v="1"/>
    <s v="1"/>
    <n v="7"/>
    <n v="7.368421052631579"/>
    <n v="2"/>
    <n v="2.1052631578947367"/>
    <n v="0"/>
    <n v="0"/>
    <n v="86"/>
    <n v="90.52631578947368"/>
    <n v="95"/>
  </r>
  <r>
    <s v="UCaVj9dy6-8SIkGpknU4GZ8w"/>
    <s v="UCvQECJukTDE2i6aCoMnS-Vg"/>
    <m/>
    <m/>
    <m/>
    <m/>
    <m/>
    <m/>
    <m/>
    <m/>
    <s v="No"/>
    <n v="245"/>
    <m/>
    <m/>
    <s v="Commented Video"/>
    <x v="0"/>
    <s v="I agree with what you are saying, and I agree that science proves there is no free will. I am aware of this, but do you believe that if this trend continues we will be fully aware of our own limits while in everything we do? And if so, isn&amp;#39;t that depressing since then we will feel just as limited as the nature we have discovered below us? I have no idea. I&amp;#39;m also not lobbying to stop research. Science is neither good nor bad. Our intellect is the potentiality that makes its use an actuality. "/>
    <s v="UCaVj9dy6-8SIkGpknU4GZ8w"/>
    <s v="shivad aspiliqueta"/>
    <s v="http://www.youtube.com/channel/UCaVj9dy6-8SIkGpknU4GZ8w"/>
    <m/>
    <s v="wadBvDPeE4E"/>
    <s v="https://www.youtube.com/watch?v=wadBvDPeE4E"/>
    <s v="none"/>
    <n v="0"/>
    <x v="241"/>
    <d v="2012-10-26T00:26:34.000"/>
    <m/>
    <m/>
    <s v=""/>
    <n v="6"/>
    <s v="1"/>
    <s v="1"/>
    <n v="3"/>
    <n v="3"/>
    <n v="4"/>
    <n v="4"/>
    <n v="0"/>
    <n v="0"/>
    <n v="93"/>
    <n v="93"/>
    <n v="100"/>
  </r>
  <r>
    <s v="UCaVj9dy6-8SIkGpknU4GZ8w"/>
    <s v="UCvQECJukTDE2i6aCoMnS-Vg"/>
    <m/>
    <m/>
    <m/>
    <m/>
    <m/>
    <m/>
    <m/>
    <m/>
    <s v="No"/>
    <n v="246"/>
    <m/>
    <m/>
    <s v="Commented Video"/>
    <x v="0"/>
    <s v="You claim here that everyone who believes in free will automatically claims it&amp;#39;s God&amp;#39;s will? Where do you get that from? Also, in the above post, you claim that someone who believes free will isn&amp;#39;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
    <s v="UCaVj9dy6-8SIkGpknU4GZ8w"/>
    <s v="shivad aspiliqueta"/>
    <s v="http://www.youtube.com/channel/UCaVj9dy6-8SIkGpknU4GZ8w"/>
    <m/>
    <s v="wadBvDPeE4E"/>
    <s v="https://www.youtube.com/watch?v=wadBvDPeE4E"/>
    <s v="none"/>
    <n v="0"/>
    <x v="242"/>
    <d v="2012-10-26T05:21:36.000"/>
    <m/>
    <m/>
    <s v=""/>
    <n v="6"/>
    <s v="1"/>
    <s v="1"/>
    <n v="4"/>
    <n v="4.301075268817204"/>
    <n v="0"/>
    <n v="0"/>
    <n v="0"/>
    <n v="0"/>
    <n v="89"/>
    <n v="95.6989247311828"/>
    <n v="93"/>
  </r>
  <r>
    <s v="UCaVj9dy6-8SIkGpknU4GZ8w"/>
    <s v="UCvQECJukTDE2i6aCoMnS-Vg"/>
    <m/>
    <m/>
    <m/>
    <m/>
    <m/>
    <m/>
    <m/>
    <m/>
    <s v="No"/>
    <n v="247"/>
    <m/>
    <m/>
    <s v="Commented Video"/>
    <x v="0"/>
    <s v="Yes. I think I might need clarification on your first continued second block starting with how you feel about it---to the end. Are you saying to attain this you need to have control over your mind? Is that what you mean by internal bodily functions, and the tie in with weather? "/>
    <s v="UCaVj9dy6-8SIkGpknU4GZ8w"/>
    <s v="shivad aspiliqueta"/>
    <s v="http://www.youtube.com/channel/UCaVj9dy6-8SIkGpknU4GZ8w"/>
    <m/>
    <s v="wadBvDPeE4E"/>
    <s v="https://www.youtube.com/watch?v=wadBvDPeE4E"/>
    <s v="none"/>
    <n v="0"/>
    <x v="243"/>
    <d v="2012-10-26T06:43:56.000"/>
    <m/>
    <m/>
    <s v=""/>
    <n v="6"/>
    <s v="1"/>
    <s v="1"/>
    <n v="0"/>
    <n v="0"/>
    <n v="0"/>
    <n v="0"/>
    <n v="0"/>
    <n v="0"/>
    <n v="52"/>
    <n v="100"/>
    <n v="52"/>
  </r>
  <r>
    <s v="UCBXhOMzNoFQJBBrVyXBsQQA"/>
    <s v="UCvQECJukTDE2i6aCoMnS-Vg"/>
    <m/>
    <m/>
    <m/>
    <m/>
    <m/>
    <m/>
    <m/>
    <m/>
    <s v="No"/>
    <n v="248"/>
    <m/>
    <m/>
    <s v="Commented Video"/>
    <x v="0"/>
    <s v="ETHICAL RULES ... OUR MINDS HAVE NOT CHANGED ... so true ...  INDIVIDUALS DO NOT WANT TO CHANGE ... EMBEDDED IN LEARNING FROM DOGMAS / NO QUESTIONING &amp;#39;HOW/WHY/WHAT ... Changing &amp;#39;habits&amp;#39; of learning ... graduating from &amp;#39;fiction to nonfiction&amp;#39; ... stuck with relg-military-bully MINDset ... philosophy that prevails inner psyches ... ehhh"/>
    <s v="UCBXhOMzNoFQJBBrVyXBsQQA"/>
    <s v="MrBeETHICAL"/>
    <s v="http://www.youtube.com/channel/UCBXhOMzNoFQJBBrVyXBsQQA"/>
    <m/>
    <s v="wadBvDPeE4E"/>
    <s v="https://www.youtube.com/watch?v=wadBvDPeE4E"/>
    <s v="none"/>
    <n v="0"/>
    <x v="244"/>
    <d v="2012-10-27T00:31:36.000"/>
    <m/>
    <m/>
    <s v=""/>
    <n v="1"/>
    <s v="1"/>
    <s v="1"/>
    <n v="1"/>
    <n v="1.9607843137254901"/>
    <n v="3"/>
    <n v="5.882352941176471"/>
    <n v="0"/>
    <n v="0"/>
    <n v="47"/>
    <n v="92.15686274509804"/>
    <n v="51"/>
  </r>
  <r>
    <s v="UCelX8funsIY4mqUUnBE6ZAg"/>
    <s v="UCvQECJukTDE2i6aCoMnS-Vg"/>
    <m/>
    <m/>
    <m/>
    <m/>
    <m/>
    <m/>
    <m/>
    <m/>
    <s v="No"/>
    <n v="249"/>
    <m/>
    <m/>
    <s v="Commented Video"/>
    <x v="0"/>
    <s v="Ah, the Internet is like free schooling, that you can do and study whenever you choose and how much. _x000a__x000a_I kind of however found this video hard to follow, not because I could understand it but hard to keep my attention, too many words (and fast) for simple ideas or points made. Needs more pauses on major points between sentences._x000a__x000a_I kind of like the lectures in general though, the only thing I hate is the time I have left after spend much on youtube vids of this sort and politics."/>
    <s v="UCelX8funsIY4mqUUnBE6ZAg"/>
    <s v="Jeremy K"/>
    <s v="http://www.youtube.com/channel/UCelX8funsIY4mqUUnBE6ZAg"/>
    <m/>
    <s v="wadBvDPeE4E"/>
    <s v="https://www.youtube.com/watch?v=wadBvDPeE4E"/>
    <s v="none"/>
    <n v="0"/>
    <x v="245"/>
    <d v="2012-10-22T21:57:05.000"/>
    <m/>
    <m/>
    <s v=""/>
    <n v="2"/>
    <s v="1"/>
    <s v="1"/>
    <n v="4"/>
    <n v="4.395604395604396"/>
    <n v="3"/>
    <n v="3.2967032967032965"/>
    <n v="0"/>
    <n v="0"/>
    <n v="84"/>
    <n v="92.3076923076923"/>
    <n v="91"/>
  </r>
  <r>
    <s v="UCelX8funsIY4mqUUnBE6ZAg"/>
    <s v="UCvQECJukTDE2i6aCoMnS-Vg"/>
    <m/>
    <m/>
    <m/>
    <m/>
    <m/>
    <m/>
    <m/>
    <m/>
    <s v="No"/>
    <n v="250"/>
    <m/>
    <m/>
    <s v="Commented Video"/>
    <x v="0"/>
    <s v="I prefer not to spend all day on youtube especially trying to analyze very few videos, if you understand._x000a__x000a_It can tend to easily be a bad habit of spending extra unintended hours on youtube watching videos on a binge and tangent._x000a__x000a_Regardless, It&amp;#39;s easier to understand things when you hear them in sequence, and as I said some parts he was just saying a lot of words fast, rather than few, meaningful and with pause._x000a__x000a_Not at all do I think him or the video is bad."/>
    <s v="UCelX8funsIY4mqUUnBE6ZAg"/>
    <s v="Jeremy K"/>
    <s v="http://www.youtube.com/channel/UCelX8funsIY4mqUUnBE6ZAg"/>
    <m/>
    <s v="wadBvDPeE4E"/>
    <s v="https://www.youtube.com/watch?v=wadBvDPeE4E"/>
    <s v="none"/>
    <n v="0"/>
    <x v="246"/>
    <d v="2012-10-27T12:51:37.000"/>
    <m/>
    <m/>
    <s v=""/>
    <n v="2"/>
    <s v="1"/>
    <s v="1"/>
    <n v="4"/>
    <n v="4.444444444444445"/>
    <n v="2"/>
    <n v="2.2222222222222223"/>
    <n v="0"/>
    <n v="0"/>
    <n v="84"/>
    <n v="93.33333333333333"/>
    <n v="90"/>
  </r>
  <r>
    <s v="UCHugYXdGnfn6HRlcgRkXfeA"/>
    <s v="UCvQECJukTDE2i6aCoMnS-Vg"/>
    <m/>
    <m/>
    <m/>
    <m/>
    <m/>
    <m/>
    <m/>
    <m/>
    <s v="No"/>
    <n v="251"/>
    <m/>
    <m/>
    <s v="Commented Video"/>
    <x v="0"/>
    <s v="Edvard Bernays used group psychology to advocate smoking to women as a symbol of &amp;quot;liberation&amp;quot;. Bernays also started the post-modern Jewish cultural movement to control the media and use it to shape society to their liking. Search for Edvard Bernays for the whole story._x000a__x000a_Artificial manipulation of the masses is sick. Let people live their lives."/>
    <s v="UCHugYXdGnfn6HRlcgRkXfeA"/>
    <s v="The Forms"/>
    <s v="http://www.youtube.com/channel/UCHugYXdGnfn6HRlcgRkXfeA"/>
    <m/>
    <s v="wadBvDPeE4E"/>
    <s v="https://www.youtube.com/watch?v=wadBvDPeE4E"/>
    <s v="none"/>
    <n v="0"/>
    <x v="247"/>
    <d v="2012-10-28T19:43:03.000"/>
    <m/>
    <m/>
    <s v=""/>
    <n v="1"/>
    <s v="1"/>
    <s v="1"/>
    <n v="4"/>
    <n v="6.779661016949152"/>
    <n v="2"/>
    <n v="3.389830508474576"/>
    <n v="0"/>
    <n v="0"/>
    <n v="53"/>
    <n v="89.83050847457628"/>
    <n v="59"/>
  </r>
  <r>
    <s v="UCNnxGXWJRUuie_mEDKhlYaA"/>
    <s v="UCvQECJukTDE2i6aCoMnS-Vg"/>
    <m/>
    <m/>
    <m/>
    <m/>
    <m/>
    <m/>
    <m/>
    <m/>
    <s v="No"/>
    <n v="252"/>
    <m/>
    <m/>
    <s v="Commented Video"/>
    <x v="0"/>
    <s v="Sadly, there are probably infinitely more resources devoted towards collecting (and using) these data for the purpose of commercial marketing rather than solving social problems. "/>
    <s v="UCNnxGXWJRUuie_mEDKhlYaA"/>
    <s v="Shane H"/>
    <s v="http://www.youtube.com/channel/UCNnxGXWJRUuie_mEDKhlYaA"/>
    <m/>
    <s v="wadBvDPeE4E"/>
    <s v="https://www.youtube.com/watch?v=wadBvDPeE4E"/>
    <s v="none"/>
    <n v="0"/>
    <x v="248"/>
    <d v="2012-10-29T12:53:22.000"/>
    <m/>
    <m/>
    <s v=""/>
    <n v="1"/>
    <s v="1"/>
    <s v="1"/>
    <n v="0"/>
    <n v="0"/>
    <n v="2"/>
    <n v="8"/>
    <n v="0"/>
    <n v="0"/>
    <n v="23"/>
    <n v="92"/>
    <n v="25"/>
  </r>
  <r>
    <s v="UCATuF5XusLj_hBLW7xkdN9g"/>
    <s v="UCvQECJukTDE2i6aCoMnS-Vg"/>
    <m/>
    <m/>
    <m/>
    <m/>
    <m/>
    <m/>
    <m/>
    <m/>
    <s v="No"/>
    <n v="253"/>
    <m/>
    <m/>
    <s v="Commented Video"/>
    <x v="0"/>
    <s v="oooh so where i&amp;#39;m located in a social network depends on my Jeans... "/>
    <s v="UCATuF5XusLj_hBLW7xkdN9g"/>
    <s v="Maurovskie"/>
    <s v="http://www.youtube.com/channel/UCATuF5XusLj_hBLW7xkdN9g"/>
    <m/>
    <s v="wadBvDPeE4E"/>
    <s v="https://www.youtube.com/watch?v=wadBvDPeE4E"/>
    <s v="none"/>
    <n v="0"/>
    <x v="249"/>
    <d v="2012-11-01T01:11:02.000"/>
    <m/>
    <m/>
    <s v=""/>
    <n v="1"/>
    <s v="1"/>
    <s v="1"/>
    <n v="0"/>
    <n v="0"/>
    <n v="0"/>
    <n v="0"/>
    <n v="0"/>
    <n v="0"/>
    <n v="15"/>
    <n v="100"/>
    <n v="15"/>
  </r>
  <r>
    <s v="UCXWqpW8BB33EJy_UF5syh1g"/>
    <s v="UCvQECJukTDE2i6aCoMnS-Vg"/>
    <m/>
    <m/>
    <m/>
    <m/>
    <m/>
    <m/>
    <m/>
    <m/>
    <s v="No"/>
    <n v="254"/>
    <m/>
    <m/>
    <s v="Commented Video"/>
    <x v="0"/>
    <s v="Not knowing much about Sociology, this is exactly what I was looking for. Nicely done Nicholas Christakis."/>
    <s v="UCXWqpW8BB33EJy_UF5syh1g"/>
    <s v="Adeel Khan"/>
    <s v="http://www.youtube.com/channel/UCXWqpW8BB33EJy_UF5syh1g"/>
    <m/>
    <s v="wadBvDPeE4E"/>
    <s v="https://www.youtube.com/watch?v=wadBvDPeE4E"/>
    <s v="none"/>
    <n v="4"/>
    <x v="250"/>
    <d v="2012-11-02T20:19:42.000"/>
    <m/>
    <m/>
    <s v=""/>
    <n v="1"/>
    <s v="1"/>
    <s v="1"/>
    <n v="1"/>
    <n v="5.882352941176471"/>
    <n v="0"/>
    <n v="0"/>
    <n v="0"/>
    <n v="0"/>
    <n v="16"/>
    <n v="94.11764705882354"/>
    <n v="17"/>
  </r>
  <r>
    <s v="UCcZPEjGcl9UKaI-KWP7rMBQ"/>
    <s v="UCQApcYMPd8boA_mv0F54XoA"/>
    <m/>
    <m/>
    <m/>
    <m/>
    <m/>
    <m/>
    <m/>
    <m/>
    <s v="No"/>
    <n v="255"/>
    <m/>
    <m/>
    <s v="Replied Comment"/>
    <x v="1"/>
    <s v="Very Mcluhanesian of you!"/>
    <s v="UCcZPEjGcl9UKaI-KWP7rMBQ"/>
    <s v="Yours Truly"/>
    <s v="http://www.youtube.com/channel/UCcZPEjGcl9UKaI-KWP7rMBQ"/>
    <s v="UgxShsTMoBEzg-U6B6R4AaABAg"/>
    <s v="wadBvDPeE4E"/>
    <s v="https://www.youtube.com/watch?v=wadBvDPeE4E"/>
    <s v="none"/>
    <n v="0"/>
    <x v="251"/>
    <d v="2021-12-11T02:40:28.000"/>
    <m/>
    <m/>
    <s v=""/>
    <n v="1"/>
    <s v="3"/>
    <s v="3"/>
    <n v="0"/>
    <n v="0"/>
    <n v="0"/>
    <n v="0"/>
    <n v="0"/>
    <n v="0"/>
    <n v="4"/>
    <n v="100"/>
    <n v="4"/>
  </r>
  <r>
    <s v="UCcL0PxIXOU5-C1ckvdTiI1Q"/>
    <s v="UCQApcYMPd8boA_mv0F54XoA"/>
    <m/>
    <m/>
    <m/>
    <m/>
    <m/>
    <m/>
    <m/>
    <m/>
    <s v="No"/>
    <n v="256"/>
    <m/>
    <m/>
    <s v="Replied Comment"/>
    <x v="1"/>
    <s v="I dont like what I am seeing, so much fracturing of societies and culture clashes"/>
    <s v="UCcL0PxIXOU5-C1ckvdTiI1Q"/>
    <s v="Pinchi Bruha"/>
    <s v="http://www.youtube.com/channel/UCcL0PxIXOU5-C1ckvdTiI1Q"/>
    <s v="UgxShsTMoBEzg-U6B6R4AaABAg"/>
    <s v="wadBvDPeE4E"/>
    <s v="https://www.youtube.com/watch?v=wadBvDPeE4E"/>
    <s v="none"/>
    <n v="2"/>
    <x v="252"/>
    <d v="2021-11-15T13:07:03.000"/>
    <m/>
    <m/>
    <s v=""/>
    <n v="1"/>
    <s v="3"/>
    <s v="3"/>
    <n v="1"/>
    <n v="6.666666666666667"/>
    <n v="0"/>
    <n v="0"/>
    <n v="0"/>
    <n v="0"/>
    <n v="14"/>
    <n v="93.33333333333333"/>
    <n v="15"/>
  </r>
  <r>
    <s v="UCQApcYMPd8boA_mv0F54XoA"/>
    <s v="UCvQECJukTDE2i6aCoMnS-Vg"/>
    <m/>
    <m/>
    <m/>
    <m/>
    <m/>
    <m/>
    <m/>
    <m/>
    <s v="No"/>
    <n v="257"/>
    <m/>
    <m/>
    <s v="Commented Video"/>
    <x v="0"/>
    <s v="It&amp;#39;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
    <s v="UCQApcYMPd8boA_mv0F54XoA"/>
    <s v="Jacob Bonvie"/>
    <s v="http://www.youtube.com/channel/UCQApcYMPd8boA_mv0F54XoA"/>
    <m/>
    <s v="wadBvDPeE4E"/>
    <s v="https://www.youtube.com/watch?v=wadBvDPeE4E"/>
    <s v="none"/>
    <n v="29"/>
    <x v="253"/>
    <d v="2012-11-04T23:48:15.000"/>
    <m/>
    <m/>
    <s v=""/>
    <n v="1"/>
    <s v="3"/>
    <s v="1"/>
    <n v="2"/>
    <n v="3.5714285714285716"/>
    <n v="0"/>
    <n v="0"/>
    <n v="0"/>
    <n v="0"/>
    <n v="54"/>
    <n v="96.42857142857143"/>
    <n v="56"/>
  </r>
  <r>
    <s v="UCR9lCFHHkDFfevGWqKwU5nA"/>
    <s v="UCvQECJukTDE2i6aCoMnS-Vg"/>
    <m/>
    <m/>
    <m/>
    <m/>
    <m/>
    <m/>
    <m/>
    <m/>
    <s v="No"/>
    <n v="258"/>
    <m/>
    <m/>
    <s v="Commented Video"/>
    <x v="0"/>
    <s v="5:56 - 11:10 Great this will help me when I have to write my note, "/>
    <s v="UCR9lCFHHkDFfevGWqKwU5nA"/>
    <s v="TheKirger"/>
    <s v="http://www.youtube.com/channel/UCR9lCFHHkDFfevGWqKwU5nA"/>
    <m/>
    <s v="wadBvDPeE4E"/>
    <s v="https://www.youtube.com/watch?v=wadBvDPeE4E"/>
    <s v="none"/>
    <n v="0"/>
    <x v="254"/>
    <d v="2012-11-07T19:10:23.000"/>
    <m/>
    <m/>
    <s v=""/>
    <n v="1"/>
    <s v="1"/>
    <s v="1"/>
    <n v="1"/>
    <n v="6.25"/>
    <n v="0"/>
    <n v="0"/>
    <n v="0"/>
    <n v="0"/>
    <n v="15"/>
    <n v="93.75"/>
    <n v="16"/>
  </r>
  <r>
    <s v="UCLbgLIDDu6O4P3pRAR_SSyA"/>
    <s v="UCvQECJukTDE2i6aCoMnS-Vg"/>
    <m/>
    <m/>
    <m/>
    <m/>
    <m/>
    <m/>
    <m/>
    <m/>
    <s v="No"/>
    <n v="259"/>
    <m/>
    <m/>
    <s v="Commented Video"/>
    <x v="0"/>
    <s v="bautiful lol"/>
    <s v="UCLbgLIDDu6O4P3pRAR_SSyA"/>
    <s v="SpaghettiMitch"/>
    <s v="http://www.youtube.com/channel/UCLbgLIDDu6O4P3pRAR_SSyA"/>
    <m/>
    <s v="wadBvDPeE4E"/>
    <s v="https://www.youtube.com/watch?v=wadBvDPeE4E"/>
    <s v="none"/>
    <n v="0"/>
    <x v="255"/>
    <d v="2012-11-07T23:00:28.000"/>
    <m/>
    <m/>
    <s v=""/>
    <n v="1"/>
    <s v="1"/>
    <s v="1"/>
    <n v="0"/>
    <n v="0"/>
    <n v="0"/>
    <n v="0"/>
    <n v="0"/>
    <n v="0"/>
    <n v="2"/>
    <n v="100"/>
    <n v="2"/>
  </r>
  <r>
    <s v="UC0xiz1-h-yEafmAf2F3yo-Q"/>
    <s v="UCvQECJukTDE2i6aCoMnS-Vg"/>
    <m/>
    <m/>
    <m/>
    <m/>
    <m/>
    <m/>
    <m/>
    <m/>
    <s v="No"/>
    <n v="260"/>
    <m/>
    <m/>
    <s v="Commented Video"/>
    <x v="0"/>
    <s v="Honestly I wish I had the money and brains to go to Harvard I don&amp;#39;t care if this guy is a card carrying skull and bones member I wish I could be in his class. But I have to spend the rest of the coming Winter freezing in Canada."/>
    <s v="UC0xiz1-h-yEafmAf2F3yo-Q"/>
    <s v="fredguy2"/>
    <s v="http://www.youtube.com/channel/UC0xiz1-h-yEafmAf2F3yo-Q"/>
    <m/>
    <s v="wadBvDPeE4E"/>
    <s v="https://www.youtube.com/watch?v=wadBvDPeE4E"/>
    <s v="none"/>
    <n v="0"/>
    <x v="256"/>
    <d v="2012-11-08T01:37:14.000"/>
    <m/>
    <m/>
    <s v=""/>
    <n v="1"/>
    <s v="1"/>
    <s v="1"/>
    <n v="0"/>
    <n v="0"/>
    <n v="1"/>
    <n v="1.9607843137254901"/>
    <n v="0"/>
    <n v="0"/>
    <n v="50"/>
    <n v="98.03921568627452"/>
    <n v="51"/>
  </r>
  <r>
    <s v="UCttOZCF64vZxijS26gvFmtQ"/>
    <s v="UCvQECJukTDE2i6aCoMnS-Vg"/>
    <m/>
    <m/>
    <m/>
    <m/>
    <m/>
    <m/>
    <m/>
    <m/>
    <s v="No"/>
    <n v="261"/>
    <m/>
    <m/>
    <s v="Commented Video"/>
    <x v="0"/>
    <s v="Genius! perfectly done Nicholas chris. !!! "/>
    <s v="UCttOZCF64vZxijS26gvFmtQ"/>
    <s v="Suzan Hamid"/>
    <s v="http://www.youtube.com/channel/UCttOZCF64vZxijS26gvFmtQ"/>
    <m/>
    <s v="wadBvDPeE4E"/>
    <s v="https://www.youtube.com/watch?v=wadBvDPeE4E"/>
    <s v="none"/>
    <n v="0"/>
    <x v="257"/>
    <d v="2012-11-08T23:24:12.000"/>
    <m/>
    <m/>
    <s v=""/>
    <n v="1"/>
    <s v="1"/>
    <s v="1"/>
    <n v="2"/>
    <n v="40"/>
    <n v="0"/>
    <n v="0"/>
    <n v="0"/>
    <n v="0"/>
    <n v="3"/>
    <n v="60"/>
    <n v="5"/>
  </r>
  <r>
    <s v="UC1A_GS9LcUKDOVcRPmuddAg"/>
    <s v="UCvQECJukTDE2i6aCoMnS-Vg"/>
    <m/>
    <m/>
    <m/>
    <m/>
    <m/>
    <m/>
    <m/>
    <m/>
    <s v="No"/>
    <n v="262"/>
    <m/>
    <m/>
    <s v="Commented Video"/>
    <x v="0"/>
    <s v="More!  More! I love these lectures!"/>
    <s v="UC1A_GS9LcUKDOVcRPmuddAg"/>
    <s v="spotlightman1234"/>
    <s v="http://www.youtube.com/channel/UC1A_GS9LcUKDOVcRPmuddAg"/>
    <m/>
    <s v="wadBvDPeE4E"/>
    <s v="https://www.youtube.com/watch?v=wadBvDPeE4E"/>
    <s v="none"/>
    <n v="3"/>
    <x v="258"/>
    <d v="2012-11-10T21:29:38.000"/>
    <m/>
    <m/>
    <s v=""/>
    <n v="1"/>
    <s v="1"/>
    <s v="1"/>
    <n v="1"/>
    <n v="16.666666666666668"/>
    <n v="0"/>
    <n v="0"/>
    <n v="0"/>
    <n v="0"/>
    <n v="5"/>
    <n v="83.33333333333333"/>
    <n v="6"/>
  </r>
  <r>
    <s v="UCxforQTLeBZwQGUVizmMdlw"/>
    <s v="UCvQECJukTDE2i6aCoMnS-Vg"/>
    <m/>
    <m/>
    <m/>
    <m/>
    <m/>
    <m/>
    <m/>
    <m/>
    <s v="No"/>
    <n v="263"/>
    <m/>
    <m/>
    <s v="Commented Video"/>
    <x v="0"/>
    <s v="Idk, man. I don&amp;#39;t think I&amp;#39;d go out and eat muffins and beer, even if my best friend was down."/>
    <s v="UCxforQTLeBZwQGUVizmMdlw"/>
    <s v="Meg"/>
    <s v="http://www.youtube.com/channel/UCxforQTLeBZwQGUVizmMdlw"/>
    <m/>
    <s v="wadBvDPeE4E"/>
    <s v="https://www.youtube.com/watch?v=wadBvDPeE4E"/>
    <s v="none"/>
    <n v="0"/>
    <x v="259"/>
    <d v="2012-11-11T06:27:04.000"/>
    <m/>
    <m/>
    <s v=""/>
    <n v="1"/>
    <s v="1"/>
    <s v="1"/>
    <n v="1"/>
    <n v="4.166666666666667"/>
    <n v="0"/>
    <n v="0"/>
    <n v="0"/>
    <n v="0"/>
    <n v="23"/>
    <n v="95.83333333333333"/>
    <n v="24"/>
  </r>
  <r>
    <s v="UCqMOCWe5FJuOWG7nGV_zHNA"/>
    <s v="UCvQECJukTDE2i6aCoMnS-Vg"/>
    <m/>
    <m/>
    <m/>
    <m/>
    <m/>
    <m/>
    <m/>
    <m/>
    <s v="No"/>
    <n v="264"/>
    <m/>
    <m/>
    <s v="Commented Video"/>
    <x v="0"/>
    <s v="You need not worry, watching these lectures sparks new interests and passions that may improve your life. Keep expanding your mind!"/>
    <s v="UCqMOCWe5FJuOWG7nGV_zHNA"/>
    <s v="T"/>
    <s v="http://www.youtube.com/channel/UCqMOCWe5FJuOWG7nGV_zHNA"/>
    <m/>
    <s v="wadBvDPeE4E"/>
    <s v="https://www.youtube.com/watch?v=wadBvDPeE4E"/>
    <s v="none"/>
    <n v="0"/>
    <x v="260"/>
    <d v="2012-11-13T04:52:43.000"/>
    <m/>
    <m/>
    <s v=""/>
    <n v="1"/>
    <s v="1"/>
    <s v="1"/>
    <n v="2"/>
    <n v="9.523809523809524"/>
    <n v="1"/>
    <n v="4.761904761904762"/>
    <n v="0"/>
    <n v="0"/>
    <n v="18"/>
    <n v="85.71428571428571"/>
    <n v="21"/>
  </r>
  <r>
    <s v="UCdO7bHPTw-f9g8hbi6mJEng"/>
    <s v="UCvQECJukTDE2i6aCoMnS-Vg"/>
    <m/>
    <m/>
    <m/>
    <m/>
    <m/>
    <m/>
    <m/>
    <m/>
    <s v="No"/>
    <n v="265"/>
    <m/>
    <m/>
    <s v="Commented Video"/>
    <x v="0"/>
    <s v="can&amp;#39;t wait to start studying psychology and sociology at uni these guys are awesome"/>
    <s v="UCdO7bHPTw-f9g8hbi6mJEng"/>
    <s v="accussednerfherder"/>
    <s v="http://www.youtube.com/channel/UCdO7bHPTw-f9g8hbi6mJEng"/>
    <m/>
    <s v="wadBvDPeE4E"/>
    <s v="https://www.youtube.com/watch?v=wadBvDPeE4E"/>
    <s v="none"/>
    <n v="1"/>
    <x v="261"/>
    <d v="2012-11-13T22:01:11.000"/>
    <m/>
    <m/>
    <s v=""/>
    <n v="1"/>
    <s v="1"/>
    <s v="1"/>
    <n v="1"/>
    <n v="6.25"/>
    <n v="0"/>
    <n v="0"/>
    <n v="0"/>
    <n v="0"/>
    <n v="15"/>
    <n v="93.75"/>
    <n v="16"/>
  </r>
  <r>
    <s v="UCamt6KFmOtyQeoABot6jhmw"/>
    <s v="UCvQECJukTDE2i6aCoMnS-Vg"/>
    <m/>
    <m/>
    <m/>
    <m/>
    <m/>
    <m/>
    <m/>
    <m/>
    <s v="No"/>
    <n v="266"/>
    <m/>
    <m/>
    <s v="Commented Video"/>
    <x v="0"/>
    <s v="DO YOU EVEN SCIENCE BRO&amp;#39;?"/>
    <s v="UCamt6KFmOtyQeoABot6jhmw"/>
    <s v="james9995istaken"/>
    <s v="http://www.youtube.com/channel/UCamt6KFmOtyQeoABot6jhmw"/>
    <m/>
    <s v="wadBvDPeE4E"/>
    <s v="https://www.youtube.com/watch?v=wadBvDPeE4E"/>
    <s v="none"/>
    <n v="0"/>
    <x v="262"/>
    <d v="2012-11-13T23:23:38.000"/>
    <m/>
    <m/>
    <s v=""/>
    <n v="1"/>
    <s v="1"/>
    <s v="1"/>
    <n v="0"/>
    <n v="0"/>
    <n v="0"/>
    <n v="0"/>
    <n v="0"/>
    <n v="0"/>
    <n v="6"/>
    <n v="100"/>
    <n v="6"/>
  </r>
  <r>
    <s v="UCJA6Cp11bAsXROb2dD8agaw"/>
    <s v="UCvQECJukTDE2i6aCoMnS-Vg"/>
    <m/>
    <m/>
    <m/>
    <m/>
    <m/>
    <m/>
    <m/>
    <m/>
    <s v="No"/>
    <n v="267"/>
    <m/>
    <m/>
    <s v="Commented Video"/>
    <x v="0"/>
    <s v="Pls be critical to the policial ideology that this video produce. _x000a_*People who kill themself was borned to do so._x000a_*People are borned to be rich and succeful in networks while the rest.. nah._x000a_/its extra intresting that he jumped over the sociology that is poststructural(modern). "/>
    <s v="UCJA6Cp11bAsXROb2dD8agaw"/>
    <s v="simon H"/>
    <s v="http://www.youtube.com/channel/UCJA6Cp11bAsXROb2dD8agaw"/>
    <m/>
    <s v="wadBvDPeE4E"/>
    <s v="https://www.youtube.com/watch?v=wadBvDPeE4E"/>
    <s v="none"/>
    <n v="0"/>
    <x v="263"/>
    <d v="2012-11-09T15:07:27.000"/>
    <m/>
    <m/>
    <s v=""/>
    <n v="3"/>
    <s v="1"/>
    <s v="1"/>
    <n v="2"/>
    <n v="4.25531914893617"/>
    <n v="2"/>
    <n v="4.25531914893617"/>
    <n v="0"/>
    <n v="0"/>
    <n v="43"/>
    <n v="91.48936170212765"/>
    <n v="47"/>
  </r>
  <r>
    <s v="UCJA6Cp11bAsXROb2dD8agaw"/>
    <s v="UCvQECJukTDE2i6aCoMnS-Vg"/>
    <m/>
    <m/>
    <m/>
    <m/>
    <m/>
    <m/>
    <m/>
    <m/>
    <s v="No"/>
    <n v="268"/>
    <m/>
    <m/>
    <s v="Commented Video"/>
    <x v="0"/>
    <s v="but why does that matter? "/>
    <s v="UCJA6Cp11bAsXROb2dD8agaw"/>
    <s v="simon H"/>
    <s v="http://www.youtube.com/channel/UCJA6Cp11bAsXROb2dD8agaw"/>
    <m/>
    <s v="wadBvDPeE4E"/>
    <s v="https://www.youtube.com/watch?v=wadBvDPeE4E"/>
    <s v="none"/>
    <n v="0"/>
    <x v="264"/>
    <d v="2012-11-14T12:09:56.000"/>
    <m/>
    <m/>
    <s v=""/>
    <n v="3"/>
    <s v="1"/>
    <s v="1"/>
    <n v="0"/>
    <n v="0"/>
    <n v="0"/>
    <n v="0"/>
    <n v="0"/>
    <n v="0"/>
    <n v="5"/>
    <n v="100"/>
    <n v="5"/>
  </r>
  <r>
    <s v="UCJA6Cp11bAsXROb2dD8agaw"/>
    <s v="UCvQECJukTDE2i6aCoMnS-Vg"/>
    <m/>
    <m/>
    <m/>
    <m/>
    <m/>
    <m/>
    <m/>
    <m/>
    <s v="No"/>
    <n v="269"/>
    <m/>
    <m/>
    <s v="Commented Video"/>
    <x v="0"/>
    <s v="i agree with u elvisitor"/>
    <s v="UCJA6Cp11bAsXROb2dD8agaw"/>
    <s v="simon H"/>
    <s v="http://www.youtube.com/channel/UCJA6Cp11bAsXROb2dD8agaw"/>
    <m/>
    <s v="wadBvDPeE4E"/>
    <s v="https://www.youtube.com/watch?v=wadBvDPeE4E"/>
    <s v="none"/>
    <n v="0"/>
    <x v="265"/>
    <d v="2012-11-15T17:17:46.000"/>
    <m/>
    <m/>
    <s v=""/>
    <n v="3"/>
    <s v="1"/>
    <s v="1"/>
    <n v="0"/>
    <n v="0"/>
    <n v="0"/>
    <n v="0"/>
    <n v="0"/>
    <n v="0"/>
    <n v="5"/>
    <n v="100"/>
    <n v="5"/>
  </r>
  <r>
    <s v="UCESfrA_alxVgB3S1A61EDJA"/>
    <s v="UCvQECJukTDE2i6aCoMnS-Vg"/>
    <m/>
    <m/>
    <m/>
    <m/>
    <m/>
    <m/>
    <m/>
    <m/>
    <s v="No"/>
    <n v="270"/>
    <m/>
    <m/>
    <s v="Commented Video"/>
    <x v="0"/>
    <s v="You speak of Jews as one unit and @winterviews, you mention &amp;quot;the threat of fundamental Islam&amp;quot; (I interpret it) as one also... My view on this, is that it will always be very few persons within these groups that are a threat and/or has the knowledge that you mention. See the persons not the groups, in problems, but maybe see the groups as a solution to the problems... Just a thought."/>
    <s v="UCESfrA_alxVgB3S1A61EDJA"/>
    <s v="Elvisitor"/>
    <s v="http://www.youtube.com/channel/UCESfrA_alxVgB3S1A61EDJA"/>
    <m/>
    <s v="wadBvDPeE4E"/>
    <s v="https://www.youtube.com/watch?v=wadBvDPeE4E"/>
    <s v="none"/>
    <n v="0"/>
    <x v="266"/>
    <d v="2012-11-15T16:03:49.000"/>
    <m/>
    <m/>
    <s v=""/>
    <n v="2"/>
    <s v="1"/>
    <s v="1"/>
    <n v="0"/>
    <n v="0"/>
    <n v="4"/>
    <n v="5.405405405405405"/>
    <n v="0"/>
    <n v="0"/>
    <n v="70"/>
    <n v="94.5945945945946"/>
    <n v="74"/>
  </r>
  <r>
    <s v="UCESfrA_alxVgB3S1A61EDJA"/>
    <s v="UCvQECJukTDE2i6aCoMnS-Vg"/>
    <m/>
    <m/>
    <m/>
    <m/>
    <m/>
    <m/>
    <m/>
    <m/>
    <s v="No"/>
    <n v="271"/>
    <m/>
    <m/>
    <s v="Commented Video"/>
    <x v="0"/>
    <s v="I saw now I quoted you hansson2000, that was not my intention =)"/>
    <s v="UCESfrA_alxVgB3S1A61EDJA"/>
    <s v="Elvisitor"/>
    <s v="http://www.youtube.com/channel/UCESfrA_alxVgB3S1A61EDJA"/>
    <m/>
    <s v="wadBvDPeE4E"/>
    <s v="https://www.youtube.com/watch?v=wadBvDPeE4E"/>
    <s v="none"/>
    <n v="0"/>
    <x v="267"/>
    <d v="2012-11-15T22:29:26.000"/>
    <m/>
    <m/>
    <s v=""/>
    <n v="2"/>
    <s v="1"/>
    <s v="1"/>
    <n v="0"/>
    <n v="0"/>
    <n v="0"/>
    <n v="0"/>
    <n v="0"/>
    <n v="0"/>
    <n v="12"/>
    <n v="100"/>
    <n v="12"/>
  </r>
  <r>
    <s v="UCHNGz4l_JA44TOJduYuJ9lg"/>
    <s v="UCvQECJukTDE2i6aCoMnS-Vg"/>
    <m/>
    <m/>
    <m/>
    <m/>
    <m/>
    <m/>
    <m/>
    <m/>
    <s v="No"/>
    <n v="272"/>
    <m/>
    <m/>
    <s v="Commented Video"/>
    <x v="0"/>
    <s v="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
    <s v="UCHNGz4l_JA44TOJduYuJ9lg"/>
    <s v="Andre R"/>
    <s v="http://www.youtube.com/channel/UCHNGz4l_JA44TOJduYuJ9lg"/>
    <m/>
    <s v="wadBvDPeE4E"/>
    <s v="https://www.youtube.com/watch?v=wadBvDPeE4E"/>
    <s v="none"/>
    <n v="0"/>
    <x v="268"/>
    <d v="2012-11-19T08:00:42.000"/>
    <m/>
    <m/>
    <s v=""/>
    <n v="1"/>
    <s v="1"/>
    <s v="1"/>
    <n v="4"/>
    <n v="4.878048780487805"/>
    <n v="1"/>
    <n v="1.2195121951219512"/>
    <n v="0"/>
    <n v="0"/>
    <n v="77"/>
    <n v="93.90243902439025"/>
    <n v="82"/>
  </r>
  <r>
    <s v="UC7WD2Hjo54tWO1Q54AQOIqA"/>
    <s v="UCvQECJukTDE2i6aCoMnS-Vg"/>
    <m/>
    <m/>
    <m/>
    <m/>
    <m/>
    <m/>
    <m/>
    <m/>
    <s v="No"/>
    <n v="273"/>
    <m/>
    <m/>
    <s v="Commented Video"/>
    <x v="0"/>
    <s v="DO YOU EVEN THINK BRO&amp;#39;?"/>
    <s v="UC7WD2Hjo54tWO1Q54AQOIqA"/>
    <s v="Zero Views"/>
    <s v="http://www.youtube.com/channel/UC7WD2Hjo54tWO1Q54AQOIqA"/>
    <m/>
    <s v="wadBvDPeE4E"/>
    <s v="https://www.youtube.com/watch?v=wadBvDPeE4E"/>
    <s v="none"/>
    <n v="0"/>
    <x v="269"/>
    <d v="2012-12-05T15:53:15.000"/>
    <m/>
    <m/>
    <s v=""/>
    <n v="1"/>
    <s v="1"/>
    <s v="1"/>
    <n v="0"/>
    <n v="0"/>
    <n v="0"/>
    <n v="0"/>
    <n v="0"/>
    <n v="0"/>
    <n v="6"/>
    <n v="100"/>
    <n v="6"/>
  </r>
  <r>
    <s v="UC6aP3JCxOS44aMz4KSlvCyg"/>
    <s v="UCvQECJukTDE2i6aCoMnS-Vg"/>
    <m/>
    <m/>
    <m/>
    <m/>
    <m/>
    <m/>
    <m/>
    <m/>
    <s v="No"/>
    <n v="274"/>
    <m/>
    <m/>
    <s v="Commented Video"/>
    <x v="0"/>
    <s v="I wonder if you spread californians across the middle us would they gain weight or make others lose it XD"/>
    <s v="UC6aP3JCxOS44aMz4KSlvCyg"/>
    <s v="D D"/>
    <s v="http://www.youtube.com/channel/UC6aP3JCxOS44aMz4KSlvCyg"/>
    <m/>
    <s v="wadBvDPeE4E"/>
    <s v="https://www.youtube.com/watch?v=wadBvDPeE4E"/>
    <s v="none"/>
    <n v="0"/>
    <x v="270"/>
    <d v="2012-12-06T01:12:39.000"/>
    <m/>
    <m/>
    <s v=""/>
    <n v="1"/>
    <s v="1"/>
    <s v="1"/>
    <n v="2"/>
    <n v="10"/>
    <n v="1"/>
    <n v="5"/>
    <n v="0"/>
    <n v="0"/>
    <n v="17"/>
    <n v="85"/>
    <n v="20"/>
  </r>
  <r>
    <s v="UCnNk4Ymi7HlpFibm3ArapAg"/>
    <s v="UCvQECJukTDE2i6aCoMnS-Vg"/>
    <m/>
    <m/>
    <m/>
    <m/>
    <m/>
    <m/>
    <m/>
    <m/>
    <s v="No"/>
    <n v="275"/>
    <m/>
    <m/>
    <s v="Commented Video"/>
    <x v="0"/>
    <s v="The second half of this were interesting good shit!"/>
    <s v="UCnNk4Ymi7HlpFibm3ArapAg"/>
    <s v="ThisIsJustALotOfCrap"/>
    <s v="http://www.youtube.com/channel/UCnNk4Ymi7HlpFibm3ArapAg"/>
    <m/>
    <s v="wadBvDPeE4E"/>
    <s v="https://www.youtube.com/watch?v=wadBvDPeE4E"/>
    <s v="none"/>
    <n v="1"/>
    <x v="271"/>
    <d v="2012-12-10T00:21:37.000"/>
    <m/>
    <m/>
    <s v=""/>
    <n v="1"/>
    <s v="1"/>
    <s v="1"/>
    <n v="2"/>
    <n v="22.22222222222222"/>
    <n v="1"/>
    <n v="11.11111111111111"/>
    <n v="0"/>
    <n v="0"/>
    <n v="6"/>
    <n v="66.66666666666667"/>
    <n v="9"/>
  </r>
  <r>
    <s v="UCnY24BM-160lOAfxDUxcWDQ"/>
    <s v="UCvQECJukTDE2i6aCoMnS-Vg"/>
    <m/>
    <m/>
    <m/>
    <m/>
    <m/>
    <m/>
    <m/>
    <m/>
    <s v="No"/>
    <n v="276"/>
    <m/>
    <m/>
    <s v="Commented Video"/>
    <x v="0"/>
    <s v="take a shot every time he says &amp;quot;within the network&amp;quot;."/>
    <s v="UCnY24BM-160lOAfxDUxcWDQ"/>
    <s v="SaraJP20"/>
    <s v="http://www.youtube.com/channel/UCnY24BM-160lOAfxDUxcWDQ"/>
    <m/>
    <s v="wadBvDPeE4E"/>
    <s v="https://www.youtube.com/watch?v=wadBvDPeE4E"/>
    <s v="none"/>
    <n v="0"/>
    <x v="272"/>
    <d v="2012-12-12T21:59:23.000"/>
    <m/>
    <m/>
    <s v=""/>
    <n v="1"/>
    <s v="1"/>
    <s v="1"/>
    <n v="0"/>
    <n v="0"/>
    <n v="0"/>
    <n v="0"/>
    <n v="0"/>
    <n v="0"/>
    <n v="12"/>
    <n v="100"/>
    <n v="12"/>
  </r>
  <r>
    <s v="UC--kuMKXTCu2cGhjVPOIilA"/>
    <s v="UCvQECJukTDE2i6aCoMnS-Vg"/>
    <m/>
    <m/>
    <m/>
    <m/>
    <m/>
    <m/>
    <m/>
    <m/>
    <s v="No"/>
    <n v="277"/>
    <m/>
    <m/>
    <s v="Commented Video"/>
    <x v="0"/>
    <s v="I do not agree at all"/>
    <s v="UC--kuMKXTCu2cGhjVPOIilA"/>
    <s v="AFMS999"/>
    <s v="http://www.youtube.com/channel/UC--kuMKXTCu2cGhjVPOIilA"/>
    <m/>
    <s v="wadBvDPeE4E"/>
    <s v="https://www.youtube.com/watch?v=wadBvDPeE4E"/>
    <s v="none"/>
    <n v="0"/>
    <x v="273"/>
    <d v="2012-12-17T14:25:05.000"/>
    <m/>
    <m/>
    <s v=""/>
    <n v="1"/>
    <s v="1"/>
    <s v="1"/>
    <n v="0"/>
    <n v="0"/>
    <n v="0"/>
    <n v="0"/>
    <n v="0"/>
    <n v="0"/>
    <n v="6"/>
    <n v="100"/>
    <n v="6"/>
  </r>
  <r>
    <s v="UCjTZvKAm_H8PtYNmVG6bpOA"/>
    <s v="UCvQECJukTDE2i6aCoMnS-Vg"/>
    <m/>
    <m/>
    <m/>
    <m/>
    <m/>
    <m/>
    <m/>
    <m/>
    <s v="No"/>
    <n v="278"/>
    <m/>
    <m/>
    <s v="Commented Video"/>
    <x v="0"/>
    <s v="Man,this is too long for today,better leave the rest for tomorrow. Appreciate the effort for making this vid. "/>
    <s v="UCjTZvKAm_H8PtYNmVG6bpOA"/>
    <s v="DRUG ADDICTED PORNSTAR"/>
    <s v="http://www.youtube.com/channel/UCjTZvKAm_H8PtYNmVG6bpOA"/>
    <m/>
    <s v="wadBvDPeE4E"/>
    <s v="https://www.youtube.com/watch?v=wadBvDPeE4E"/>
    <s v="none"/>
    <n v="0"/>
    <x v="274"/>
    <d v="2012-12-23T00:43:04.000"/>
    <m/>
    <m/>
    <s v=""/>
    <n v="1"/>
    <s v="1"/>
    <s v="1"/>
    <n v="2"/>
    <n v="10"/>
    <n v="0"/>
    <n v="0"/>
    <n v="0"/>
    <n v="0"/>
    <n v="18"/>
    <n v="90"/>
    <n v="20"/>
  </r>
  <r>
    <s v="UCj7B-o1aobzAVNb0Fdijl5w"/>
    <s v="UCvQECJukTDE2i6aCoMnS-Vg"/>
    <m/>
    <m/>
    <m/>
    <m/>
    <m/>
    <m/>
    <m/>
    <m/>
    <s v="No"/>
    <n v="279"/>
    <m/>
    <m/>
    <s v="Commented Video"/>
    <x v="0"/>
    <s v="How does putting guards by the footpath prevents suicide? it only takes away the choice from the people to jump off the bridge? what if somebody wanted to jump off with a parachute?"/>
    <s v="UCj7B-o1aobzAVNb0Fdijl5w"/>
    <s v="Chino747747"/>
    <s v="http://www.youtube.com/channel/UCj7B-o1aobzAVNb0Fdijl5w"/>
    <m/>
    <s v="wadBvDPeE4E"/>
    <s v="https://www.youtube.com/watch?v=wadBvDPeE4E"/>
    <s v="none"/>
    <n v="0"/>
    <x v="275"/>
    <d v="2012-12-29T02:58:14.000"/>
    <m/>
    <m/>
    <s v=""/>
    <n v="2"/>
    <s v="1"/>
    <s v="1"/>
    <n v="0"/>
    <n v="0"/>
    <n v="1"/>
    <n v="3.0303030303030303"/>
    <n v="0"/>
    <n v="0"/>
    <n v="32"/>
    <n v="96.96969696969697"/>
    <n v="33"/>
  </r>
  <r>
    <s v="UCj7B-o1aobzAVNb0Fdijl5w"/>
    <s v="UCvQECJukTDE2i6aCoMnS-Vg"/>
    <m/>
    <m/>
    <m/>
    <m/>
    <m/>
    <m/>
    <m/>
    <m/>
    <s v="No"/>
    <n v="280"/>
    <m/>
    <m/>
    <s v="Commented Video"/>
    <x v="0"/>
    <s v="ridiculously simplified examples about social capital"/>
    <s v="UCj7B-o1aobzAVNb0Fdijl5w"/>
    <s v="Chino747747"/>
    <s v="http://www.youtube.com/channel/UCj7B-o1aobzAVNb0Fdijl5w"/>
    <m/>
    <s v="wadBvDPeE4E"/>
    <s v="https://www.youtube.com/watch?v=wadBvDPeE4E"/>
    <s v="none"/>
    <n v="0"/>
    <x v="276"/>
    <d v="2012-12-29T03:27:01.000"/>
    <m/>
    <m/>
    <s v=""/>
    <n v="2"/>
    <s v="1"/>
    <s v="1"/>
    <n v="1"/>
    <n v="16.666666666666668"/>
    <n v="1"/>
    <n v="16.666666666666668"/>
    <n v="0"/>
    <n v="0"/>
    <n v="4"/>
    <n v="66.66666666666667"/>
    <n v="6"/>
  </r>
  <r>
    <s v="UCqTHquc9XHBn1HleiAYji2A"/>
    <s v="UCvQECJukTDE2i6aCoMnS-Vg"/>
    <m/>
    <m/>
    <m/>
    <m/>
    <m/>
    <m/>
    <m/>
    <m/>
    <s v="No"/>
    <n v="281"/>
    <m/>
    <m/>
    <s v="Commented Video"/>
    <x v="0"/>
    <s v="&amp;quot;let&amp;#39;s go get muffins and beer&amp;quot; ... &amp;quot;it&amp;#39;s a terrible combination but your friend suggested it, so you copy your friend&amp;#39;s behaviour&amp;quot; ahahahaha I don&amp;#39;t know why I laugh so much at this!"/>
    <s v="UCqTHquc9XHBn1HleiAYji2A"/>
    <s v="ImCalledGreg"/>
    <s v="http://www.youtube.com/channel/UCqTHquc9XHBn1HleiAYji2A"/>
    <m/>
    <s v="wadBvDPeE4E"/>
    <s v="https://www.youtube.com/watch?v=wadBvDPeE4E"/>
    <s v="none"/>
    <n v="0"/>
    <x v="277"/>
    <d v="2012-12-31T08:41:21.000"/>
    <m/>
    <m/>
    <s v=""/>
    <n v="1"/>
    <s v="1"/>
    <s v="1"/>
    <n v="0"/>
    <n v="0"/>
    <n v="1"/>
    <n v="2.272727272727273"/>
    <n v="0"/>
    <n v="0"/>
    <n v="43"/>
    <n v="97.72727272727273"/>
    <n v="44"/>
  </r>
  <r>
    <s v="UCCDzwdEnOtVE7kg5-qLvllA"/>
    <s v="UCvQECJukTDE2i6aCoMnS-Vg"/>
    <m/>
    <m/>
    <m/>
    <m/>
    <m/>
    <m/>
    <m/>
    <m/>
    <s v="No"/>
    <n v="282"/>
    <m/>
    <m/>
    <s v="Commented Video"/>
    <x v="0"/>
    <s v="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
    <s v="UCCDzwdEnOtVE7kg5-qLvllA"/>
    <s v="Darky"/>
    <s v="http://www.youtube.com/channel/UCCDzwdEnOtVE7kg5-qLvllA"/>
    <m/>
    <s v="wadBvDPeE4E"/>
    <s v="https://www.youtube.com/watch?v=wadBvDPeE4E"/>
    <s v="none"/>
    <n v="0"/>
    <x v="278"/>
    <d v="2013-01-07T20:04:58.000"/>
    <m/>
    <m/>
    <s v=""/>
    <n v="1"/>
    <s v="1"/>
    <s v="1"/>
    <n v="3"/>
    <n v="5.769230769230769"/>
    <n v="2"/>
    <n v="3.8461538461538463"/>
    <n v="0"/>
    <n v="0"/>
    <n v="47"/>
    <n v="90.38461538461539"/>
    <n v="52"/>
  </r>
  <r>
    <s v="UCsrYlphjt7-a5Ogog0lYdfQ"/>
    <s v="UCvQECJukTDE2i6aCoMnS-Vg"/>
    <m/>
    <m/>
    <m/>
    <m/>
    <m/>
    <m/>
    <m/>
    <m/>
    <s v="No"/>
    <n v="283"/>
    <m/>
    <m/>
    <s v="Commented Video"/>
    <x v="0"/>
    <s v="youtube.com/watch?v=Hc4YP9b0HZ8_x000a__x000a_my sociology video"/>
    <s v="UCsrYlphjt7-a5Ogog0lYdfQ"/>
    <s v="Corey Smith"/>
    <s v="http://www.youtube.com/channel/UCsrYlphjt7-a5Ogog0lYdfQ"/>
    <m/>
    <s v="wadBvDPeE4E"/>
    <s v="https://www.youtube.com/watch?v=wadBvDPeE4E"/>
    <s v="none"/>
    <n v="0"/>
    <x v="279"/>
    <d v="2013-01-16T04:42:18.000"/>
    <m/>
    <m/>
    <s v=""/>
    <n v="1"/>
    <s v="1"/>
    <s v="1"/>
    <n v="0"/>
    <n v="0"/>
    <n v="0"/>
    <n v="0"/>
    <n v="0"/>
    <n v="0"/>
    <n v="8"/>
    <n v="100"/>
    <n v="8"/>
  </r>
  <r>
    <s v="UCtSBcMY3ZUZwcpFmlPk_GIw"/>
    <s v="UCvQECJukTDE2i6aCoMnS-Vg"/>
    <m/>
    <m/>
    <m/>
    <m/>
    <m/>
    <m/>
    <m/>
    <m/>
    <s v="No"/>
    <n v="284"/>
    <m/>
    <m/>
    <s v="Commented Video"/>
    <x v="0"/>
    <s v="thumbs up for watching the whole video."/>
    <s v="UCtSBcMY3ZUZwcpFmlPk_GIw"/>
    <s v="Cinnamon crunch"/>
    <s v="http://www.youtube.com/channel/UCtSBcMY3ZUZwcpFmlPk_GIw"/>
    <m/>
    <s v="wadBvDPeE4E"/>
    <s v="https://www.youtube.com/watch?v=wadBvDPeE4E"/>
    <s v="none"/>
    <n v="0"/>
    <x v="280"/>
    <d v="2013-01-21T23:53:50.000"/>
    <m/>
    <m/>
    <s v=""/>
    <n v="1"/>
    <s v="1"/>
    <s v="1"/>
    <n v="0"/>
    <n v="0"/>
    <n v="0"/>
    <n v="0"/>
    <n v="0"/>
    <n v="0"/>
    <n v="7"/>
    <n v="100"/>
    <n v="7"/>
  </r>
  <r>
    <s v="UCF9r4V6xLdKQGgtjMUKhogw"/>
    <s v="UCvQECJukTDE2i6aCoMnS-Vg"/>
    <m/>
    <m/>
    <m/>
    <m/>
    <m/>
    <m/>
    <m/>
    <m/>
    <s v="No"/>
    <n v="285"/>
    <m/>
    <m/>
    <s v="Commented Video"/>
    <x v="0"/>
    <s v="Lets make a giant never ending cake!"/>
    <s v="UCF9r4V6xLdKQGgtjMUKhogw"/>
    <s v="Frank Lobo"/>
    <s v="http://www.youtube.com/channel/UCF9r4V6xLdKQGgtjMUKhogw"/>
    <m/>
    <s v="wadBvDPeE4E"/>
    <s v="https://www.youtube.com/watch?v=wadBvDPeE4E"/>
    <s v="none"/>
    <n v="0"/>
    <x v="281"/>
    <d v="2013-01-30T13:57:57.000"/>
    <m/>
    <m/>
    <s v=""/>
    <n v="1"/>
    <s v="1"/>
    <s v="1"/>
    <n v="0"/>
    <n v="0"/>
    <n v="0"/>
    <n v="0"/>
    <n v="0"/>
    <n v="0"/>
    <n v="7"/>
    <n v="100"/>
    <n v="7"/>
  </r>
  <r>
    <s v="UCizDAN8bkpXDwL_y0o7RcZw"/>
    <s v="UCvQECJukTDE2i6aCoMnS-Vg"/>
    <m/>
    <m/>
    <m/>
    <m/>
    <m/>
    <m/>
    <m/>
    <m/>
    <s v="No"/>
    <n v="286"/>
    <m/>
    <m/>
    <s v="Commented Video"/>
    <x v="0"/>
    <s v="Maybe the gratest subject in the holle show! Tks professors!_x000a_"/>
    <s v="UCizDAN8bkpXDwL_y0o7RcZw"/>
    <s v="Augusto blu"/>
    <s v="http://www.youtube.com/channel/UCizDAN8bkpXDwL_y0o7RcZw"/>
    <m/>
    <s v="wadBvDPeE4E"/>
    <s v="https://www.youtube.com/watch?v=wadBvDPeE4E"/>
    <s v="none"/>
    <n v="0"/>
    <x v="282"/>
    <d v="2013-02-06T20:18:53.000"/>
    <m/>
    <m/>
    <s v=""/>
    <n v="1"/>
    <s v="1"/>
    <s v="1"/>
    <n v="0"/>
    <n v="0"/>
    <n v="0"/>
    <n v="0"/>
    <n v="0"/>
    <n v="0"/>
    <n v="10"/>
    <n v="100"/>
    <n v="10"/>
  </r>
  <r>
    <s v="UCP4dHmT-490ehwR4G-Nn5Zg"/>
    <s v="UCvQECJukTDE2i6aCoMnS-Vg"/>
    <m/>
    <m/>
    <m/>
    <m/>
    <m/>
    <m/>
    <m/>
    <m/>
    <s v="No"/>
    <n v="287"/>
    <m/>
    <m/>
    <s v="Commented Video"/>
    <x v="0"/>
    <s v="yo lumonosity, fuckoff. everyone knows you dont work"/>
    <s v="UCP4dHmT-490ehwR4G-Nn5Zg"/>
    <s v="dat3tree"/>
    <s v="http://www.youtube.com/channel/UCP4dHmT-490ehwR4G-Nn5Zg"/>
    <m/>
    <s v="wadBvDPeE4E"/>
    <s v="https://www.youtube.com/watch?v=wadBvDPeE4E"/>
    <s v="none"/>
    <n v="0"/>
    <x v="283"/>
    <d v="2013-02-07T17:39:50.000"/>
    <m/>
    <m/>
    <s v=""/>
    <n v="1"/>
    <s v="1"/>
    <s v="1"/>
    <n v="1"/>
    <n v="12.5"/>
    <n v="0"/>
    <n v="0"/>
    <n v="0"/>
    <n v="0"/>
    <n v="7"/>
    <n v="87.5"/>
    <n v="8"/>
  </r>
  <r>
    <s v="UCw6WMyzjKRt2Tz3dj3vlLBg"/>
    <s v="UCvQECJukTDE2i6aCoMnS-Vg"/>
    <m/>
    <m/>
    <m/>
    <m/>
    <m/>
    <m/>
    <m/>
    <m/>
    <s v="No"/>
    <n v="288"/>
    <m/>
    <m/>
    <s v="Commented Video"/>
    <x v="0"/>
    <s v="So...did you solve the obesity problem?!"/>
    <s v="UCw6WMyzjKRt2Tz3dj3vlLBg"/>
    <s v="Ngan Le"/>
    <s v="http://www.youtube.com/channel/UCw6WMyzjKRt2Tz3dj3vlLBg"/>
    <m/>
    <s v="wadBvDPeE4E"/>
    <s v="https://www.youtube.com/watch?v=wadBvDPeE4E"/>
    <s v="none"/>
    <n v="0"/>
    <x v="284"/>
    <d v="2013-02-08T00:38:38.000"/>
    <m/>
    <m/>
    <s v=""/>
    <n v="2"/>
    <s v="1"/>
    <s v="1"/>
    <n v="0"/>
    <n v="0"/>
    <n v="1"/>
    <n v="14.285714285714286"/>
    <n v="0"/>
    <n v="0"/>
    <n v="6"/>
    <n v="85.71428571428571"/>
    <n v="7"/>
  </r>
  <r>
    <s v="UCw6WMyzjKRt2Tz3dj3vlLBg"/>
    <s v="UCvQECJukTDE2i6aCoMnS-Vg"/>
    <m/>
    <m/>
    <m/>
    <m/>
    <m/>
    <m/>
    <m/>
    <m/>
    <s v="No"/>
    <n v="289"/>
    <m/>
    <m/>
    <s v="Commented Video"/>
    <x v="0"/>
    <s v="can any one tell me?_x000a_"/>
    <s v="UCw6WMyzjKRt2Tz3dj3vlLBg"/>
    <s v="Ngan Le"/>
    <s v="http://www.youtube.com/channel/UCw6WMyzjKRt2Tz3dj3vlLBg"/>
    <m/>
    <s v="wadBvDPeE4E"/>
    <s v="https://www.youtube.com/watch?v=wadBvDPeE4E"/>
    <s v="none"/>
    <n v="0"/>
    <x v="285"/>
    <d v="2013-02-08T00:39:32.000"/>
    <m/>
    <m/>
    <s v=""/>
    <n v="2"/>
    <s v="1"/>
    <s v="1"/>
    <n v="0"/>
    <n v="0"/>
    <n v="0"/>
    <n v="0"/>
    <n v="0"/>
    <n v="0"/>
    <n v="5"/>
    <n v="100"/>
    <n v="5"/>
  </r>
  <r>
    <s v="UCBj7pc-hhI678-ePMB94VUQ"/>
    <s v="UCvQECJukTDE2i6aCoMnS-Vg"/>
    <m/>
    <m/>
    <m/>
    <m/>
    <m/>
    <m/>
    <m/>
    <m/>
    <s v="No"/>
    <n v="290"/>
    <m/>
    <m/>
    <s v="Commented Video"/>
    <x v="0"/>
    <s v="I can&amp;#39;t believe the phrase &amp;quot;groupthink&amp;quot; was never used in this awesome lecture.....that&amp;#39;s all I have."/>
    <s v="UCBj7pc-hhI678-ePMB94VUQ"/>
    <s v="K Collier"/>
    <s v="http://www.youtube.com/channel/UCBj7pc-hhI678-ePMB94VUQ"/>
    <m/>
    <s v="wadBvDPeE4E"/>
    <s v="https://www.youtube.com/watch?v=wadBvDPeE4E"/>
    <s v="none"/>
    <n v="0"/>
    <x v="286"/>
    <d v="2013-02-15T04:04:33.000"/>
    <m/>
    <m/>
    <s v=""/>
    <n v="1"/>
    <s v="1"/>
    <s v="1"/>
    <n v="1"/>
    <n v="4.3478260869565215"/>
    <n v="0"/>
    <n v="0"/>
    <n v="0"/>
    <n v="0"/>
    <n v="22"/>
    <n v="95.65217391304348"/>
    <n v="23"/>
  </r>
  <r>
    <s v="UCqSHqr7cQ-fYKNTd-gF9FPQ"/>
    <s v="UCvQECJukTDE2i6aCoMnS-Vg"/>
    <m/>
    <m/>
    <m/>
    <m/>
    <m/>
    <m/>
    <m/>
    <m/>
    <s v="No"/>
    <n v="291"/>
    <m/>
    <m/>
    <s v="Commented Video"/>
    <x v="0"/>
    <s v="Grrrrr thats not just England -.-"/>
    <s v="UCqSHqr7cQ-fYKNTd-gF9FPQ"/>
    <s v="TheBushWookiie"/>
    <s v="http://www.youtube.com/channel/UCqSHqr7cQ-fYKNTd-gF9FPQ"/>
    <m/>
    <s v="wadBvDPeE4E"/>
    <s v="https://www.youtube.com/watch?v=wadBvDPeE4E"/>
    <s v="none"/>
    <n v="0"/>
    <x v="287"/>
    <d v="2013-03-10T23:54:25.000"/>
    <m/>
    <m/>
    <s v=""/>
    <n v="1"/>
    <s v="1"/>
    <s v="1"/>
    <n v="0"/>
    <n v="0"/>
    <n v="0"/>
    <n v="0"/>
    <n v="0"/>
    <n v="0"/>
    <n v="5"/>
    <n v="100"/>
    <n v="5"/>
  </r>
  <r>
    <s v="UC4Dsff1alNmMxnfpnA_vYoQ"/>
    <s v="UCvQECJukTDE2i6aCoMnS-Vg"/>
    <m/>
    <m/>
    <m/>
    <m/>
    <m/>
    <m/>
    <m/>
    <m/>
    <s v="No"/>
    <n v="292"/>
    <m/>
    <m/>
    <s v="Commented Video"/>
    <x v="0"/>
    <s v="Moss is conscious, bro. Woah._x000a__x000a_*brain fart*"/>
    <s v="UC4Dsff1alNmMxnfpnA_vYoQ"/>
    <s v="T Tanizawa"/>
    <s v="http://www.youtube.com/channel/UC4Dsff1alNmMxnfpnA_vYoQ"/>
    <m/>
    <s v="wadBvDPeE4E"/>
    <s v="https://www.youtube.com/watch?v=wadBvDPeE4E"/>
    <s v="none"/>
    <n v="0"/>
    <x v="288"/>
    <d v="2013-02-02T12:33:28.000"/>
    <m/>
    <m/>
    <s v=""/>
    <n v="3"/>
    <s v="1"/>
    <s v="1"/>
    <n v="0"/>
    <n v="0"/>
    <n v="0"/>
    <n v="0"/>
    <n v="0"/>
    <n v="0"/>
    <n v="7"/>
    <n v="100"/>
    <n v="7"/>
  </r>
  <r>
    <s v="UC4Dsff1alNmMxnfpnA_vYoQ"/>
    <s v="UCvQECJukTDE2i6aCoMnS-Vg"/>
    <m/>
    <m/>
    <m/>
    <m/>
    <m/>
    <m/>
    <m/>
    <m/>
    <s v="No"/>
    <n v="293"/>
    <m/>
    <m/>
    <s v="Commented Video"/>
    <x v="0"/>
    <s v="Moss didn&amp;#39;t appreciate that comment."/>
    <s v="UC4Dsff1alNmMxnfpnA_vYoQ"/>
    <s v="T Tanizawa"/>
    <s v="http://www.youtube.com/channel/UC4Dsff1alNmMxnfpnA_vYoQ"/>
    <m/>
    <s v="wadBvDPeE4E"/>
    <s v="https://www.youtube.com/watch?v=wadBvDPeE4E"/>
    <s v="none"/>
    <n v="0"/>
    <x v="289"/>
    <d v="2013-03-14T00:19:20.000"/>
    <m/>
    <m/>
    <s v=""/>
    <n v="3"/>
    <s v="1"/>
    <s v="1"/>
    <n v="1"/>
    <n v="14.285714285714286"/>
    <n v="0"/>
    <n v="0"/>
    <n v="0"/>
    <n v="0"/>
    <n v="6"/>
    <n v="85.71428571428571"/>
    <n v="7"/>
  </r>
  <r>
    <s v="UC4Dsff1alNmMxnfpnA_vYoQ"/>
    <s v="UCvQECJukTDE2i6aCoMnS-Vg"/>
    <m/>
    <m/>
    <m/>
    <m/>
    <m/>
    <m/>
    <m/>
    <m/>
    <s v="No"/>
    <n v="294"/>
    <m/>
    <m/>
    <s v="Commented Video"/>
    <x v="0"/>
    <s v="Ssh! The moss is trying to sleep and you&amp;#39;re, like, being totally rude and waking him up."/>
    <s v="UC4Dsff1alNmMxnfpnA_vYoQ"/>
    <s v="T Tanizawa"/>
    <s v="http://www.youtube.com/channel/UC4Dsff1alNmMxnfpnA_vYoQ"/>
    <m/>
    <s v="wadBvDPeE4E"/>
    <s v="https://www.youtube.com/watch?v=wadBvDPeE4E"/>
    <s v="none"/>
    <n v="0"/>
    <x v="290"/>
    <d v="2013-03-14T05:59:41.000"/>
    <m/>
    <m/>
    <s v=""/>
    <n v="3"/>
    <s v="1"/>
    <s v="1"/>
    <n v="1"/>
    <n v="5.2631578947368425"/>
    <n v="1"/>
    <n v="5.2631578947368425"/>
    <n v="0"/>
    <n v="0"/>
    <n v="17"/>
    <n v="89.47368421052632"/>
    <n v="19"/>
  </r>
  <r>
    <s v="UCEIXj2JRNSNs781Kx7Jg-Wg"/>
    <s v="UCvQECJukTDE2i6aCoMnS-Vg"/>
    <m/>
    <m/>
    <m/>
    <m/>
    <m/>
    <m/>
    <m/>
    <m/>
    <s v="No"/>
    <n v="295"/>
    <m/>
    <m/>
    <s v="Commented Video"/>
    <x v="0"/>
    <s v="On obesity, Gary Taubes has a fantastic video on why obesity is much more rampant today than the past.  It is because the artificial and unnatural additives in our foods which are there to make food cheaper.   "/>
    <s v="UCEIXj2JRNSNs781Kx7Jg-Wg"/>
    <s v="Steven Vayding"/>
    <s v="http://www.youtube.com/channel/UCEIXj2JRNSNs781Kx7Jg-Wg"/>
    <m/>
    <s v="wadBvDPeE4E"/>
    <s v="https://www.youtube.com/watch?v=wadBvDPeE4E"/>
    <s v="none"/>
    <n v="0"/>
    <x v="291"/>
    <d v="2013-01-30T20:12:29.000"/>
    <m/>
    <m/>
    <s v=""/>
    <n v="3"/>
    <s v="1"/>
    <s v="1"/>
    <n v="2"/>
    <n v="5.405405405405405"/>
    <n v="2"/>
    <n v="5.405405405405405"/>
    <n v="0"/>
    <n v="0"/>
    <n v="33"/>
    <n v="89.1891891891892"/>
    <n v="37"/>
  </r>
  <r>
    <s v="UCEIXj2JRNSNs781Kx7Jg-Wg"/>
    <s v="UCvQECJukTDE2i6aCoMnS-Vg"/>
    <m/>
    <m/>
    <m/>
    <m/>
    <m/>
    <m/>
    <m/>
    <m/>
    <s v="No"/>
    <n v="296"/>
    <m/>
    <m/>
    <s v="Commented Video"/>
    <x v="0"/>
    <s v="It&amp;#39;s not simple.  See, different races have slightly different metabolism.  Ever notice how you don&amp;#39;t see very many obese Asians? Anglo-saxon bodies process carbohydrates differently.  Furthermore, simply being obese does not automatically make you more unhealthy than someone at the &amp;quot;correct&amp;quot; weight.  Being skinny means shit if you don&amp;#39;t exercise, which also by itself doesn&amp;#39;t mean shit. But eating healthy is hard, because bad food is cheap food. Who&amp;#39;s fault is that? NIXON.  Simple enough?"/>
    <s v="UCEIXj2JRNSNs781Kx7Jg-Wg"/>
    <s v="Steven Vayding"/>
    <s v="http://www.youtube.com/channel/UCEIXj2JRNSNs781Kx7Jg-Wg"/>
    <m/>
    <s v="wadBvDPeE4E"/>
    <s v="https://www.youtube.com/watch?v=wadBvDPeE4E"/>
    <s v="none"/>
    <n v="0"/>
    <x v="292"/>
    <d v="2013-03-13T21:19:09.000"/>
    <m/>
    <m/>
    <s v=""/>
    <n v="3"/>
    <s v="1"/>
    <s v="1"/>
    <n v="3"/>
    <n v="3.409090909090909"/>
    <n v="10"/>
    <n v="11.363636363636363"/>
    <n v="0"/>
    <n v="0"/>
    <n v="75"/>
    <n v="85.22727272727273"/>
    <n v="88"/>
  </r>
  <r>
    <s v="UCEIXj2JRNSNs781Kx7Jg-Wg"/>
    <s v="UCvQECJukTDE2i6aCoMnS-Vg"/>
    <m/>
    <m/>
    <m/>
    <m/>
    <m/>
    <m/>
    <m/>
    <m/>
    <s v="No"/>
    <n v="297"/>
    <m/>
    <m/>
    <s v="Commented Video"/>
    <x v="0"/>
    <s v="I really don&amp;#39;t think so. The politically correct nature of modern western culture doesn&amp;#39;t allow for differences between races. This is such a dangerous mindset as doesn&amp;#39;t allow us to properly research real differences. People are different, and it&amp;#39;s stupid to not see that."/>
    <s v="UCEIXj2JRNSNs781Kx7Jg-Wg"/>
    <s v="Steven Vayding"/>
    <s v="http://www.youtube.com/channel/UCEIXj2JRNSNs781Kx7Jg-Wg"/>
    <m/>
    <s v="wadBvDPeE4E"/>
    <s v="https://www.youtube.com/watch?v=wadBvDPeE4E"/>
    <s v="none"/>
    <n v="0"/>
    <x v="293"/>
    <d v="2013-03-14T20:09:34.000"/>
    <m/>
    <m/>
    <s v=""/>
    <n v="3"/>
    <s v="1"/>
    <s v="1"/>
    <n v="3"/>
    <n v="5.769230769230769"/>
    <n v="2"/>
    <n v="3.8461538461538463"/>
    <n v="0"/>
    <n v="0"/>
    <n v="47"/>
    <n v="90.38461538461539"/>
    <n v="52"/>
  </r>
  <r>
    <s v="UC5m0TKJ9zA22TkLmp594ZEQ"/>
    <s v="UCvQECJukTDE2i6aCoMnS-Vg"/>
    <m/>
    <m/>
    <m/>
    <m/>
    <m/>
    <m/>
    <m/>
    <m/>
    <s v="No"/>
    <n v="298"/>
    <m/>
    <m/>
    <s v="Commented Video"/>
    <x v="0"/>
    <s v="39:40 - That is NOT a map of &amp;quot;England&amp;quot; - that is a map of Great Britain! (mutter mutter grumble mumble)"/>
    <s v="UC5m0TKJ9zA22TkLmp594ZEQ"/>
    <s v="Iwan Berry"/>
    <s v="http://www.youtube.com/channel/UC5m0TKJ9zA22TkLmp594ZEQ"/>
    <m/>
    <s v="wadBvDPeE4E"/>
    <s v="https://www.youtube.com/watch?v=wadBvDPeE4E"/>
    <s v="none"/>
    <n v="0"/>
    <x v="294"/>
    <d v="2013-03-14T21:43:49.000"/>
    <m/>
    <m/>
    <s v=""/>
    <n v="1"/>
    <s v="1"/>
    <s v="1"/>
    <n v="1"/>
    <n v="4.545454545454546"/>
    <n v="1"/>
    <n v="4.545454545454546"/>
    <n v="0"/>
    <n v="0"/>
    <n v="20"/>
    <n v="90.9090909090909"/>
    <n v="22"/>
  </r>
  <r>
    <s v="UCFpwX53ykKWLt0EK3NHdNGw"/>
    <s v="UCvQECJukTDE2i6aCoMnS-Vg"/>
    <m/>
    <m/>
    <m/>
    <m/>
    <m/>
    <m/>
    <m/>
    <m/>
    <s v="No"/>
    <n v="299"/>
    <m/>
    <m/>
    <s v="Commented Video"/>
    <x v="0"/>
    <s v="yes and your grand ma could have told you everything you&amp;#39;ve just said in 5 mins. "/>
    <s v="UCFpwX53ykKWLt0EK3NHdNGw"/>
    <s v="Christian Arnold"/>
    <s v="http://www.youtube.com/channel/UCFpwX53ykKWLt0EK3NHdNGw"/>
    <m/>
    <s v="wadBvDPeE4E"/>
    <s v="https://www.youtube.com/watch?v=wadBvDPeE4E"/>
    <s v="none"/>
    <n v="0"/>
    <x v="295"/>
    <d v="2013-03-15T02:31:11.000"/>
    <m/>
    <m/>
    <s v=""/>
    <n v="1"/>
    <s v="1"/>
    <s v="1"/>
    <n v="1"/>
    <n v="5.555555555555555"/>
    <n v="0"/>
    <n v="0"/>
    <n v="0"/>
    <n v="0"/>
    <n v="17"/>
    <n v="94.44444444444444"/>
    <n v="18"/>
  </r>
  <r>
    <s v="UCNLlJNlSWf7o1vrRS7a0Chw"/>
    <s v="UCvQECJukTDE2i6aCoMnS-Vg"/>
    <m/>
    <m/>
    <m/>
    <m/>
    <m/>
    <m/>
    <m/>
    <m/>
    <s v="No"/>
    <n v="300"/>
    <m/>
    <m/>
    <s v="Commented Video"/>
    <x v="0"/>
    <s v="Very interesting, but it is a very materialistic view on society and people. The views of Jung on the &amp;quot;collective subconscious&amp;quot; are also very interesting, and put the emphasis on the spiritual side of people/world. "/>
    <s v="UCNLlJNlSWf7o1vrRS7a0Chw"/>
    <s v="valg8"/>
    <s v="http://www.youtube.com/channel/UCNLlJNlSWf7o1vrRS7a0Chw"/>
    <m/>
    <s v="wadBvDPeE4E"/>
    <s v="https://www.youtube.com/watch?v=wadBvDPeE4E"/>
    <s v="none"/>
    <n v="0"/>
    <x v="296"/>
    <d v="2013-03-17T03:02:25.000"/>
    <m/>
    <m/>
    <s v=""/>
    <n v="1"/>
    <s v="1"/>
    <s v="1"/>
    <n v="3"/>
    <n v="7.894736842105263"/>
    <n v="0"/>
    <n v="0"/>
    <n v="0"/>
    <n v="0"/>
    <n v="35"/>
    <n v="92.10526315789474"/>
    <n v="38"/>
  </r>
  <r>
    <s v="UCMrwz3szwrEugH00DKy6YWw"/>
    <s v="UCvQECJukTDE2i6aCoMnS-Vg"/>
    <m/>
    <m/>
    <m/>
    <m/>
    <m/>
    <m/>
    <m/>
    <m/>
    <s v="No"/>
    <n v="301"/>
    <m/>
    <m/>
    <s v="Commented Video"/>
    <x v="0"/>
    <s v="Google is actively engaging in Social Pathological Practices and Socialization of Pragration or Progration . . . yes its a word, to describe increasing levels of antisocial behavior. "/>
    <s v="UCMrwz3szwrEugH00DKy6YWw"/>
    <s v="lazyfreedom98"/>
    <s v="http://www.youtube.com/channel/UCMrwz3szwrEugH00DKy6YWw"/>
    <m/>
    <s v="wadBvDPeE4E"/>
    <s v="https://www.youtube.com/watch?v=wadBvDPeE4E"/>
    <s v="none"/>
    <n v="0"/>
    <x v="297"/>
    <d v="2013-03-20T11:18:14.000"/>
    <m/>
    <m/>
    <s v=""/>
    <n v="3"/>
    <s v="1"/>
    <s v="1"/>
    <n v="1"/>
    <n v="4"/>
    <n v="0"/>
    <n v="0"/>
    <n v="0"/>
    <n v="0"/>
    <n v="24"/>
    <n v="96"/>
    <n v="25"/>
  </r>
  <r>
    <s v="UCMrwz3szwrEugH00DKy6YWw"/>
    <s v="UCvQECJukTDE2i6aCoMnS-Vg"/>
    <m/>
    <m/>
    <m/>
    <m/>
    <m/>
    <m/>
    <m/>
    <m/>
    <s v="No"/>
    <n v="302"/>
    <m/>
    <m/>
    <s v="Commented Video"/>
    <x v="0"/>
    <s v="Someone Please . . . theoretical (T)  practical (P) skills towards the performance of the new job, but also satisfy needs of (I) interaction or TPI-theory aka Induction_Training . . . this Guy ! ! !"/>
    <s v="UCMrwz3szwrEugH00DKy6YWw"/>
    <s v="lazyfreedom98"/>
    <s v="http://www.youtube.com/channel/UCMrwz3szwrEugH00DKy6YWw"/>
    <m/>
    <s v="wadBvDPeE4E"/>
    <s v="https://www.youtube.com/watch?v=wadBvDPeE4E"/>
    <s v="none"/>
    <n v="0"/>
    <x v="298"/>
    <d v="2013-03-20T11:46:32.000"/>
    <m/>
    <m/>
    <s v=""/>
    <n v="3"/>
    <s v="1"/>
    <s v="1"/>
    <n v="1"/>
    <n v="3.5714285714285716"/>
    <n v="0"/>
    <n v="0"/>
    <n v="0"/>
    <n v="0"/>
    <n v="27"/>
    <n v="96.42857142857143"/>
    <n v="28"/>
  </r>
  <r>
    <s v="UCMrwz3szwrEugH00DKy6YWw"/>
    <s v="UCvQECJukTDE2i6aCoMnS-Vg"/>
    <m/>
    <m/>
    <m/>
    <m/>
    <m/>
    <m/>
    <m/>
    <m/>
    <s v="No"/>
    <n v="303"/>
    <m/>
    <m/>
    <s v="Commented Video"/>
    <x v="0"/>
    <s v="Ouroboros or Uroborus  Serpent biting its own tail is first seen as early as 1600 years BC in Egypt or Self Destruction Training"/>
    <s v="UCMrwz3szwrEugH00DKy6YWw"/>
    <s v="lazyfreedom98"/>
    <s v="http://www.youtube.com/channel/UCMrwz3szwrEugH00DKy6YWw"/>
    <m/>
    <s v="wadBvDPeE4E"/>
    <s v="https://www.youtube.com/watch?v=wadBvDPeE4E"/>
    <s v="none"/>
    <n v="0"/>
    <x v="299"/>
    <d v="2013-03-20T11:51:18.000"/>
    <m/>
    <m/>
    <s v=""/>
    <n v="3"/>
    <s v="1"/>
    <s v="1"/>
    <n v="0"/>
    <n v="0"/>
    <n v="2"/>
    <n v="8.695652173913043"/>
    <n v="0"/>
    <n v="0"/>
    <n v="21"/>
    <n v="91.30434782608695"/>
    <n v="23"/>
  </r>
  <r>
    <s v="UCrHMteoemHWAk0ZUN7-2-fQ"/>
    <s v="UCvQECJukTDE2i6aCoMnS-Vg"/>
    <m/>
    <m/>
    <m/>
    <m/>
    <m/>
    <m/>
    <m/>
    <m/>
    <s v="No"/>
    <n v="304"/>
    <m/>
    <m/>
    <s v="Commented Video"/>
    <x v="0"/>
    <s v="why did i go to university and i can learn from youtube"/>
    <s v="UCrHMteoemHWAk0ZUN7-2-fQ"/>
    <s v="legend asiam legend"/>
    <s v="http://www.youtube.com/channel/UCrHMteoemHWAk0ZUN7-2-fQ"/>
    <m/>
    <s v="wadBvDPeE4E"/>
    <s v="https://www.youtube.com/watch?v=wadBvDPeE4E"/>
    <s v="none"/>
    <n v="0"/>
    <x v="300"/>
    <d v="2013-04-02T23:09:47.000"/>
    <m/>
    <m/>
    <s v=""/>
    <n v="1"/>
    <s v="1"/>
    <s v="1"/>
    <n v="0"/>
    <n v="0"/>
    <n v="0"/>
    <n v="0"/>
    <n v="0"/>
    <n v="0"/>
    <n v="12"/>
    <n v="100"/>
    <n v="12"/>
  </r>
  <r>
    <s v="UCvvYo6r3QSI1U58GickP3pA"/>
    <s v="UCvQECJukTDE2i6aCoMnS-Vg"/>
    <m/>
    <m/>
    <m/>
    <m/>
    <m/>
    <m/>
    <m/>
    <m/>
    <s v="No"/>
    <n v="305"/>
    <m/>
    <m/>
    <s v="Commented Video"/>
    <x v="0"/>
    <s v="Was i the only one that noticed Nicholas&amp;#39; hand motion threw out the whole video."/>
    <s v="UCvvYo6r3QSI1U58GickP3pA"/>
    <s v="Raul"/>
    <s v="http://www.youtube.com/channel/UCvvYo6r3QSI1U58GickP3pA"/>
    <m/>
    <s v="wadBvDPeE4E"/>
    <s v="https://www.youtube.com/watch?v=wadBvDPeE4E"/>
    <s v="none"/>
    <n v="0"/>
    <x v="301"/>
    <d v="2013-04-03T07:19:52.000"/>
    <m/>
    <m/>
    <s v=""/>
    <n v="1"/>
    <s v="1"/>
    <s v="1"/>
    <n v="0"/>
    <n v="0"/>
    <n v="0"/>
    <n v="0"/>
    <n v="0"/>
    <n v="0"/>
    <n v="16"/>
    <n v="100"/>
    <n v="16"/>
  </r>
  <r>
    <s v="UCkPWqIuzCqp_cys622OPPsQ"/>
    <s v="UCvQECJukTDE2i6aCoMnS-Vg"/>
    <m/>
    <m/>
    <m/>
    <m/>
    <m/>
    <m/>
    <m/>
    <m/>
    <s v="No"/>
    <n v="306"/>
    <m/>
    <m/>
    <s v="Commented Video"/>
    <x v="0"/>
    <s v="I see. So Sociology doesn&amp;#39;t have to be anti-scientific, post-modernist obfuscation."/>
    <s v="UCkPWqIuzCqp_cys622OPPsQ"/>
    <s v="Noah Carl"/>
    <s v="http://www.youtube.com/channel/UCkPWqIuzCqp_cys622OPPsQ"/>
    <m/>
    <s v="wadBvDPeE4E"/>
    <s v="https://www.youtube.com/watch?v=wadBvDPeE4E"/>
    <s v="none"/>
    <n v="0"/>
    <x v="302"/>
    <d v="2013-04-08T21:56:16.000"/>
    <m/>
    <m/>
    <s v=""/>
    <n v="1"/>
    <s v="1"/>
    <s v="1"/>
    <n v="0"/>
    <n v="0"/>
    <n v="0"/>
    <n v="0"/>
    <n v="0"/>
    <n v="0"/>
    <n v="15"/>
    <n v="100"/>
    <n v="15"/>
  </r>
  <r>
    <s v="UCV750QFOfdssBbqaPnM_MHw"/>
    <s v="UCvQECJukTDE2i6aCoMnS-Vg"/>
    <m/>
    <m/>
    <m/>
    <m/>
    <m/>
    <m/>
    <m/>
    <m/>
    <s v="No"/>
    <n v="307"/>
    <m/>
    <m/>
    <s v="Commented Video"/>
    <x v="0"/>
    <s v="This is awesome"/>
    <s v="UCV750QFOfdssBbqaPnM_MHw"/>
    <s v="Curtis Worthington"/>
    <s v="http://www.youtube.com/channel/UCV750QFOfdssBbqaPnM_MHw"/>
    <m/>
    <s v="wadBvDPeE4E"/>
    <s v="https://www.youtube.com/watch?v=wadBvDPeE4E"/>
    <s v="none"/>
    <n v="0"/>
    <x v="303"/>
    <d v="2013-04-09T15:25:33.000"/>
    <m/>
    <m/>
    <s v=""/>
    <n v="1"/>
    <s v="1"/>
    <s v="1"/>
    <n v="1"/>
    <n v="33.333333333333336"/>
    <n v="0"/>
    <n v="0"/>
    <n v="0"/>
    <n v="0"/>
    <n v="2"/>
    <n v="66.66666666666667"/>
    <n v="3"/>
  </r>
  <r>
    <s v="UCNOWV-nhsw_NL_f4OUL_T3A"/>
    <s v="UCvQECJukTDE2i6aCoMnS-Vg"/>
    <m/>
    <m/>
    <m/>
    <m/>
    <m/>
    <m/>
    <m/>
    <m/>
    <s v="No"/>
    <n v="308"/>
    <m/>
    <m/>
    <s v="Commented Video"/>
    <x v="0"/>
    <s v="ok i think i will watch this video at least five times."/>
    <s v="UCNOWV-nhsw_NL_f4OUL_T3A"/>
    <s v="Lucky13"/>
    <s v="http://www.youtube.com/channel/UCNOWV-nhsw_NL_f4OUL_T3A"/>
    <m/>
    <s v="wadBvDPeE4E"/>
    <s v="https://www.youtube.com/watch?v=wadBvDPeE4E"/>
    <s v="none"/>
    <n v="0"/>
    <x v="304"/>
    <d v="2013-04-15T04:10:29.000"/>
    <m/>
    <m/>
    <s v=""/>
    <n v="1"/>
    <s v="1"/>
    <s v="1"/>
    <n v="0"/>
    <n v="0"/>
    <n v="0"/>
    <n v="0"/>
    <n v="0"/>
    <n v="0"/>
    <n v="12"/>
    <n v="100"/>
    <n v="12"/>
  </r>
  <r>
    <s v="UClmlt19LU2JghIvcZ6Wm7MQ"/>
    <s v="UCvQECJukTDE2i6aCoMnS-Vg"/>
    <m/>
    <m/>
    <m/>
    <m/>
    <m/>
    <m/>
    <m/>
    <m/>
    <s v="No"/>
    <n v="309"/>
    <m/>
    <m/>
    <s v="Commented Video"/>
    <x v="0"/>
    <s v="It&amp;#39;s okay, I already can&amp;#39;t appreciate a normal lecture."/>
    <s v="UClmlt19LU2JghIvcZ6Wm7MQ"/>
    <s v="James Corcoran"/>
    <s v="http://www.youtube.com/channel/UClmlt19LU2JghIvcZ6Wm7MQ"/>
    <m/>
    <s v="wadBvDPeE4E"/>
    <s v="https://www.youtube.com/watch?v=wadBvDPeE4E"/>
    <s v="none"/>
    <n v="0"/>
    <x v="305"/>
    <d v="2013-04-02T09:20:30.000"/>
    <m/>
    <m/>
    <s v=""/>
    <n v="3"/>
    <s v="1"/>
    <s v="1"/>
    <n v="1"/>
    <n v="7.6923076923076925"/>
    <n v="0"/>
    <n v="0"/>
    <n v="0"/>
    <n v="0"/>
    <n v="12"/>
    <n v="92.3076923076923"/>
    <n v="13"/>
  </r>
  <r>
    <s v="UClmlt19LU2JghIvcZ6Wm7MQ"/>
    <s v="UCvQECJukTDE2i6aCoMnS-Vg"/>
    <m/>
    <m/>
    <m/>
    <m/>
    <m/>
    <m/>
    <m/>
    <m/>
    <s v="No"/>
    <n v="310"/>
    <m/>
    <m/>
    <s v="Commented Video"/>
    <x v="0"/>
    <s v="These lectures are much more interesting than anything anybody with a degree ever tried to teach me. I&amp;#39;d say I&amp;#39;ve probably learned more in two months than I have in 4 years of high school and 1 and 1/2 years of college. In the next two months, I&amp;#39;ll probably have learned more than I have in my whole school life. "/>
    <s v="UClmlt19LU2JghIvcZ6Wm7MQ"/>
    <s v="James Corcoran"/>
    <s v="http://www.youtube.com/channel/UClmlt19LU2JghIvcZ6Wm7MQ"/>
    <m/>
    <s v="wadBvDPeE4E"/>
    <s v="https://www.youtube.com/watch?v=wadBvDPeE4E"/>
    <s v="none"/>
    <n v="0"/>
    <x v="306"/>
    <d v="2013-04-02T09:33:00.000"/>
    <m/>
    <m/>
    <s v=""/>
    <n v="3"/>
    <s v="1"/>
    <s v="1"/>
    <n v="1"/>
    <n v="1.492537313432836"/>
    <n v="0"/>
    <n v="0"/>
    <n v="0"/>
    <n v="0"/>
    <n v="66"/>
    <n v="98.50746268656717"/>
    <n v="67"/>
  </r>
  <r>
    <s v="UClmlt19LU2JghIvcZ6Wm7MQ"/>
    <s v="UCvQECJukTDE2i6aCoMnS-Vg"/>
    <m/>
    <m/>
    <m/>
    <m/>
    <m/>
    <m/>
    <m/>
    <m/>
    <s v="No"/>
    <n v="311"/>
    <m/>
    <m/>
    <s v="Commented Video"/>
    <x v="0"/>
    <s v="Good point."/>
    <s v="UClmlt19LU2JghIvcZ6Wm7MQ"/>
    <s v="James Corcoran"/>
    <s v="http://www.youtube.com/channel/UClmlt19LU2JghIvcZ6Wm7MQ"/>
    <m/>
    <s v="wadBvDPeE4E"/>
    <s v="https://www.youtube.com/watch?v=wadBvDPeE4E"/>
    <s v="none"/>
    <n v="0"/>
    <x v="307"/>
    <d v="2013-04-17T15:36:29.000"/>
    <m/>
    <m/>
    <s v=""/>
    <n v="3"/>
    <s v="1"/>
    <s v="1"/>
    <n v="1"/>
    <n v="50"/>
    <n v="0"/>
    <n v="0"/>
    <n v="0"/>
    <n v="0"/>
    <n v="1"/>
    <n v="50"/>
    <n v="2"/>
  </r>
  <r>
    <s v="UCu00bjpjrCR_cwq94D1W29g"/>
    <s v="UCvQECJukTDE2i6aCoMnS-Vg"/>
    <m/>
    <m/>
    <m/>
    <m/>
    <m/>
    <m/>
    <m/>
    <m/>
    <s v="No"/>
    <n v="312"/>
    <m/>
    <m/>
    <s v="Commented Video"/>
    <x v="0"/>
    <s v="15:00"/>
    <s v="UCu00bjpjrCR_cwq94D1W29g"/>
    <s v="canaj7"/>
    <s v="http://www.youtube.com/channel/UCu00bjpjrCR_cwq94D1W29g"/>
    <m/>
    <s v="wadBvDPeE4E"/>
    <s v="https://www.youtube.com/watch?v=wadBvDPeE4E"/>
    <s v="none"/>
    <n v="0"/>
    <x v="308"/>
    <d v="2013-04-16T17:47:20.000"/>
    <m/>
    <m/>
    <s v=""/>
    <n v="4"/>
    <s v="1"/>
    <s v="1"/>
    <n v="0"/>
    <n v="0"/>
    <n v="0"/>
    <n v="0"/>
    <n v="0"/>
    <n v="0"/>
    <n v="2"/>
    <n v="100"/>
    <n v="2"/>
  </r>
  <r>
    <s v="UCu00bjpjrCR_cwq94D1W29g"/>
    <s v="UCvQECJukTDE2i6aCoMnS-Vg"/>
    <m/>
    <m/>
    <m/>
    <m/>
    <m/>
    <m/>
    <m/>
    <m/>
    <s v="No"/>
    <n v="313"/>
    <m/>
    <m/>
    <s v="Commented Video"/>
    <x v="0"/>
    <s v="You wouldn&amp;#39;t have been able to understand the concepts from these videos without all that education"/>
    <s v="UCu00bjpjrCR_cwq94D1W29g"/>
    <s v="canaj7"/>
    <s v="http://www.youtube.com/channel/UCu00bjpjrCR_cwq94D1W29g"/>
    <m/>
    <s v="wadBvDPeE4E"/>
    <s v="https://www.youtube.com/watch?v=wadBvDPeE4E"/>
    <s v="none"/>
    <n v="0"/>
    <x v="309"/>
    <d v="2013-04-16T23:23:59.000"/>
    <m/>
    <m/>
    <s v=""/>
    <n v="4"/>
    <s v="1"/>
    <s v="1"/>
    <n v="0"/>
    <n v="0"/>
    <n v="0"/>
    <n v="0"/>
    <n v="0"/>
    <n v="0"/>
    <n v="18"/>
    <n v="100"/>
    <n v="18"/>
  </r>
  <r>
    <s v="UCu00bjpjrCR_cwq94D1W29g"/>
    <s v="UCvQECJukTDE2i6aCoMnS-Vg"/>
    <m/>
    <m/>
    <m/>
    <m/>
    <m/>
    <m/>
    <m/>
    <m/>
    <s v="No"/>
    <n v="314"/>
    <m/>
    <m/>
    <s v="Commented Video"/>
    <x v="0"/>
    <s v="26:30"/>
    <s v="UCu00bjpjrCR_cwq94D1W29g"/>
    <s v="canaj7"/>
    <s v="http://www.youtube.com/channel/UCu00bjpjrCR_cwq94D1W29g"/>
    <m/>
    <s v="wadBvDPeE4E"/>
    <s v="https://www.youtube.com/watch?v=wadBvDPeE4E"/>
    <s v="none"/>
    <n v="0"/>
    <x v="310"/>
    <d v="2013-04-16T23:24:11.000"/>
    <m/>
    <m/>
    <s v=""/>
    <n v="4"/>
    <s v="1"/>
    <s v="1"/>
    <n v="0"/>
    <n v="0"/>
    <n v="0"/>
    <n v="0"/>
    <n v="0"/>
    <n v="0"/>
    <n v="2"/>
    <n v="100"/>
    <n v="2"/>
  </r>
  <r>
    <s v="UCu00bjpjrCR_cwq94D1W29g"/>
    <s v="UCvQECJukTDE2i6aCoMnS-Vg"/>
    <m/>
    <m/>
    <m/>
    <m/>
    <m/>
    <m/>
    <m/>
    <m/>
    <s v="No"/>
    <n v="315"/>
    <m/>
    <m/>
    <s v="Commented Video"/>
    <x v="0"/>
    <s v="39:14"/>
    <s v="UCu00bjpjrCR_cwq94D1W29g"/>
    <s v="canaj7"/>
    <s v="http://www.youtube.com/channel/UCu00bjpjrCR_cwq94D1W29g"/>
    <m/>
    <s v="wadBvDPeE4E"/>
    <s v="https://www.youtube.com/watch?v=wadBvDPeE4E"/>
    <s v="none"/>
    <n v="0"/>
    <x v="311"/>
    <d v="2013-04-17T16:25:37.000"/>
    <m/>
    <m/>
    <s v=""/>
    <n v="4"/>
    <s v="1"/>
    <s v="1"/>
    <n v="0"/>
    <n v="0"/>
    <n v="0"/>
    <n v="0"/>
    <n v="0"/>
    <n v="0"/>
    <n v="2"/>
    <n v="100"/>
    <n v="2"/>
  </r>
  <r>
    <s v="UCRyCFsyJJFYINGmWOtI-zaA"/>
    <s v="UCvQECJukTDE2i6aCoMnS-Vg"/>
    <m/>
    <m/>
    <m/>
    <m/>
    <m/>
    <m/>
    <m/>
    <m/>
    <s v="No"/>
    <n v="316"/>
    <m/>
    <m/>
    <s v="Commented Video"/>
    <x v="0"/>
    <s v="youtube is just a giant advertisment now"/>
    <s v="UCRyCFsyJJFYINGmWOtI-zaA"/>
    <s v="david briggs"/>
    <s v="http://www.youtube.com/channel/UCRyCFsyJJFYINGmWOtI-zaA"/>
    <m/>
    <s v="wadBvDPeE4E"/>
    <s v="https://www.youtube.com/watch?v=wadBvDPeE4E"/>
    <s v="none"/>
    <n v="0"/>
    <x v="312"/>
    <d v="2013-04-22T04:08:09.000"/>
    <m/>
    <m/>
    <s v=""/>
    <n v="2"/>
    <s v="1"/>
    <s v="1"/>
    <n v="0"/>
    <n v="0"/>
    <n v="0"/>
    <n v="0"/>
    <n v="0"/>
    <n v="0"/>
    <n v="7"/>
    <n v="100"/>
    <n v="7"/>
  </r>
  <r>
    <s v="UCRyCFsyJJFYINGmWOtI-zaA"/>
    <s v="UCvQECJukTDE2i6aCoMnS-Vg"/>
    <m/>
    <m/>
    <m/>
    <m/>
    <m/>
    <m/>
    <m/>
    <m/>
    <s v="No"/>
    <n v="317"/>
    <m/>
    <m/>
    <s v="Commented Video"/>
    <x v="0"/>
    <s v="51 people are obese and suicidal"/>
    <s v="UCRyCFsyJJFYINGmWOtI-zaA"/>
    <s v="david briggs"/>
    <s v="http://www.youtube.com/channel/UCRyCFsyJJFYINGmWOtI-zaA"/>
    <m/>
    <s v="wadBvDPeE4E"/>
    <s v="https://www.youtube.com/watch?v=wadBvDPeE4E"/>
    <s v="none"/>
    <n v="0"/>
    <x v="313"/>
    <d v="2013-04-22T04:44:19.000"/>
    <m/>
    <m/>
    <s v=""/>
    <n v="2"/>
    <s v="1"/>
    <s v="1"/>
    <n v="0"/>
    <n v="0"/>
    <n v="2"/>
    <n v="33.333333333333336"/>
    <n v="0"/>
    <n v="0"/>
    <n v="4"/>
    <n v="66.66666666666667"/>
    <n v="6"/>
  </r>
  <r>
    <s v="UCX3vF4s0kPhSR96X15RZ1jQ"/>
    <s v="UCvQECJukTDE2i6aCoMnS-Vg"/>
    <m/>
    <m/>
    <m/>
    <m/>
    <m/>
    <m/>
    <m/>
    <m/>
    <s v="No"/>
    <n v="318"/>
    <m/>
    <m/>
    <s v="Commented Video"/>
    <x v="0"/>
    <s v="Methodological Holism brought me here!"/>
    <s v="UCX3vF4s0kPhSR96X15RZ1jQ"/>
    <s v="Cory Cota"/>
    <s v="http://www.youtube.com/channel/UCX3vF4s0kPhSR96X15RZ1jQ"/>
    <m/>
    <s v="wadBvDPeE4E"/>
    <s v="https://www.youtube.com/watch?v=wadBvDPeE4E"/>
    <s v="none"/>
    <n v="0"/>
    <x v="314"/>
    <d v="2013-04-28T12:50:29.000"/>
    <m/>
    <m/>
    <s v=""/>
    <n v="1"/>
    <s v="1"/>
    <s v="1"/>
    <n v="0"/>
    <n v="0"/>
    <n v="0"/>
    <n v="0"/>
    <n v="0"/>
    <n v="0"/>
    <n v="5"/>
    <n v="100"/>
    <n v="5"/>
  </r>
  <r>
    <s v="UCS76vNfoKFZak3nSrJYcKmg"/>
    <s v="UCvQECJukTDE2i6aCoMnS-Vg"/>
    <m/>
    <m/>
    <m/>
    <m/>
    <m/>
    <m/>
    <m/>
    <m/>
    <s v="No"/>
    <n v="319"/>
    <m/>
    <m/>
    <s v="Commented Video"/>
    <x v="0"/>
    <s v="my libertarian senses are tingling!"/>
    <s v="UCS76vNfoKFZak3nSrJYcKmg"/>
    <s v="TGfeed"/>
    <s v="http://www.youtube.com/channel/UCS76vNfoKFZak3nSrJYcKmg"/>
    <m/>
    <s v="wadBvDPeE4E"/>
    <s v="https://www.youtube.com/watch?v=wadBvDPeE4E"/>
    <s v="none"/>
    <n v="0"/>
    <x v="315"/>
    <d v="2013-04-29T19:49:09.000"/>
    <m/>
    <m/>
    <s v=""/>
    <n v="1"/>
    <s v="1"/>
    <s v="1"/>
    <n v="0"/>
    <n v="0"/>
    <n v="1"/>
    <n v="20"/>
    <n v="0"/>
    <n v="0"/>
    <n v="4"/>
    <n v="80"/>
    <n v="5"/>
  </r>
  <r>
    <s v="UCcDA0AAZX_0dgrNgfnKKesw"/>
    <s v="UCvQECJukTDE2i6aCoMnS-Vg"/>
    <m/>
    <m/>
    <m/>
    <m/>
    <m/>
    <m/>
    <m/>
    <m/>
    <s v="No"/>
    <n v="320"/>
    <m/>
    <m/>
    <s v="Commented Video"/>
    <x v="0"/>
    <s v="when he started to slosh around, i lost all composure. "/>
    <s v="UCcDA0AAZX_0dgrNgfnKKesw"/>
    <s v="Tyrannicide Rex"/>
    <s v="http://www.youtube.com/channel/UCcDA0AAZX_0dgrNgfnKKesw"/>
    <m/>
    <s v="wadBvDPeE4E"/>
    <s v="https://www.youtube.com/watch?v=wadBvDPeE4E"/>
    <s v="none"/>
    <n v="0"/>
    <x v="316"/>
    <d v="2013-05-09T01:08:37.000"/>
    <m/>
    <m/>
    <s v=""/>
    <n v="1"/>
    <s v="1"/>
    <s v="1"/>
    <n v="0"/>
    <n v="0"/>
    <n v="1"/>
    <n v="10"/>
    <n v="0"/>
    <n v="0"/>
    <n v="9"/>
    <n v="90"/>
    <n v="10"/>
  </r>
  <r>
    <s v="UCDYg3x4fzxqFJqN5L4eXOmA"/>
    <s v="UCvQECJukTDE2i6aCoMnS-Vg"/>
    <m/>
    <m/>
    <m/>
    <m/>
    <m/>
    <m/>
    <m/>
    <m/>
    <s v="No"/>
    <n v="321"/>
    <m/>
    <m/>
    <s v="Commented Video"/>
    <x v="0"/>
    <s v="How does one assume from the fact that some of the 26/1200 people wanted to live and survived their suicide attempt that suicide is acute and crisis driven.  The study he mentions says nothing of the quality of life had by those &amp;quot;saved&amp;quot; from jumping by  physically restraining them.  The assertion that suicide is an acute problem is only true if one sees suicide as a problem.  Obviously suicide is seen as a solution by those willing to jump.  Its not your life, or problem."/>
    <s v="UCDYg3x4fzxqFJqN5L4eXOmA"/>
    <s v="daniel coig"/>
    <s v="http://www.youtube.com/channel/UCDYg3x4fzxqFJqN5L4eXOmA"/>
    <m/>
    <s v="wadBvDPeE4E"/>
    <s v="https://www.youtube.com/watch?v=wadBvDPeE4E"/>
    <s v="none"/>
    <n v="0"/>
    <x v="317"/>
    <d v="2013-04-28T13:40:19.000"/>
    <m/>
    <m/>
    <s v=""/>
    <n v="2"/>
    <s v="1"/>
    <s v="1"/>
    <n v="1"/>
    <n v="1.1363636363636365"/>
    <n v="9"/>
    <n v="10.227272727272727"/>
    <n v="0"/>
    <n v="0"/>
    <n v="78"/>
    <n v="88.63636363636364"/>
    <n v="88"/>
  </r>
  <r>
    <s v="UCDYg3x4fzxqFJqN5L4eXOmA"/>
    <s v="UCvQECJukTDE2i6aCoMnS-Vg"/>
    <m/>
    <m/>
    <m/>
    <m/>
    <m/>
    <m/>
    <m/>
    <m/>
    <s v="No"/>
    <n v="322"/>
    <m/>
    <m/>
    <s v="Commented Video"/>
    <x v="0"/>
    <s v="Interestingly it should be your Voluntarism tingling.  The antiperverse, antimasturbation from that of statist self service."/>
    <s v="UCDYg3x4fzxqFJqN5L4eXOmA"/>
    <s v="daniel coig"/>
    <s v="http://www.youtube.com/channel/UCDYg3x4fzxqFJqN5L4eXOmA"/>
    <m/>
    <s v="wadBvDPeE4E"/>
    <s v="https://www.youtube.com/watch?v=wadBvDPeE4E"/>
    <s v="none"/>
    <n v="0"/>
    <x v="318"/>
    <d v="2013-05-15T05:14:51.000"/>
    <m/>
    <m/>
    <s v=""/>
    <n v="2"/>
    <s v="1"/>
    <s v="1"/>
    <n v="0"/>
    <n v="0"/>
    <n v="1"/>
    <n v="6.25"/>
    <n v="0"/>
    <n v="0"/>
    <n v="15"/>
    <n v="93.75"/>
    <n v="16"/>
  </r>
  <r>
    <s v="UCwPFhJhtg8d2QonvELrITtQ"/>
    <s v="UCvQECJukTDE2i6aCoMnS-Vg"/>
    <m/>
    <m/>
    <m/>
    <m/>
    <m/>
    <m/>
    <m/>
    <m/>
    <s v="No"/>
    <n v="323"/>
    <m/>
    <m/>
    <s v="Commented Video"/>
    <x v="0"/>
    <s v="Recommend:_x000a__x000a_Apple iPhone 5 (Latest Model) - 32GB - Black Unlocked NEW Price:$385_x000a__x000a_Samsung Galaxy S III GT-I9300 16GB White Unlocked Price:$330_x000a__x000a_Apple iPad 4th Gen 32GB Unlocked Wi-Fi+4G 9.7in White Price:$390_x000a__x000a_LED 3D HDTV: Panasonic 65-inch 3D LED HDTV Price: $460_x000a__x000a_Apple MB543LL/A MacBook Price: $350_x000a__x000a_All-in-One PCs：Apple MB417LL/A iMac w/ 20&amp;quot; display desktop Price:$320_x000a__x000a_Canon EOS 60D Digital SLR Camera 50mm 18-55mm Price:$360_x000a__x000a_&amp;gt;&amp;gt;&amp;gt;&amp;gt;&amp;gt;&amp;gt;&amp;gt;&amp;gt;&amp;gt;&amp;gt;&amp;gt;&amp;gt;&amp;gt;&amp;gt;&amp;gt;&amp;gt;&amp;gt;&amp;gt;&amp;gt;&amp;gt;&amp;gt;    Purchase online Website is:  FUUshop.com"/>
    <s v="UCwPFhJhtg8d2QonvELrITtQ"/>
    <s v="sterrty jimmy"/>
    <s v="http://www.youtube.com/channel/UCwPFhJhtg8d2QonvELrITtQ"/>
    <m/>
    <s v="wadBvDPeE4E"/>
    <s v="https://www.youtube.com/watch?v=wadBvDPeE4E"/>
    <s v="none"/>
    <n v="0"/>
    <x v="319"/>
    <d v="2013-05-19T18:33:42.000"/>
    <m/>
    <m/>
    <s v=""/>
    <n v="1"/>
    <s v="1"/>
    <s v="1"/>
    <n v="3"/>
    <n v="2.803738317757009"/>
    <n v="0"/>
    <n v="0"/>
    <n v="0"/>
    <n v="0"/>
    <n v="104"/>
    <n v="97.19626168224299"/>
    <n v="107"/>
  </r>
  <r>
    <s v="UCIhXxHMFJ-jBquiJwCM0Sdg"/>
    <s v="UCvQECJukTDE2i6aCoMnS-Vg"/>
    <m/>
    <m/>
    <m/>
    <m/>
    <m/>
    <m/>
    <m/>
    <m/>
    <s v="No"/>
    <n v="324"/>
    <m/>
    <m/>
    <s v="Commented Video"/>
    <x v="0"/>
    <s v="Wait.. so this guy was only in his first year of med school, and he was cutting class to operate on children? Anyone else catch this?"/>
    <s v="UCIhXxHMFJ-jBquiJwCM0Sdg"/>
    <s v="Michael Novello"/>
    <s v="http://www.youtube.com/channel/UCIhXxHMFJ-jBquiJwCM0Sdg"/>
    <m/>
    <s v="wadBvDPeE4E"/>
    <s v="https://www.youtube.com/watch?v=wadBvDPeE4E"/>
    <s v="none"/>
    <n v="0"/>
    <x v="320"/>
    <d v="2013-05-25T11:40:23.000"/>
    <m/>
    <m/>
    <s v=""/>
    <n v="1"/>
    <s v="1"/>
    <s v="1"/>
    <n v="0"/>
    <n v="0"/>
    <n v="0"/>
    <n v="0"/>
    <n v="0"/>
    <n v="0"/>
    <n v="26"/>
    <n v="100"/>
    <n v="26"/>
  </r>
  <r>
    <s v="UC04TdeE31TVNfyz4csU8K9Q"/>
    <s v="UCvQECJukTDE2i6aCoMnS-Vg"/>
    <m/>
    <m/>
    <m/>
    <m/>
    <m/>
    <m/>
    <m/>
    <m/>
    <s v="No"/>
    <n v="325"/>
    <m/>
    <m/>
    <s v="Commented Video"/>
    <x v="0"/>
    <s v="At Ruttie, the problem is thinking that it&amp;#39;s one or the other.  Yes, people make choices,, but they&amp;#39;re burdened with having to participate in social structures in order to get needed resources.  Yes, it&amp;#39;s naive to assume people are obese ONLY because of social structure, but it&amp;#39;s equally naive to assume that they are based ONLY in cognition.  Giddens&amp;#39; structuration does a nice job of framing this dilemma of agency and structure.  Bit dense to squeeze into a YT comment."/>
    <s v="UC04TdeE31TVNfyz4csU8K9Q"/>
    <s v="alterino222"/>
    <s v="http://www.youtube.com/channel/UC04TdeE31TVNfyz4csU8K9Q"/>
    <m/>
    <s v="wadBvDPeE4E"/>
    <s v="https://www.youtube.com/watch?v=wadBvDPeE4E"/>
    <s v="none"/>
    <n v="0"/>
    <x v="321"/>
    <d v="2013-05-25T17:21:24.000"/>
    <m/>
    <m/>
    <s v=""/>
    <n v="1"/>
    <s v="1"/>
    <s v="1"/>
    <n v="1"/>
    <n v="1.1235955056179776"/>
    <n v="6"/>
    <n v="6.741573033707865"/>
    <n v="0"/>
    <n v="0"/>
    <n v="82"/>
    <n v="92.13483146067416"/>
    <n v="89"/>
  </r>
  <r>
    <s v="UCExPNBJx6p4nH4lGxRZty0w"/>
    <s v="UCvQECJukTDE2i6aCoMnS-Vg"/>
    <m/>
    <m/>
    <m/>
    <m/>
    <m/>
    <m/>
    <m/>
    <m/>
    <s v="No"/>
    <n v="326"/>
    <m/>
    <m/>
    <s v="Commented Video"/>
    <x v="0"/>
    <s v="I want muffins and beer now. Damn you Christakis and your social contagions!"/>
    <s v="UCExPNBJx6p4nH4lGxRZty0w"/>
    <s v="Ajcoss"/>
    <s v="http://www.youtube.com/channel/UCExPNBJx6p4nH4lGxRZty0w"/>
    <m/>
    <s v="wadBvDPeE4E"/>
    <s v="https://www.youtube.com/watch?v=wadBvDPeE4E"/>
    <s v="none"/>
    <n v="0"/>
    <x v="322"/>
    <d v="2013-05-31T19:28:01.000"/>
    <m/>
    <m/>
    <s v=""/>
    <n v="1"/>
    <s v="1"/>
    <s v="1"/>
    <n v="0"/>
    <n v="0"/>
    <n v="1"/>
    <n v="7.6923076923076925"/>
    <n v="0"/>
    <n v="0"/>
    <n v="12"/>
    <n v="92.3076923076923"/>
    <n v="13"/>
  </r>
  <r>
    <s v="UCzyWpvd7hlCeT3w3R8FHWIw"/>
    <s v="UCvQECJukTDE2i6aCoMnS-Vg"/>
    <m/>
    <m/>
    <m/>
    <m/>
    <m/>
    <m/>
    <m/>
    <m/>
    <s v="No"/>
    <n v="327"/>
    <m/>
    <m/>
    <s v="Commented Video"/>
    <x v="0"/>
    <s v="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amp;#39;d like to know about it... He&amp;#39;s on a date today with a beautiful girl... Lucky dick! "/>
    <s v="UCzyWpvd7hlCeT3w3R8FHWIw"/>
    <s v="Varun Gundu"/>
    <s v="http://www.youtube.com/channel/UCzyWpvd7hlCeT3w3R8FHWIw"/>
    <m/>
    <s v="wadBvDPeE4E"/>
    <s v="https://www.youtube.com/watch?v=wadBvDPeE4E"/>
    <s v="none"/>
    <n v="0"/>
    <x v="323"/>
    <d v="2013-06-18T04:05:03.000"/>
    <m/>
    <m/>
    <s v=""/>
    <n v="1"/>
    <s v="1"/>
    <s v="1"/>
    <n v="6"/>
    <n v="7.407407407407407"/>
    <n v="4"/>
    <n v="4.938271604938271"/>
    <n v="0"/>
    <n v="0"/>
    <n v="71"/>
    <n v="87.65432098765432"/>
    <n v="81"/>
  </r>
  <r>
    <s v="UC6CiLgJWYrnKGh4IQgnw19g"/>
    <s v="UCvQECJukTDE2i6aCoMnS-Vg"/>
    <m/>
    <m/>
    <m/>
    <m/>
    <m/>
    <m/>
    <m/>
    <m/>
    <s v="No"/>
    <n v="328"/>
    <m/>
    <m/>
    <s v="Commented Video"/>
    <x v="0"/>
    <s v="This is one of the best lecture i&amp;#39;ve ever heard, for sociology. 2 thumbs up!_x000a_\"/>
    <s v="UC6CiLgJWYrnKGh4IQgnw19g"/>
    <s v="Dalrae Jin"/>
    <s v="http://www.youtube.com/channel/UC6CiLgJWYrnKGh4IQgnw19g"/>
    <m/>
    <s v="wadBvDPeE4E"/>
    <s v="https://www.youtube.com/watch?v=wadBvDPeE4E"/>
    <s v="none"/>
    <n v="2"/>
    <x v="324"/>
    <d v="2013-06-18T18:23:58.000"/>
    <m/>
    <m/>
    <s v=""/>
    <n v="1"/>
    <s v="1"/>
    <s v="1"/>
    <n v="1"/>
    <n v="5.882352941176471"/>
    <n v="0"/>
    <n v="0"/>
    <n v="0"/>
    <n v="0"/>
    <n v="16"/>
    <n v="94.11764705882354"/>
    <n v="17"/>
  </r>
  <r>
    <s v="UCHoKbFnmqHhrVIToAB7QBRg"/>
    <s v="UCvQECJukTDE2i6aCoMnS-Vg"/>
    <m/>
    <m/>
    <m/>
    <m/>
    <m/>
    <m/>
    <m/>
    <m/>
    <s v="No"/>
    <n v="329"/>
    <m/>
    <m/>
    <s v="Commented Video"/>
    <x v="0"/>
    <s v="He&amp;#39;s smart, he should know that the map that was shown wasn&amp;#39;t just England. Wales and Scotland are a thing too..."/>
    <s v="UCHoKbFnmqHhrVIToAB7QBRg"/>
    <s v="formanorderlyque"/>
    <s v="http://www.youtube.com/channel/UCHoKbFnmqHhrVIToAB7QBRg"/>
    <m/>
    <s v="wadBvDPeE4E"/>
    <s v="https://www.youtube.com/watch?v=wadBvDPeE4E"/>
    <s v="none"/>
    <n v="0"/>
    <x v="325"/>
    <d v="2013-06-22T00:14:53.000"/>
    <m/>
    <m/>
    <s v=""/>
    <n v="1"/>
    <s v="1"/>
    <s v="1"/>
    <n v="1"/>
    <n v="4"/>
    <n v="0"/>
    <n v="0"/>
    <n v="0"/>
    <n v="0"/>
    <n v="24"/>
    <n v="96"/>
    <n v="25"/>
  </r>
  <r>
    <s v="UC3TNTGrI0pBKFG1Wg3jVgaQ"/>
    <s v="UCvQECJukTDE2i6aCoMnS-Vg"/>
    <m/>
    <m/>
    <m/>
    <m/>
    <m/>
    <m/>
    <m/>
    <m/>
    <s v="No"/>
    <n v="330"/>
    <m/>
    <m/>
    <s v="Commented Video"/>
    <x v="0"/>
    <s v="&amp;quot;It took us a WHOLE day&amp;quot;. That&amp;#39;s not so long in the scheme of things..."/>
    <s v="UC3TNTGrI0pBKFG1Wg3jVgaQ"/>
    <s v="Shaan Ciantar"/>
    <s v="http://www.youtube.com/channel/UC3TNTGrI0pBKFG1Wg3jVgaQ"/>
    <m/>
    <s v="wadBvDPeE4E"/>
    <s v="https://www.youtube.com/watch?v=wadBvDPeE4E"/>
    <s v="none"/>
    <n v="0"/>
    <x v="326"/>
    <d v="2013-06-25T07:57:30.000"/>
    <m/>
    <m/>
    <s v=""/>
    <n v="1"/>
    <s v="1"/>
    <s v="1"/>
    <n v="0"/>
    <n v="0"/>
    <n v="0"/>
    <n v="0"/>
    <n v="0"/>
    <n v="0"/>
    <n v="19"/>
    <n v="100"/>
    <n v="19"/>
  </r>
  <r>
    <s v="UCeYXFIY3f424KXx5J_OszkQ"/>
    <s v="UCvQECJukTDE2i6aCoMnS-Vg"/>
    <m/>
    <m/>
    <m/>
    <m/>
    <m/>
    <m/>
    <m/>
    <m/>
    <s v="No"/>
    <n v="331"/>
    <m/>
    <m/>
    <s v="Commented Video"/>
    <x v="0"/>
    <s v="Great contribution to social epidemiology!!!!!!"/>
    <s v="UCeYXFIY3f424KXx5J_OszkQ"/>
    <s v="Alejandro Rodríguez"/>
    <s v="http://www.youtube.com/channel/UCeYXFIY3f424KXx5J_OszkQ"/>
    <m/>
    <s v="wadBvDPeE4E"/>
    <s v="https://www.youtube.com/watch?v=wadBvDPeE4E"/>
    <s v="none"/>
    <n v="1"/>
    <x v="327"/>
    <d v="2013-06-27T18:20:48.000"/>
    <m/>
    <m/>
    <s v=""/>
    <n v="2"/>
    <s v="1"/>
    <s v="1"/>
    <n v="2"/>
    <n v="40"/>
    <n v="0"/>
    <n v="0"/>
    <n v="0"/>
    <n v="0"/>
    <n v="3"/>
    <n v="60"/>
    <n v="5"/>
  </r>
  <r>
    <s v="UCeYXFIY3f424KXx5J_OszkQ"/>
    <s v="UCvQECJukTDE2i6aCoMnS-Vg"/>
    <m/>
    <m/>
    <m/>
    <m/>
    <m/>
    <m/>
    <m/>
    <m/>
    <s v="No"/>
    <n v="332"/>
    <m/>
    <m/>
    <s v="Commented Video"/>
    <x v="0"/>
    <s v="Great contribution to social epidemiology"/>
    <s v="UCeYXFIY3f424KXx5J_OszkQ"/>
    <s v="Alejandro Rodríguez"/>
    <s v="http://www.youtube.com/channel/UCeYXFIY3f424KXx5J_OszkQ"/>
    <m/>
    <s v="wadBvDPeE4E"/>
    <s v="https://www.youtube.com/watch?v=wadBvDPeE4E"/>
    <s v="none"/>
    <n v="0"/>
    <x v="328"/>
    <d v="2013-06-27T18:24:40.000"/>
    <m/>
    <m/>
    <s v=""/>
    <n v="2"/>
    <s v="1"/>
    <s v="1"/>
    <n v="2"/>
    <n v="40"/>
    <n v="0"/>
    <n v="0"/>
    <n v="0"/>
    <n v="0"/>
    <n v="3"/>
    <n v="60"/>
    <n v="5"/>
  </r>
  <r>
    <s v="UCVD0gtk2H7PcYbozAJpDAHg"/>
    <s v="UCvQECJukTDE2i6aCoMnS-Vg"/>
    <m/>
    <m/>
    <m/>
    <m/>
    <m/>
    <m/>
    <m/>
    <m/>
    <s v="No"/>
    <n v="333"/>
    <m/>
    <m/>
    <s v="Commented Video"/>
    <x v="0"/>
    <s v="interesting. cant believe i just watched this at 2am"/>
    <s v="UCVD0gtk2H7PcYbozAJpDAHg"/>
    <s v="Candice Jones"/>
    <s v="http://www.youtube.com/channel/UCVD0gtk2H7PcYbozAJpDAHg"/>
    <m/>
    <s v="wadBvDPeE4E"/>
    <s v="https://www.youtube.com/watch?v=wadBvDPeE4E"/>
    <s v="none"/>
    <n v="0"/>
    <x v="329"/>
    <d v="2013-06-28T08:43:37.000"/>
    <m/>
    <m/>
    <s v=""/>
    <n v="1"/>
    <s v="1"/>
    <s v="1"/>
    <n v="1"/>
    <n v="11.11111111111111"/>
    <n v="0"/>
    <n v="0"/>
    <n v="0"/>
    <n v="0"/>
    <n v="8"/>
    <n v="88.88888888888889"/>
    <n v="9"/>
  </r>
  <r>
    <s v="UCLYHDnqlP4sQ1XVmp6ell4A"/>
    <s v="UCvQECJukTDE2i6aCoMnS-Vg"/>
    <m/>
    <m/>
    <m/>
    <m/>
    <m/>
    <m/>
    <m/>
    <m/>
    <s v="No"/>
    <n v="334"/>
    <m/>
    <m/>
    <s v="Commented Video"/>
    <x v="0"/>
    <s v="You guys should check out this EXTRAORDINARY website called FIREPA.COM . You can make money online and start working from home today as I am!_x000a__x000a_I am making over $3,000+ per month at FIREPA.COM !_x000a__x000a_Visit Firepa.com and check it out!_x000a_The measure arranges the fire._x000a_The coal depicts the linen._x000a_When does the servant track the rambunctious sand?"/>
    <s v="UCLYHDnqlP4sQ1XVmp6ell4A"/>
    <s v="David Davis"/>
    <s v="http://www.youtube.com/channel/UCLYHDnqlP4sQ1XVmp6ell4A"/>
    <m/>
    <s v="wadBvDPeE4E"/>
    <s v="https://www.youtube.com/watch?v=wadBvDPeE4E"/>
    <s v="none"/>
    <n v="0"/>
    <x v="330"/>
    <d v="2013-06-29T08:44:11.000"/>
    <m/>
    <m/>
    <s v=""/>
    <n v="1"/>
    <s v="1"/>
    <s v="1"/>
    <n v="1"/>
    <n v="1.639344262295082"/>
    <n v="0"/>
    <n v="0"/>
    <n v="0"/>
    <n v="0"/>
    <n v="60"/>
    <n v="98.36065573770492"/>
    <n v="61"/>
  </r>
  <r>
    <s v="UCPpNHokuxcOFI889ejzZP9Q"/>
    <s v="UCvQECJukTDE2i6aCoMnS-Vg"/>
    <m/>
    <m/>
    <m/>
    <m/>
    <m/>
    <m/>
    <m/>
    <m/>
    <s v="No"/>
    <n v="335"/>
    <m/>
    <m/>
    <s v="Commented Video"/>
    <x v="0"/>
    <s v="I was studying mandarin chinese logic and they always think from large to small. Is there anybody out there who&amp;#39;s interested in starting a humanitarian organization which would include sub types such as fraternal and sororities?"/>
    <s v="UCPpNHokuxcOFI889ejzZP9Q"/>
    <s v="Darrin Baker"/>
    <s v="http://www.youtube.com/channel/UCPpNHokuxcOFI889ejzZP9Q"/>
    <m/>
    <s v="wadBvDPeE4E"/>
    <s v="https://www.youtube.com/watch?v=wadBvDPeE4E"/>
    <s v="none"/>
    <n v="0"/>
    <x v="331"/>
    <d v="2013-07-17T03:48:19.000"/>
    <m/>
    <m/>
    <s v=""/>
    <n v="1"/>
    <s v="1"/>
    <s v="1"/>
    <n v="0"/>
    <n v="0"/>
    <n v="0"/>
    <n v="0"/>
    <n v="0"/>
    <n v="0"/>
    <n v="38"/>
    <n v="100"/>
    <n v="38"/>
  </r>
  <r>
    <s v="UCIEcQot6zMPpyZWd8R0DsGw"/>
    <s v="UCvQECJukTDE2i6aCoMnS-Vg"/>
    <m/>
    <m/>
    <m/>
    <m/>
    <m/>
    <m/>
    <m/>
    <m/>
    <s v="No"/>
    <n v="336"/>
    <m/>
    <m/>
    <s v="Commented Video"/>
    <x v="0"/>
    <s v="Im watching it at 5am"/>
    <s v="UCIEcQot6zMPpyZWd8R0DsGw"/>
    <s v="Jonas Kiste"/>
    <s v="http://www.youtube.com/channel/UCIEcQot6zMPpyZWd8R0DsGw"/>
    <m/>
    <s v="wadBvDPeE4E"/>
    <s v="https://www.youtube.com/watch?v=wadBvDPeE4E"/>
    <s v="none"/>
    <n v="0"/>
    <x v="332"/>
    <d v="2013-07-22T05:04:15.000"/>
    <m/>
    <m/>
    <s v=""/>
    <n v="1"/>
    <s v="1"/>
    <s v="1"/>
    <n v="0"/>
    <n v="0"/>
    <n v="0"/>
    <n v="0"/>
    <n v="0"/>
    <n v="0"/>
    <n v="5"/>
    <n v="100"/>
    <n v="5"/>
  </r>
  <r>
    <s v="UCk4Ep98cdVliOfGysRgPSwQ"/>
    <s v="UCvQECJukTDE2i6aCoMnS-Vg"/>
    <m/>
    <m/>
    <m/>
    <m/>
    <m/>
    <m/>
    <m/>
    <m/>
    <s v="No"/>
    <n v="337"/>
    <m/>
    <m/>
    <s v="Commented Video"/>
    <x v="0"/>
    <s v="White people have the best countries, why would anyone want to go anywhere else but a white country"/>
    <s v="UCk4Ep98cdVliOfGysRgPSwQ"/>
    <s v="Squirrelterritory"/>
    <s v="http://www.youtube.com/channel/UCk4Ep98cdVliOfGysRgPSwQ"/>
    <m/>
    <s v="wadBvDPeE4E"/>
    <s v="https://www.youtube.com/watch?v=wadBvDPeE4E"/>
    <s v="none"/>
    <n v="0"/>
    <x v="333"/>
    <d v="2013-09-06T08:18:37.000"/>
    <m/>
    <m/>
    <s v=""/>
    <n v="3"/>
    <s v="1"/>
    <s v="1"/>
    <n v="1"/>
    <n v="5.555555555555555"/>
    <n v="0"/>
    <n v="0"/>
    <n v="0"/>
    <n v="0"/>
    <n v="17"/>
    <n v="94.44444444444444"/>
    <n v="18"/>
  </r>
  <r>
    <s v="UCk4Ep98cdVliOfGysRgPSwQ"/>
    <s v="UCvQECJukTDE2i6aCoMnS-Vg"/>
    <m/>
    <m/>
    <m/>
    <m/>
    <m/>
    <m/>
    <m/>
    <m/>
    <s v="No"/>
    <n v="338"/>
    <m/>
    <m/>
    <s v="Commented Video"/>
    <x v="0"/>
    <s v="r u quoting Euclid?"/>
    <s v="UCk4Ep98cdVliOfGysRgPSwQ"/>
    <s v="Squirrelterritory"/>
    <s v="http://www.youtube.com/channel/UCk4Ep98cdVliOfGysRgPSwQ"/>
    <m/>
    <s v="wadBvDPeE4E"/>
    <s v="https://www.youtube.com/watch?v=wadBvDPeE4E"/>
    <s v="none"/>
    <n v="0"/>
    <x v="334"/>
    <d v="2013-09-06T08:18:58.000"/>
    <m/>
    <m/>
    <s v=""/>
    <n v="3"/>
    <s v="1"/>
    <s v="1"/>
    <n v="0"/>
    <n v="0"/>
    <n v="0"/>
    <n v="0"/>
    <n v="0"/>
    <n v="0"/>
    <n v="4"/>
    <n v="100"/>
    <n v="4"/>
  </r>
  <r>
    <s v="UCk4Ep98cdVliOfGysRgPSwQ"/>
    <s v="UCvQECJukTDE2i6aCoMnS-Vg"/>
    <m/>
    <m/>
    <m/>
    <m/>
    <m/>
    <m/>
    <m/>
    <m/>
    <s v="No"/>
    <n v="339"/>
    <m/>
    <m/>
    <s v="Commented Video"/>
    <x v="0"/>
    <s v="Im not sure what you are trying to say_x000a_1. anti- whites don&amp;#39;t make what open up_x000a_2. what do you mean by open up_x000a_3. I don&amp;#39;t think anyone wants to turn any countries non-white, nobody gives a shit if there black or white"/>
    <s v="UCk4Ep98cdVliOfGysRgPSwQ"/>
    <s v="Squirrelterritory"/>
    <s v="http://www.youtube.com/channel/UCk4Ep98cdVliOfGysRgPSwQ"/>
    <m/>
    <s v="wadBvDPeE4E"/>
    <s v="https://www.youtube.com/watch?v=wadBvDPeE4E"/>
    <s v="none"/>
    <n v="0"/>
    <x v="335"/>
    <d v="2013-09-08T08:22:37.000"/>
    <m/>
    <m/>
    <s v=""/>
    <n v="3"/>
    <s v="1"/>
    <s v="1"/>
    <n v="0"/>
    <n v="0"/>
    <n v="1"/>
    <n v="2"/>
    <n v="0"/>
    <n v="0"/>
    <n v="49"/>
    <n v="98"/>
    <n v="50"/>
  </r>
  <r>
    <s v="UCj3Ml9Ywavk4klELkaNSwNQ"/>
    <s v="UCvQECJukTDE2i6aCoMnS-Vg"/>
    <m/>
    <m/>
    <m/>
    <m/>
    <m/>
    <m/>
    <m/>
    <m/>
    <s v="No"/>
    <n v="340"/>
    <m/>
    <m/>
    <s v="Commented Video"/>
    <x v="0"/>
    <s v="&amp;gt;&amp;gt;&amp;gt;&amp;gt;&amp;gt;THIS BROUGHT IN $710,000 IN 28 DAYS!&amp;lt;&amp;lt;&amp;lt;&amp;lt;&amp;lt;_x000a__x000a_MONEY.CASHCOWCLOUD. COM"/>
    <s v="UCj3Ml9Ywavk4klELkaNSwNQ"/>
    <s v="Brian Uribe"/>
    <s v="http://www.youtube.com/channel/UCj3Ml9Ywavk4klELkaNSwNQ"/>
    <m/>
    <s v="wadBvDPeE4E"/>
    <s v="https://www.youtube.com/watch?v=wadBvDPeE4E"/>
    <s v="none"/>
    <n v="0"/>
    <x v="336"/>
    <d v="2013-09-19T01:36:00.000"/>
    <m/>
    <m/>
    <s v=""/>
    <n v="1"/>
    <s v="1"/>
    <s v="1"/>
    <n v="0"/>
    <n v="0"/>
    <n v="0"/>
    <n v="0"/>
    <n v="0"/>
    <n v="0"/>
    <n v="21"/>
    <n v="100"/>
    <n v="21"/>
  </r>
  <r>
    <s v="UCJhSuAlQel_lEPlrQTKqqUw"/>
    <s v="UCvQECJukTDE2i6aCoMnS-Vg"/>
    <m/>
    <m/>
    <m/>
    <m/>
    <m/>
    <m/>
    <m/>
    <m/>
    <s v="No"/>
    <n v="341"/>
    <m/>
    <m/>
    <s v="Commented Video"/>
    <x v="0"/>
    <s v="the whole is more than the sum of its parts. _x000a_I don&amp;#39;t like this quote. _x000a__x000a_let s say you are a normal person, which means in our society that you are slightly overweight. if you could ( in theory ) remove the fat to a big part, you would have the same person, who can do exactly the same things, and you have a huge chunk of energy in form of the fat. _x000a__x000a_the quote: the whole is more than the sum of its parts is never right. but if the parts are not in perfect order for the designed purpose it s wrong"/>
    <s v="UCJhSuAlQel_lEPlrQTKqqUw"/>
    <s v="MBHerbig"/>
    <s v="http://www.youtube.com/channel/UCJhSuAlQel_lEPlrQTKqqUw"/>
    <m/>
    <s v="wadBvDPeE4E"/>
    <s v="https://www.youtube.com/watch?v=wadBvDPeE4E"/>
    <s v="none"/>
    <n v="0"/>
    <x v="337"/>
    <d v="2013-07-27T00:28:10.000"/>
    <m/>
    <m/>
    <s v=""/>
    <n v="2"/>
    <s v="1"/>
    <s v="1"/>
    <n v="3"/>
    <n v="2.8846153846153846"/>
    <n v="4"/>
    <n v="3.8461538461538463"/>
    <n v="0"/>
    <n v="0"/>
    <n v="97"/>
    <n v="93.26923076923077"/>
    <n v="104"/>
  </r>
  <r>
    <s v="UCJhSuAlQel_lEPlrQTKqqUw"/>
    <s v="UCvQECJukTDE2i6aCoMnS-Vg"/>
    <m/>
    <m/>
    <m/>
    <m/>
    <m/>
    <m/>
    <m/>
    <m/>
    <s v="No"/>
    <n v="342"/>
    <m/>
    <m/>
    <s v="Commented Video"/>
    <x v="0"/>
    <s v="no i was saying what i thought about this quote......._x000a__x000a_if euclid thinks the same than i understand how he comes to that conclusion :)"/>
    <s v="UCJhSuAlQel_lEPlrQTKqqUw"/>
    <s v="MBHerbig"/>
    <s v="http://www.youtube.com/channel/UCJhSuAlQel_lEPlrQTKqqUw"/>
    <m/>
    <s v="wadBvDPeE4E"/>
    <s v="https://www.youtube.com/watch?v=wadBvDPeE4E"/>
    <s v="none"/>
    <n v="0"/>
    <x v="338"/>
    <d v="2013-09-20T11:06:33.000"/>
    <m/>
    <m/>
    <s v=""/>
    <n v="2"/>
    <s v="1"/>
    <s v="1"/>
    <n v="0"/>
    <n v="0"/>
    <n v="0"/>
    <n v="0"/>
    <n v="0"/>
    <n v="0"/>
    <n v="24"/>
    <n v="100"/>
    <n v="24"/>
  </r>
  <r>
    <s v="UCWw2QzixcpAuJahFqloXrLw"/>
    <s v="UCvQECJukTDE2i6aCoMnS-Vg"/>
    <m/>
    <m/>
    <m/>
    <m/>
    <m/>
    <m/>
    <m/>
    <m/>
    <s v="No"/>
    <n v="343"/>
    <m/>
    <m/>
    <s v="Commented Video"/>
    <x v="0"/>
    <s v="Italian politics"/>
    <s v="UCWw2QzixcpAuJahFqloXrLw"/>
    <s v="s.h."/>
    <s v="http://www.youtube.com/channel/UCWw2QzixcpAuJahFqloXrLw"/>
    <m/>
    <s v="wadBvDPeE4E"/>
    <s v="https://www.youtube.com/watch?v=wadBvDPeE4E"/>
    <s v="none"/>
    <n v="0"/>
    <x v="339"/>
    <d v="2013-10-04T09:29:45.000"/>
    <m/>
    <m/>
    <s v=""/>
    <n v="1"/>
    <s v="1"/>
    <s v="1"/>
    <n v="0"/>
    <n v="0"/>
    <n v="0"/>
    <n v="0"/>
    <n v="0"/>
    <n v="0"/>
    <n v="2"/>
    <n v="100"/>
    <n v="2"/>
  </r>
  <r>
    <s v="UCGedQb2X6hmEK4B_nKBel6Q"/>
    <s v="UCvQECJukTDE2i6aCoMnS-Vg"/>
    <m/>
    <m/>
    <m/>
    <m/>
    <m/>
    <m/>
    <m/>
    <m/>
    <s v="No"/>
    <n v="344"/>
    <m/>
    <m/>
    <s v="Commented Video"/>
    <x v="0"/>
    <s v="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   "/>
    <s v="UCGedQb2X6hmEK4B_nKBel6Q"/>
    <s v="Martin Janjić"/>
    <s v="http://www.youtube.com/channel/UCGedQb2X6hmEK4B_nKBel6Q"/>
    <m/>
    <s v="wadBvDPeE4E"/>
    <s v="https://www.youtube.com/watch?v=wadBvDPeE4E"/>
    <s v="none"/>
    <n v="0"/>
    <x v="340"/>
    <d v="2013-10-08T00:05:47.000"/>
    <m/>
    <m/>
    <s v=""/>
    <n v="1"/>
    <s v="1"/>
    <s v="1"/>
    <n v="1"/>
    <n v="1.6666666666666667"/>
    <n v="0"/>
    <n v="0"/>
    <n v="0"/>
    <n v="0"/>
    <n v="59"/>
    <n v="98.33333333333333"/>
    <n v="60"/>
  </r>
  <r>
    <s v="UCvctyDTqnJxUfRl6rLWF2bw"/>
    <s v="UCvQECJukTDE2i6aCoMnS-Vg"/>
    <m/>
    <m/>
    <m/>
    <m/>
    <m/>
    <m/>
    <m/>
    <m/>
    <s v="No"/>
    <n v="345"/>
    <m/>
    <m/>
    <s v="Commented Video"/>
    <x v="0"/>
    <s v="That isnt begging the question. "/>
    <s v="UCvctyDTqnJxUfRl6rLWF2bw"/>
    <s v="Patrick Hamilton"/>
    <s v="http://www.youtube.com/channel/UCvctyDTqnJxUfRl6rLWF2bw"/>
    <m/>
    <s v="wadBvDPeE4E"/>
    <s v="https://www.youtube.com/watch?v=wadBvDPeE4E"/>
    <s v="none"/>
    <n v="0"/>
    <x v="341"/>
    <d v="2013-10-25T00:35:15.000"/>
    <m/>
    <m/>
    <s v=""/>
    <n v="1"/>
    <s v="1"/>
    <s v="1"/>
    <n v="0"/>
    <n v="0"/>
    <n v="1"/>
    <n v="20"/>
    <n v="0"/>
    <n v="0"/>
    <n v="4"/>
    <n v="80"/>
    <n v="5"/>
  </r>
  <r>
    <s v="UC12qGozVuHCA3cTUh-jf4qA"/>
    <s v="UCvQECJukTDE2i6aCoMnS-Vg"/>
    <m/>
    <m/>
    <m/>
    <m/>
    <m/>
    <m/>
    <m/>
    <m/>
    <s v="No"/>
    <n v="346"/>
    <m/>
    <m/>
    <s v="Commented Video"/>
    <x v="0"/>
    <s v="I thought this was amazing."/>
    <s v="UC12qGozVuHCA3cTUh-jf4qA"/>
    <s v="Sandy Storey"/>
    <s v="http://www.youtube.com/channel/UC12qGozVuHCA3cTUh-jf4qA"/>
    <m/>
    <s v="wadBvDPeE4E"/>
    <s v="https://www.youtube.com/watch?v=wadBvDPeE4E"/>
    <s v="none"/>
    <n v="0"/>
    <x v="342"/>
    <d v="2013-10-25T23:18:34.000"/>
    <m/>
    <m/>
    <s v=""/>
    <n v="1"/>
    <s v="1"/>
    <s v="1"/>
    <n v="1"/>
    <n v="20"/>
    <n v="0"/>
    <n v="0"/>
    <n v="0"/>
    <n v="0"/>
    <n v="4"/>
    <n v="80"/>
    <n v="5"/>
  </r>
  <r>
    <s v="UCaOr_H-LZlYSDiozzVQ1HIA"/>
    <s v="UCvQECJukTDE2i6aCoMnS-Vg"/>
    <m/>
    <m/>
    <m/>
    <m/>
    <m/>
    <m/>
    <m/>
    <m/>
    <s v="No"/>
    <n v="347"/>
    <m/>
    <m/>
    <s v="Commented Video"/>
    <x v="0"/>
    <s v="interesting video _x000a_"/>
    <s v="UCaOr_H-LZlYSDiozzVQ1HIA"/>
    <s v="Dave Fischer"/>
    <s v="http://www.youtube.com/channel/UCaOr_H-LZlYSDiozzVQ1HIA"/>
    <m/>
    <s v="wadBvDPeE4E"/>
    <s v="https://www.youtube.com/watch?v=wadBvDPeE4E"/>
    <s v="none"/>
    <n v="0"/>
    <x v="343"/>
    <d v="2013-10-28T16:58:18.000"/>
    <m/>
    <m/>
    <s v=""/>
    <n v="1"/>
    <s v="1"/>
    <s v="1"/>
    <n v="1"/>
    <n v="50"/>
    <n v="0"/>
    <n v="0"/>
    <n v="0"/>
    <n v="0"/>
    <n v="1"/>
    <n v="50"/>
    <n v="2"/>
  </r>
  <r>
    <s v="UCPCZL8M-h_foWBGTE802AGg"/>
    <s v="UCvQECJukTDE2i6aCoMnS-Vg"/>
    <m/>
    <m/>
    <m/>
    <m/>
    <m/>
    <m/>
    <m/>
    <m/>
    <s v="No"/>
    <n v="348"/>
    <m/>
    <m/>
    <s v="Commented Video"/>
    <x v="0"/>
    <s v="This guy certainly never took a geography lesson. I was also a little disappointed that he didn&amp;#39;t mention Elias or go on to talk perhaps more about exclusion "/>
    <s v="UCPCZL8M-h_foWBGTE802AGg"/>
    <s v="Tabatha Clapham"/>
    <s v="http://www.youtube.com/channel/UCPCZL8M-h_foWBGTE802AGg"/>
    <m/>
    <s v="wadBvDPeE4E"/>
    <s v="https://www.youtube.com/watch?v=wadBvDPeE4E"/>
    <s v="none"/>
    <n v="0"/>
    <x v="344"/>
    <d v="2013-10-30T02:42:48.000"/>
    <m/>
    <m/>
    <s v=""/>
    <n v="1"/>
    <s v="1"/>
    <s v="1"/>
    <n v="0"/>
    <n v="0"/>
    <n v="2"/>
    <n v="6.666666666666667"/>
    <n v="0"/>
    <n v="0"/>
    <n v="28"/>
    <n v="93.33333333333333"/>
    <n v="30"/>
  </r>
  <r>
    <s v="UC3MPNU4xEyWjYZG47zrq27Q"/>
    <s v="UCvQECJukTDE2i6aCoMnS-Vg"/>
    <m/>
    <m/>
    <m/>
    <m/>
    <m/>
    <m/>
    <m/>
    <m/>
    <s v="No"/>
    <n v="349"/>
    <m/>
    <m/>
    <s v="Commented Video"/>
    <x v="0"/>
    <s v="He just cut to the chase."/>
    <s v="UC3MPNU4xEyWjYZG47zrq27Q"/>
    <s v="Xavi Alvarez"/>
    <s v="http://www.youtube.com/channel/UC3MPNU4xEyWjYZG47zrq27Q"/>
    <m/>
    <s v="wadBvDPeE4E"/>
    <s v="https://www.youtube.com/watch?v=wadBvDPeE4E"/>
    <s v="none"/>
    <n v="0"/>
    <x v="345"/>
    <d v="2013-11-02T01:19:19.000"/>
    <m/>
    <m/>
    <s v=""/>
    <n v="1"/>
    <s v="1"/>
    <s v="1"/>
    <n v="0"/>
    <n v="0"/>
    <n v="0"/>
    <n v="0"/>
    <n v="0"/>
    <n v="0"/>
    <n v="6"/>
    <n v="100"/>
    <n v="6"/>
  </r>
  <r>
    <s v="UCv4sWFVMoj-lIuAx_kN2W3w"/>
    <s v="UCvQECJukTDE2i6aCoMnS-Vg"/>
    <m/>
    <m/>
    <m/>
    <m/>
    <m/>
    <m/>
    <m/>
    <m/>
    <s v="No"/>
    <n v="350"/>
    <m/>
    <m/>
    <s v="Commented Video"/>
    <x v="0"/>
    <s v="09:14 dark but I laughed. "/>
    <s v="UCv4sWFVMoj-lIuAx_kN2W3w"/>
    <s v="Kyle Axl"/>
    <s v="http://www.youtube.com/channel/UCv4sWFVMoj-lIuAx_kN2W3w"/>
    <m/>
    <s v="wadBvDPeE4E"/>
    <s v="https://www.youtube.com/watch?v=wadBvDPeE4E"/>
    <s v="none"/>
    <n v="1"/>
    <x v="346"/>
    <d v="2014-01-03T23:36:52.000"/>
    <m/>
    <m/>
    <s v=""/>
    <n v="1"/>
    <s v="1"/>
    <s v="1"/>
    <n v="0"/>
    <n v="0"/>
    <n v="1"/>
    <n v="16.666666666666668"/>
    <n v="0"/>
    <n v="0"/>
    <n v="5"/>
    <n v="83.33333333333333"/>
    <n v="6"/>
  </r>
  <r>
    <s v="UCVmYtYtQ_4jCFBZ0FlRti_A"/>
    <s v="UCvQECJukTDE2i6aCoMnS-Vg"/>
    <m/>
    <m/>
    <m/>
    <m/>
    <m/>
    <m/>
    <m/>
    <m/>
    <s v="No"/>
    <n v="351"/>
    <m/>
    <m/>
    <s v="Commented Video"/>
    <x v="0"/>
    <s v="This was great, sheds light on the importance of Sociology going into the 21st century and how it will be important for matters of governance, commerce and more. Thank you Mr.Christakis!"/>
    <s v="UCVmYtYtQ_4jCFBZ0FlRti_A"/>
    <s v="Christian Teo"/>
    <s v="http://www.youtube.com/channel/UCVmYtYtQ_4jCFBZ0FlRti_A"/>
    <m/>
    <s v="wadBvDPeE4E"/>
    <s v="https://www.youtube.com/watch?v=wadBvDPeE4E"/>
    <s v="none"/>
    <n v="0"/>
    <x v="347"/>
    <d v="2014-02-01T14:44:43.000"/>
    <m/>
    <m/>
    <s v=""/>
    <n v="1"/>
    <s v="1"/>
    <s v="1"/>
    <n v="3"/>
    <n v="9.375"/>
    <n v="0"/>
    <n v="0"/>
    <n v="0"/>
    <n v="0"/>
    <n v="29"/>
    <n v="90.625"/>
    <n v="32"/>
  </r>
  <r>
    <s v="UCbn031xMt0D4fYqcgOvcJhQ"/>
    <s v="UCvQECJukTDE2i6aCoMnS-Vg"/>
    <m/>
    <m/>
    <m/>
    <m/>
    <m/>
    <m/>
    <m/>
    <m/>
    <s v="No"/>
    <n v="352"/>
    <m/>
    <m/>
    <s v="Commented Video"/>
    <x v="0"/>
    <s v="@&lt;a href=&quot;http://www.youtube.com/watch?v=wadBvDPeE4E&amp;amp;t=33m00s&quot;&gt;33:00&lt;/a&gt; if a juicy piece of gossip was circulating... C pft i would rather be A and not hear it at all "/>
    <s v="UCbn031xMt0D4fYqcgOvcJhQ"/>
    <s v="Typho0n"/>
    <s v="http://www.youtube.com/channel/UCbn031xMt0D4fYqcgOvcJhQ"/>
    <m/>
    <s v="wadBvDPeE4E"/>
    <s v="https://www.youtube.com/watch?v=wadBvDPeE4E"/>
    <s v="none"/>
    <n v="0"/>
    <x v="348"/>
    <d v="2014-02-08T06:32:46.000"/>
    <s v=" http://www.youtube.com/watch?v=wadBvDPeE4E&amp;amp;t=33m00s"/>
    <s v="youtube.com"/>
    <s v=""/>
    <n v="1"/>
    <s v="1"/>
    <s v="1"/>
    <n v="0"/>
    <n v="0"/>
    <n v="1"/>
    <n v="2.7777777777777777"/>
    <n v="0"/>
    <n v="0"/>
    <n v="35"/>
    <n v="97.22222222222223"/>
    <n v="36"/>
  </r>
  <r>
    <s v="UC6nw5WxAUuhh1Cb45G0_k6A"/>
    <s v="UCBw-qDr64vSqguezFJKPORQ"/>
    <m/>
    <m/>
    <m/>
    <m/>
    <m/>
    <m/>
    <m/>
    <m/>
    <s v="No"/>
    <n v="353"/>
    <m/>
    <m/>
    <s v="Replied Comment"/>
    <x v="1"/>
    <s v="Pretty much. Sociology isn&amp;#39;t really hard to understand,  but it&amp;#39;s then social science that is the most fascinating."/>
    <s v="UC6nw5WxAUuhh1Cb45G0_k6A"/>
    <s v="LandInbetween"/>
    <s v="http://www.youtube.com/channel/UC6nw5WxAUuhh1Cb45G0_k6A"/>
    <s v="UghJwiWTiXqfEXgCoAEC"/>
    <s v="wadBvDPeE4E"/>
    <s v="https://www.youtube.com/watch?v=wadBvDPeE4E"/>
    <s v="none"/>
    <n v="0"/>
    <x v="349"/>
    <d v="2015-11-12T03:44:14.000"/>
    <m/>
    <m/>
    <s v=""/>
    <n v="1"/>
    <s v="2"/>
    <s v="2"/>
    <n v="2"/>
    <n v="9.090909090909092"/>
    <n v="1"/>
    <n v="4.545454545454546"/>
    <n v="0"/>
    <n v="0"/>
    <n v="19"/>
    <n v="86.36363636363636"/>
    <n v="22"/>
  </r>
  <r>
    <s v="UCwkEMAb2hKoyywsozegFGMQ"/>
    <s v="UCBw-qDr64vSqguezFJKPORQ"/>
    <m/>
    <m/>
    <m/>
    <m/>
    <m/>
    <m/>
    <m/>
    <m/>
    <s v="No"/>
    <n v="354"/>
    <m/>
    <m/>
    <s v="Replied Comment"/>
    <x v="1"/>
    <s v="True, but I could not put this all together in such an organized fashion. I like seeing the patterns he discussed."/>
    <s v="UCwkEMAb2hKoyywsozegFGMQ"/>
    <s v="BoZmD"/>
    <s v="http://www.youtube.com/channel/UCwkEMAb2hKoyywsozegFGMQ"/>
    <s v="UghJwiWTiXqfEXgCoAEC"/>
    <s v="wadBvDPeE4E"/>
    <s v="https://www.youtube.com/watch?v=wadBvDPeE4E"/>
    <s v="none"/>
    <n v="0"/>
    <x v="350"/>
    <d v="2018-08-13T15:41:31.000"/>
    <m/>
    <m/>
    <s v=""/>
    <n v="1"/>
    <s v="2"/>
    <s v="2"/>
    <n v="1"/>
    <n v="4.761904761904762"/>
    <n v="0"/>
    <n v="0"/>
    <n v="0"/>
    <n v="0"/>
    <n v="20"/>
    <n v="95.23809523809524"/>
    <n v="21"/>
  </r>
  <r>
    <s v="UCBw-qDr64vSqguezFJKPORQ"/>
    <s v="UCvQECJukTDE2i6aCoMnS-Vg"/>
    <m/>
    <m/>
    <m/>
    <m/>
    <m/>
    <m/>
    <m/>
    <m/>
    <s v="No"/>
    <n v="355"/>
    <m/>
    <m/>
    <s v="Commented Video"/>
    <x v="0"/>
    <s v="Watched the whole video. This man seems smart and I don&amp;#39;t mean to discredit him, but I feel as though 3/4 of the information was common knowledge presented with fancy scientific titles. "/>
    <s v="UCBw-qDr64vSqguezFJKPORQ"/>
    <s v="beseeingyou6"/>
    <s v="http://www.youtube.com/channel/UCBw-qDr64vSqguezFJKPORQ"/>
    <m/>
    <s v="wadBvDPeE4E"/>
    <s v="https://www.youtube.com/watch?v=wadBvDPeE4E"/>
    <s v="none"/>
    <n v="0"/>
    <x v="351"/>
    <d v="2014-03-05T20:26:25.000"/>
    <m/>
    <m/>
    <s v=""/>
    <n v="1"/>
    <s v="2"/>
    <s v="1"/>
    <n v="2"/>
    <n v="5.714285714285714"/>
    <n v="1"/>
    <n v="2.857142857142857"/>
    <n v="0"/>
    <n v="0"/>
    <n v="32"/>
    <n v="91.42857142857143"/>
    <n v="35"/>
  </r>
  <r>
    <s v="UCpS3hbN61-1NW7Ey_ZclMGA"/>
    <s v="UCLTrGhNFCcd-bxGMfo82ldA"/>
    <m/>
    <m/>
    <m/>
    <m/>
    <m/>
    <m/>
    <m/>
    <m/>
    <s v="No"/>
    <n v="356"/>
    <m/>
    <m/>
    <s v="Replied Comment"/>
    <x v="1"/>
    <s v="1880^(3.14159)-1935(e^ln(2sin3.14159)) = 75&lt;br&gt;The math to determine age is more complex than one might think."/>
    <s v="UCpS3hbN61-1NW7Ey_ZclMGA"/>
    <s v="asordid reality"/>
    <s v="http://www.youtube.com/channel/UCpS3hbN61-1NW7Ey_ZclMGA"/>
    <s v="Ugg5l0bgv4FJ1ngCoAEC"/>
    <s v="wadBvDPeE4E"/>
    <s v="https://www.youtube.com/watch?v=wadBvDPeE4E"/>
    <s v="none"/>
    <n v="0"/>
    <x v="352"/>
    <d v="2014-03-27T01:14:28.000"/>
    <m/>
    <m/>
    <s v=""/>
    <n v="1"/>
    <s v="12"/>
    <s v="12"/>
    <n v="0"/>
    <n v="0"/>
    <n v="1"/>
    <n v="4.545454545454546"/>
    <n v="0"/>
    <n v="0"/>
    <n v="21"/>
    <n v="95.45454545454545"/>
    <n v="22"/>
  </r>
  <r>
    <s v="UCLTrGhNFCcd-bxGMfo82ldA"/>
    <s v="UCvQECJukTDE2i6aCoMnS-Vg"/>
    <m/>
    <m/>
    <m/>
    <m/>
    <m/>
    <m/>
    <m/>
    <m/>
    <s v="No"/>
    <n v="357"/>
    <m/>
    <m/>
    <s v="Commented Video"/>
    <x v="0"/>
    <s v="typo at &lt;a href=&quot;http://www.youtube.com/watch?v=wadBvDPeE4E&amp;amp;t=5m21s&quot;&gt;5:21&lt;/a&gt; says 1880 "/>
    <s v="UCLTrGhNFCcd-bxGMfo82ldA"/>
    <s v="NickosReincarnation"/>
    <s v="http://www.youtube.com/channel/UCLTrGhNFCcd-bxGMfo82ldA"/>
    <m/>
    <s v="wadBvDPeE4E"/>
    <s v="https://www.youtube.com/watch?v=wadBvDPeE4E"/>
    <s v="none"/>
    <n v="1"/>
    <x v="353"/>
    <d v="2014-03-15T02:00:55.000"/>
    <s v=" http://www.youtube.com/watch?v=wadBvDPeE4E&amp;amp;t=5m21s"/>
    <s v="youtube.com"/>
    <s v=""/>
    <n v="1"/>
    <s v="12"/>
    <s v="1"/>
    <n v="0"/>
    <n v="0"/>
    <n v="0"/>
    <n v="0"/>
    <n v="0"/>
    <n v="0"/>
    <n v="19"/>
    <n v="100"/>
    <n v="19"/>
  </r>
  <r>
    <s v="UCpS3hbN61-1NW7Ey_ZclMGA"/>
    <s v="UCO5IoBzpZ2jyd_Iw2GVgnig"/>
    <m/>
    <m/>
    <m/>
    <m/>
    <m/>
    <m/>
    <m/>
    <m/>
    <s v="No"/>
    <n v="358"/>
    <m/>
    <m/>
    <s v="Replied Comment"/>
    <x v="1"/>
    <s v="no. we are all equal, so we should strive to be better in order to thrive."/>
    <s v="UCpS3hbN61-1NW7Ey_ZclMGA"/>
    <s v="asordid reality"/>
    <s v="http://www.youtube.com/channel/UCpS3hbN61-1NW7Ey_ZclMGA"/>
    <s v="Ugi47D45qVhztngCoAEC"/>
    <s v="wadBvDPeE4E"/>
    <s v="https://www.youtube.com/watch?v=wadBvDPeE4E"/>
    <s v="none"/>
    <n v="0"/>
    <x v="354"/>
    <d v="2014-03-27T01:09:25.000"/>
    <m/>
    <m/>
    <s v=""/>
    <n v="2"/>
    <s v="12"/>
    <s v="12"/>
    <n v="2"/>
    <n v="12.5"/>
    <n v="0"/>
    <n v="0"/>
    <n v="0"/>
    <n v="0"/>
    <n v="14"/>
    <n v="87.5"/>
    <n v="16"/>
  </r>
  <r>
    <s v="UCpS3hbN61-1NW7Ey_ZclMGA"/>
    <s v="UCO5IoBzpZ2jyd_Iw2GVgnig"/>
    <m/>
    <m/>
    <m/>
    <m/>
    <m/>
    <m/>
    <m/>
    <m/>
    <s v="No"/>
    <n v="359"/>
    <m/>
    <m/>
    <s v="Replied Comment"/>
    <x v="1"/>
    <s v="@jo br Exactly."/>
    <s v="UCpS3hbN61-1NW7Ey_ZclMGA"/>
    <s v="asordid reality"/>
    <s v="http://www.youtube.com/channel/UCpS3hbN61-1NW7Ey_ZclMGA"/>
    <s v="Ugi47D45qVhztngCoAEC"/>
    <s v="wadBvDPeE4E"/>
    <s v="https://www.youtube.com/watch?v=wadBvDPeE4E"/>
    <s v="none"/>
    <n v="0"/>
    <x v="355"/>
    <d v="2014-03-27T04:14:01.000"/>
    <m/>
    <m/>
    <s v=""/>
    <n v="2"/>
    <s v="12"/>
    <s v="12"/>
    <n v="0"/>
    <n v="0"/>
    <n v="0"/>
    <n v="0"/>
    <n v="0"/>
    <n v="0"/>
    <n v="3"/>
    <n v="100"/>
    <n v="3"/>
  </r>
  <r>
    <s v="UCO5IoBzpZ2jyd_Iw2GVgnig"/>
    <s v="UCO5IoBzpZ2jyd_Iw2GVgnig"/>
    <m/>
    <m/>
    <m/>
    <m/>
    <m/>
    <m/>
    <m/>
    <m/>
    <s v="No"/>
    <n v="360"/>
    <m/>
    <m/>
    <s v="Replied Comment"/>
    <x v="1"/>
    <s v="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
    <s v="UCO5IoBzpZ2jyd_Iw2GVgnig"/>
    <s v="Josh Baer"/>
    <s v="http://www.youtube.com/channel/UCO5IoBzpZ2jyd_Iw2GVgnig"/>
    <s v="Ugi47D45qVhztngCoAEC"/>
    <s v="wadBvDPeE4E"/>
    <s v="https://www.youtube.com/watch?v=wadBvDPeE4E"/>
    <s v="none"/>
    <n v="1"/>
    <x v="356"/>
    <d v="2014-03-27T03:26:08.000"/>
    <m/>
    <m/>
    <s v=""/>
    <n v="1"/>
    <s v="12"/>
    <s v="12"/>
    <n v="9"/>
    <n v="13.636363636363637"/>
    <n v="1"/>
    <n v="1.5151515151515151"/>
    <n v="0"/>
    <n v="0"/>
    <n v="56"/>
    <n v="84.84848484848484"/>
    <n v="66"/>
  </r>
  <r>
    <s v="UCO5IoBzpZ2jyd_Iw2GVgnig"/>
    <s v="UCvQECJukTDE2i6aCoMnS-Vg"/>
    <m/>
    <m/>
    <m/>
    <m/>
    <m/>
    <m/>
    <m/>
    <m/>
    <s v="No"/>
    <n v="361"/>
    <m/>
    <m/>
    <s v="Commented Video"/>
    <x v="0"/>
    <s v="it seams like we all should be equal and not have any aspirations to be better or achieve much in life. gosh now i feel depressed. "/>
    <s v="UCO5IoBzpZ2jyd_Iw2GVgnig"/>
    <s v="Josh Baer"/>
    <s v="http://www.youtube.com/channel/UCO5IoBzpZ2jyd_Iw2GVgnig"/>
    <m/>
    <s v="wadBvDPeE4E"/>
    <s v="https://www.youtube.com/watch?v=wadBvDPeE4E"/>
    <s v="none"/>
    <n v="0"/>
    <x v="357"/>
    <d v="2014-03-19T00:45:21.000"/>
    <m/>
    <m/>
    <s v=""/>
    <n v="1"/>
    <s v="12"/>
    <s v="1"/>
    <n v="3"/>
    <n v="11.538461538461538"/>
    <n v="1"/>
    <n v="3.8461538461538463"/>
    <n v="0"/>
    <n v="0"/>
    <n v="22"/>
    <n v="84.61538461538461"/>
    <n v="26"/>
  </r>
  <r>
    <s v="UCupd9jNzWenTOu81RsEgcsQ"/>
    <s v="UCvQECJukTDE2i6aCoMnS-Vg"/>
    <m/>
    <m/>
    <m/>
    <m/>
    <m/>
    <m/>
    <m/>
    <m/>
    <s v="No"/>
    <n v="362"/>
    <m/>
    <m/>
    <s v="Commented Video"/>
    <x v="0"/>
    <s v="Корисне відео про соціологію якою її бачать закордоном !!!"/>
    <s v="UCupd9jNzWenTOu81RsEgcsQ"/>
    <s v="Алексей Дьяченко"/>
    <s v="http://www.youtube.com/channel/UCupd9jNzWenTOu81RsEgcsQ"/>
    <m/>
    <s v="wadBvDPeE4E"/>
    <s v="https://www.youtube.com/watch?v=wadBvDPeE4E"/>
    <s v="none"/>
    <n v="0"/>
    <x v="358"/>
    <d v="2014-03-29T08:10:19.000"/>
    <m/>
    <m/>
    <s v=""/>
    <n v="1"/>
    <s v="1"/>
    <s v="1"/>
    <n v="0"/>
    <n v="0"/>
    <n v="0"/>
    <n v="0"/>
    <n v="0"/>
    <n v="0"/>
    <n v="8"/>
    <n v="100"/>
    <n v="8"/>
  </r>
  <r>
    <s v="UCVh7SYDU1dpR9WyBJ89RQ3w"/>
    <s v="UCvQECJukTDE2i6aCoMnS-Vg"/>
    <m/>
    <m/>
    <m/>
    <m/>
    <m/>
    <m/>
    <m/>
    <m/>
    <s v="No"/>
    <n v="363"/>
    <m/>
    <m/>
    <s v="Commented Video"/>
    <x v="0"/>
    <s v="This was a great introductory talk. It&amp;#39;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
    <s v="UCVh7SYDU1dpR9WyBJ89RQ3w"/>
    <s v="Paty Murrieta"/>
    <s v="http://www.youtube.com/channel/UCVh7SYDU1dpR9WyBJ89RQ3w"/>
    <m/>
    <s v="wadBvDPeE4E"/>
    <s v="https://www.youtube.com/watch?v=wadBvDPeE4E"/>
    <s v="none"/>
    <n v="3"/>
    <x v="359"/>
    <d v="2014-05-22T14:55:51.000"/>
    <m/>
    <m/>
    <s v=""/>
    <n v="1"/>
    <s v="1"/>
    <s v="1"/>
    <n v="2"/>
    <n v="3.508771929824561"/>
    <n v="0"/>
    <n v="0"/>
    <n v="0"/>
    <n v="0"/>
    <n v="55"/>
    <n v="96.49122807017544"/>
    <n v="57"/>
  </r>
  <r>
    <s v="UCxUstdY9AJBUwEgbZq2_LZA"/>
    <s v="UCvQECJukTDE2i6aCoMnS-Vg"/>
    <m/>
    <m/>
    <m/>
    <m/>
    <m/>
    <m/>
    <m/>
    <m/>
    <s v="No"/>
    <n v="364"/>
    <m/>
    <m/>
    <s v="Commented Video"/>
    <x v="0"/>
    <s v="what is up with his neck?"/>
    <s v="UCxUstdY9AJBUwEgbZq2_LZA"/>
    <s v="non person"/>
    <s v="http://www.youtube.com/channel/UCxUstdY9AJBUwEgbZq2_LZA"/>
    <m/>
    <s v="wadBvDPeE4E"/>
    <s v="https://www.youtube.com/watch?v=wadBvDPeE4E"/>
    <s v="none"/>
    <n v="0"/>
    <x v="360"/>
    <d v="2014-06-16T06:07:07.000"/>
    <m/>
    <m/>
    <s v=""/>
    <n v="1"/>
    <s v="1"/>
    <s v="1"/>
    <n v="0"/>
    <n v="0"/>
    <n v="0"/>
    <n v="0"/>
    <n v="0"/>
    <n v="0"/>
    <n v="6"/>
    <n v="100"/>
    <n v="6"/>
  </r>
  <r>
    <s v="UCikRXGtV-s_i21BTIeG35xw"/>
    <s v="UCvQECJukTDE2i6aCoMnS-Vg"/>
    <m/>
    <m/>
    <m/>
    <m/>
    <m/>
    <m/>
    <m/>
    <m/>
    <s v="No"/>
    <n v="365"/>
    <m/>
    <m/>
    <s v="Commented Video"/>
    <x v="0"/>
    <s v="We can&amp;#39;t possibly know how many, if at all, suicides were prevented by installing nets to catch jumpers at the Eiffel Tower, etc., because there&amp;#39;s no way to count or know how many people, if any, simply changed their plan and ended their life by another method; note that people travel to SF from the world over to end their lives. "/>
    <s v="UCikRXGtV-s_i21BTIeG35xw"/>
    <s v="lisaengelbrektson"/>
    <s v="http://www.youtube.com/channel/UCikRXGtV-s_i21BTIeG35xw"/>
    <m/>
    <s v="wadBvDPeE4E"/>
    <s v="https://www.youtube.com/watch?v=wadBvDPeE4E"/>
    <s v="none"/>
    <n v="0"/>
    <x v="361"/>
    <d v="2014-06-20T03:20:08.000"/>
    <m/>
    <m/>
    <s v=""/>
    <n v="1"/>
    <s v="1"/>
    <s v="1"/>
    <n v="0"/>
    <n v="0"/>
    <n v="0"/>
    <n v="0"/>
    <n v="0"/>
    <n v="0"/>
    <n v="65"/>
    <n v="100"/>
    <n v="65"/>
  </r>
  <r>
    <s v="UCgUhHwLepU37Cq-ragKIpNQ"/>
    <s v="UCyiHi26uybfcmq0--6DbWqQ"/>
    <m/>
    <m/>
    <m/>
    <m/>
    <m/>
    <m/>
    <m/>
    <m/>
    <s v="No"/>
    <n v="366"/>
    <m/>
    <m/>
    <s v="Replied Comment"/>
    <x v="1"/>
    <s v="What facts/evidence do you have to prove that suicide is egoism? What facts/evidence do you have to prove that you can&amp;#39;t take the note at its face?"/>
    <s v="UCgUhHwLepU37Cq-ragKIpNQ"/>
    <s v="Roll0112358"/>
    <s v="http://www.youtube.com/channel/UCgUhHwLepU37Cq-ragKIpNQ"/>
    <s v="UggQB-XP675oVXgCoAEC"/>
    <s v="wadBvDPeE4E"/>
    <s v="https://www.youtube.com/watch?v=wadBvDPeE4E"/>
    <s v="none"/>
    <n v="1"/>
    <x v="362"/>
    <d v="2016-05-26T15:31:37.000"/>
    <m/>
    <m/>
    <s v=""/>
    <n v="1"/>
    <s v="10"/>
    <s v="10"/>
    <n v="0"/>
    <n v="0"/>
    <n v="1"/>
    <n v="3.225806451612903"/>
    <n v="0"/>
    <n v="0"/>
    <n v="30"/>
    <n v="96.7741935483871"/>
    <n v="31"/>
  </r>
  <r>
    <s v="UCyiHi26uybfcmq0--6DbWqQ"/>
    <s v="UCvQECJukTDE2i6aCoMnS-Vg"/>
    <m/>
    <m/>
    <m/>
    <m/>
    <m/>
    <m/>
    <m/>
    <m/>
    <s v="No"/>
    <n v="367"/>
    <m/>
    <m/>
    <s v="Commented Video"/>
    <x v="0"/>
    <s v="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 "/>
    <s v="UCyiHi26uybfcmq0--6DbWqQ"/>
    <s v="GST"/>
    <s v="http://www.youtube.com/channel/UCyiHi26uybfcmq0--6DbWqQ"/>
    <m/>
    <s v="wadBvDPeE4E"/>
    <s v="https://www.youtube.com/watch?v=wadBvDPeE4E"/>
    <s v="none"/>
    <n v="0"/>
    <x v="363"/>
    <d v="2014-06-24T09:51:03.000"/>
    <m/>
    <m/>
    <s v=""/>
    <n v="1"/>
    <s v="10"/>
    <s v="1"/>
    <n v="1"/>
    <n v="1.492537313432836"/>
    <n v="2"/>
    <n v="2.985074626865672"/>
    <n v="0"/>
    <n v="0"/>
    <n v="64"/>
    <n v="95.5223880597015"/>
    <n v="67"/>
  </r>
  <r>
    <s v="UCw0xhJL77u6VehiAEOKq6kg"/>
    <s v="UCvQECJukTDE2i6aCoMnS-Vg"/>
    <m/>
    <m/>
    <m/>
    <m/>
    <m/>
    <m/>
    <m/>
    <m/>
    <s v="No"/>
    <n v="368"/>
    <m/>
    <m/>
    <s v="Commented Video"/>
    <x v="0"/>
    <s v="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lt;br&gt;At &lt;a href=&quot;http://www.youtube.com/watch?v=wadBvDPeE4E&amp;amp;t=50m29s&quot;&gt;50:29&lt;/a&gt; there is a typo, you should fix it.&lt;br&gt;Btw. the video was interesting and opened many topics to som of which I have yet to form an opinion. But first I ask myself what will form the opinon? What forms the mental model of the world in my head? Oh crap, I am not a good example becouse I am by no standard anywhere near the &amp;quot;mass&amp;quot;. In those nice drawings of networks, I would stand alone somewhere outside it having just a strange type of &amp;quot;one way&amp;quot; network where information flow just one direction - to me. Like when you just read books or watch youtube videos. Yes I can post a comment here, but who will read it? I suppose this could be an interesting research, these &amp;quot;one way&amp;quot; networks. You cannot talk with a book, you cannot talk with a youtube video. Even if I get a comment here, it surely will not be from the authors. And even if yes, which is less likely than winning a lottery, how long would our communication be? I am doing it again, imagining things just to live in my &amp;quot;shell&amp;quot; where I feel so good, you might think. I do not feel good, I hate myself but on the other hand it is the only thing how I can identify myself. A nice demonstration of such a stupid approach smashes ones self-esteem. Maybe if I would experience some real existential problems, but I have a job and a place to live. But nobody to share my thoughts with, partly becouse noboby listens - for a good reason as I am an idiot and becouse most people cannot give answers as they do not want to think about this. A forced answer is worthless and I feel bad when people give them, same with &amp;quot;white lies&amp;quot; - I do not want to hear them, they do not insult me, but they are simply not honest. Honestly is something I value most. Most people say that too. Again, writing posts for nobody, just for myself to feel bad again. Great. I need to sleep, this LOS (lack of sleep) is making me dumb. No wait, that is not it, I am equally stupid always. Mostly when I am left alone to think about stuff, it does not depend on how tired I am. And I am alone a lot more than other, normal people. Well, alone with those &amp;quot;one-way&amp;quot; networks. And I am obese and fat and I do not blame nor even see any correlation with the people I meet every day. It is just my pure ignorance and hatred towards myself with &amp;quot;there, no human female is interested in you, so they can not be interested even in fat, unattractive you&amp;quot; way. And I am also not interested anymore. I just write a rant like thise from time to time, just to reassure myself that nobody gives a fuck anyway. Becouse they are normal, not crazy stupid idiots like the one I see every morning in the mirror. Btw. suicide is not an option yet, my parents still live so do not worry. But you will not anyway."/>
    <s v="UCw0xhJL77u6VehiAEOKq6kg"/>
    <s v="Erik Žiak"/>
    <s v="http://www.youtube.com/channel/UCw0xhJL77u6VehiAEOKq6kg"/>
    <m/>
    <s v="wadBvDPeE4E"/>
    <s v="https://www.youtube.com/watch?v=wadBvDPeE4E"/>
    <s v="none"/>
    <n v="0"/>
    <x v="364"/>
    <d v="2014-07-09T21:59:36.000"/>
    <s v=" http://www.youtube.com/watch?v=wadBvDPeE4E&amp;amp;t=50m29s"/>
    <s v="youtube.com"/>
    <s v=""/>
    <n v="1"/>
    <s v="1"/>
    <s v="1"/>
    <n v="19"/>
    <n v="2.878787878787879"/>
    <n v="33"/>
    <n v="5"/>
    <n v="0"/>
    <n v="0"/>
    <n v="608"/>
    <n v="92.12121212121212"/>
    <n v="660"/>
  </r>
  <r>
    <s v="UCv2Nf0LggXxUtPqmYWGjF2Q"/>
    <s v="UCvQECJukTDE2i6aCoMnS-Vg"/>
    <m/>
    <m/>
    <m/>
    <m/>
    <m/>
    <m/>
    <m/>
    <m/>
    <s v="No"/>
    <n v="369"/>
    <m/>
    <m/>
    <s v="Commented Video"/>
    <x v="0"/>
    <s v=" &lt;br&gt;if there&amp;#39;s any psychologists who are watching this video I was wondering when determining ones thoughts, character, personality, and/or etc what is the root being the most important all the way to the last developed of the list? I am doing a personal assignment to become better acquainted with myself and others."/>
    <s v="UCv2Nf0LggXxUtPqmYWGjF2Q"/>
    <s v="Darrin Baker"/>
    <s v="http://www.youtube.com/channel/UCv2Nf0LggXxUtPqmYWGjF2Q"/>
    <m/>
    <s v="wadBvDPeE4E"/>
    <s v="https://www.youtube.com/watch?v=wadBvDPeE4E"/>
    <s v="none"/>
    <n v="0"/>
    <x v="365"/>
    <d v="2014-07-14T17:58:18.000"/>
    <m/>
    <m/>
    <s v=""/>
    <n v="1"/>
    <s v="1"/>
    <s v="1"/>
    <n v="2"/>
    <n v="3.5714285714285716"/>
    <n v="0"/>
    <n v="0"/>
    <n v="0"/>
    <n v="0"/>
    <n v="54"/>
    <n v="96.42857142857143"/>
    <n v="56"/>
  </r>
  <r>
    <s v="UCcL0PxIXOU5-C1ckvdTiI1Q"/>
    <s v="UCfvHLuZ-MqM2aQEFk0pwU5Q"/>
    <m/>
    <m/>
    <m/>
    <m/>
    <m/>
    <m/>
    <m/>
    <m/>
    <s v="No"/>
    <n v="370"/>
    <m/>
    <m/>
    <s v="Replied Comment"/>
    <x v="1"/>
    <s v="if only everyone would take a sociology class we would all understand each other better."/>
    <s v="UCcL0PxIXOU5-C1ckvdTiI1Q"/>
    <s v="Pinchi Bruha"/>
    <s v="http://www.youtube.com/channel/UCcL0PxIXOU5-C1ckvdTiI1Q"/>
    <s v="UggJ2ZRhen4nmHgCoAEC"/>
    <s v="wadBvDPeE4E"/>
    <s v="https://www.youtube.com/watch?v=wadBvDPeE4E"/>
    <s v="none"/>
    <n v="1"/>
    <x v="366"/>
    <d v="2021-08-07T09:49:55.000"/>
    <m/>
    <m/>
    <s v=""/>
    <n v="1"/>
    <s v="3"/>
    <s v="3"/>
    <n v="1"/>
    <n v="6.666666666666667"/>
    <n v="0"/>
    <n v="0"/>
    <n v="0"/>
    <n v="0"/>
    <n v="14"/>
    <n v="93.33333333333333"/>
    <n v="15"/>
  </r>
  <r>
    <s v="UCyqRPzzVpb3nxouv8ngDnrA"/>
    <s v="UCfvHLuZ-MqM2aQEFk0pwU5Q"/>
    <m/>
    <m/>
    <m/>
    <m/>
    <m/>
    <m/>
    <m/>
    <m/>
    <s v="No"/>
    <n v="371"/>
    <m/>
    <m/>
    <s v="Replied Comment"/>
    <x v="1"/>
    <s v="​@Pinchi Bruha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s v="UCyqRPzzVpb3nxouv8ngDnrA"/>
    <s v="verZatile _bmotp"/>
    <s v="http://www.youtube.com/channel/UCyqRPzzVpb3nxouv8ngDnrA"/>
    <s v="UggJ2ZRhen4nmHgCoAEC"/>
    <s v="wadBvDPeE4E"/>
    <s v="https://www.youtube.com/watch?v=wadBvDPeE4E"/>
    <s v="none"/>
    <n v="1"/>
    <x v="367"/>
    <d v="2021-08-31T22:25:51.000"/>
    <m/>
    <m/>
    <s v=""/>
    <n v="1"/>
    <s v="3"/>
    <s v="3"/>
    <n v="2"/>
    <n v="0.9302325581395349"/>
    <n v="5"/>
    <n v="2.3255813953488373"/>
    <n v="0"/>
    <n v="0"/>
    <n v="208"/>
    <n v="96.74418604651163"/>
    <n v="215"/>
  </r>
  <r>
    <s v="UCfvHLuZ-MqM2aQEFk0pwU5Q"/>
    <s v="UCvQECJukTDE2i6aCoMnS-Vg"/>
    <m/>
    <m/>
    <m/>
    <m/>
    <m/>
    <m/>
    <m/>
    <m/>
    <s v="No"/>
    <n v="372"/>
    <m/>
    <m/>
    <s v="Commented Video"/>
    <x v="0"/>
    <s v="Very interesting especially coming from a non-sociological background"/>
    <s v="UCfvHLuZ-MqM2aQEFk0pwU5Q"/>
    <s v="George Acheampong"/>
    <s v="http://www.youtube.com/channel/UCfvHLuZ-MqM2aQEFk0pwU5Q"/>
    <m/>
    <s v="wadBvDPeE4E"/>
    <s v="https://www.youtube.com/watch?v=wadBvDPeE4E"/>
    <s v="none"/>
    <n v="6"/>
    <x v="368"/>
    <d v="2014-08-01T03:41:45.000"/>
    <m/>
    <m/>
    <s v=""/>
    <n v="1"/>
    <s v="3"/>
    <s v="1"/>
    <n v="1"/>
    <n v="11.11111111111111"/>
    <n v="0"/>
    <n v="0"/>
    <n v="0"/>
    <n v="0"/>
    <n v="8"/>
    <n v="88.88888888888889"/>
    <n v="9"/>
  </r>
  <r>
    <s v="UCvBIiV2A1cPQImosZ4OS3eA"/>
    <s v="UCvQECJukTDE2i6aCoMnS-Vg"/>
    <m/>
    <m/>
    <m/>
    <m/>
    <m/>
    <m/>
    <m/>
    <m/>
    <s v="No"/>
    <n v="373"/>
    <m/>
    <m/>
    <s v="Commented Video"/>
    <x v="0"/>
    <s v="I would like Dr. Christakis&amp;#39; take on the sociological &amp;#39;science&amp;#39; behind the religious influence towards corporations, policy makers/game changers that shape this society. The chart regarding interconnection for this will be the majority of &amp;#39;dots&amp;#39; at the bottom...many tiny dots and very few larger dots on top, of course. The question is;  How is this acceptable in a democratic society?&lt;br&gt;The answer cannot just be for the love of money and lust for power."/>
    <s v="UCvBIiV2A1cPQImosZ4OS3eA"/>
    <s v="chatty cathy"/>
    <s v="http://www.youtube.com/channel/UCvBIiV2A1cPQImosZ4OS3eA"/>
    <m/>
    <s v="wadBvDPeE4E"/>
    <s v="https://www.youtube.com/watch?v=wadBvDPeE4E"/>
    <s v="none"/>
    <n v="0"/>
    <x v="369"/>
    <d v="2014-08-30T04:55:33.000"/>
    <m/>
    <m/>
    <s v=""/>
    <n v="1"/>
    <s v="1"/>
    <s v="1"/>
    <n v="3"/>
    <n v="3.658536585365854"/>
    <n v="0"/>
    <n v="0"/>
    <n v="0"/>
    <n v="0"/>
    <n v="79"/>
    <n v="96.34146341463415"/>
    <n v="82"/>
  </r>
  <r>
    <s v="UCsC1IN_InJGyZK8k0JWQpgQ"/>
    <s v="UCvQECJukTDE2i6aCoMnS-Vg"/>
    <m/>
    <m/>
    <m/>
    <m/>
    <m/>
    <m/>
    <m/>
    <m/>
    <s v="No"/>
    <n v="374"/>
    <m/>
    <m/>
    <s v="Commented Video"/>
    <x v="0"/>
    <s v="Yes eric ziak because you assume your the only one who thinks lyk you.so that&amp;#39;s where you&amp;#39;ll stay in the outside.but saying it&amp;#39;s bad just don&amp;#39;t complain."/>
    <s v="UCsC1IN_InJGyZK8k0JWQpgQ"/>
    <s v="Joey Contreras"/>
    <s v="http://www.youtube.com/channel/UCsC1IN_InJGyZK8k0JWQpgQ"/>
    <m/>
    <s v="wadBvDPeE4E"/>
    <s v="https://www.youtube.com/watch?v=wadBvDPeE4E"/>
    <s v="none"/>
    <n v="0"/>
    <x v="370"/>
    <d v="2014-10-08T02:48:17.000"/>
    <m/>
    <m/>
    <s v=""/>
    <n v="1"/>
    <s v="1"/>
    <s v="1"/>
    <n v="0"/>
    <n v="0"/>
    <n v="2"/>
    <n v="5.405405405405405"/>
    <n v="0"/>
    <n v="0"/>
    <n v="35"/>
    <n v="94.5945945945946"/>
    <n v="37"/>
  </r>
  <r>
    <s v="UC5qGdXO5DJnU6w-vU4hpOxQ"/>
    <s v="UCvQECJukTDE2i6aCoMnS-Vg"/>
    <m/>
    <m/>
    <m/>
    <m/>
    <m/>
    <m/>
    <m/>
    <m/>
    <s v="No"/>
    <n v="375"/>
    <m/>
    <m/>
    <s v="Commented Video"/>
    <x v="0"/>
    <s v="this troll said &amp;quot;dike&amp;quot; on purpose instead of &amp;quot;dam&amp;quot;"/>
    <s v="UC5qGdXO5DJnU6w-vU4hpOxQ"/>
    <s v="Kim Röder"/>
    <s v="http://www.youtube.com/channel/UC5qGdXO5DJnU6w-vU4hpOxQ"/>
    <m/>
    <s v="wadBvDPeE4E"/>
    <s v="https://www.youtube.com/watch?v=wadBvDPeE4E"/>
    <s v="none"/>
    <n v="1"/>
    <x v="371"/>
    <d v="2014-10-17T16:03:50.000"/>
    <m/>
    <m/>
    <s v=""/>
    <n v="1"/>
    <s v="1"/>
    <s v="1"/>
    <n v="0"/>
    <n v="0"/>
    <n v="0"/>
    <n v="0"/>
    <n v="0"/>
    <n v="0"/>
    <n v="13"/>
    <n v="100"/>
    <n v="13"/>
  </r>
  <r>
    <s v="UCsTFw-jeJdJDi20LmiK9Lnw"/>
    <s v="UCGJtAsDX_qIPZcsNufRV5ow"/>
    <m/>
    <m/>
    <m/>
    <m/>
    <m/>
    <m/>
    <m/>
    <m/>
    <s v="No"/>
    <n v="376"/>
    <m/>
    <m/>
    <s v="Replied Comment"/>
    <x v="1"/>
    <s v="I believe the Poor and Indigent know that only too well; except their representation is nameless. "/>
    <s v="UCsTFw-jeJdJDi20LmiK9Lnw"/>
    <s v="Seth Topper"/>
    <s v="http://www.youtube.com/channel/UCsTFw-jeJdJDi20LmiK9Lnw"/>
    <s v="UgjtJn_EPhdgeXgCoAEC"/>
    <s v="wadBvDPeE4E"/>
    <s v="https://www.youtube.com/watch?v=wadBvDPeE4E"/>
    <s v="none"/>
    <n v="1"/>
    <x v="372"/>
    <d v="2014-11-30T02:51:43.000"/>
    <m/>
    <m/>
    <s v=""/>
    <n v="1"/>
    <s v="11"/>
    <s v="11"/>
    <n v="1"/>
    <n v="6.25"/>
    <n v="2"/>
    <n v="12.5"/>
    <n v="0"/>
    <n v="0"/>
    <n v="13"/>
    <n v="81.25"/>
    <n v="16"/>
  </r>
  <r>
    <s v="UC8QwXSKYXkFbEP1uhMrOq4A"/>
    <s v="UCGJtAsDX_qIPZcsNufRV5ow"/>
    <m/>
    <m/>
    <m/>
    <m/>
    <m/>
    <m/>
    <m/>
    <m/>
    <s v="No"/>
    <n v="377"/>
    <m/>
    <m/>
    <s v="Replied Comment"/>
    <x v="1"/>
    <s v="No its social status which is assumed to be achieved by money because of capitalist ideas."/>
    <s v="UC8QwXSKYXkFbEP1uhMrOq4A"/>
    <s v="Dan Albl"/>
    <s v="http://www.youtube.com/channel/UC8QwXSKYXkFbEP1uhMrOq4A"/>
    <s v="UgjtJn_EPhdgeXgCoAEC"/>
    <s v="wadBvDPeE4E"/>
    <s v="https://www.youtube.com/watch?v=wadBvDPeE4E"/>
    <s v="none"/>
    <n v="0"/>
    <x v="373"/>
    <d v="2015-06-05T22:28:43.000"/>
    <m/>
    <m/>
    <s v=""/>
    <n v="1"/>
    <s v="11"/>
    <s v="11"/>
    <n v="0"/>
    <n v="0"/>
    <n v="0"/>
    <n v="0"/>
    <n v="0"/>
    <n v="0"/>
    <n v="16"/>
    <n v="100"/>
    <n v="16"/>
  </r>
  <r>
    <s v="UCGJtAsDX_qIPZcsNufRV5ow"/>
    <s v="UCvQECJukTDE2i6aCoMnS-Vg"/>
    <m/>
    <m/>
    <m/>
    <m/>
    <m/>
    <m/>
    <m/>
    <m/>
    <s v="No"/>
    <n v="378"/>
    <m/>
    <m/>
    <s v="Commented Video"/>
    <x v="0"/>
    <s v="The largest structure is Money and nobody knows it."/>
    <s v="UCGJtAsDX_qIPZcsNufRV5ow"/>
    <s v="Pedro Silva"/>
    <s v="http://www.youtube.com/channel/UCGJtAsDX_qIPZcsNufRV5ow"/>
    <m/>
    <s v="wadBvDPeE4E"/>
    <s v="https://www.youtube.com/watch?v=wadBvDPeE4E"/>
    <s v="none"/>
    <n v="0"/>
    <x v="374"/>
    <d v="2014-11-13T07:33:54.000"/>
    <m/>
    <m/>
    <s v=""/>
    <n v="1"/>
    <s v="11"/>
    <s v="1"/>
    <n v="0"/>
    <n v="0"/>
    <n v="0"/>
    <n v="0"/>
    <n v="0"/>
    <n v="0"/>
    <n v="9"/>
    <n v="100"/>
    <n v="9"/>
  </r>
  <r>
    <s v="UCjASN7Tc7IhwB8O8Kup0ZMQ"/>
    <s v="UCvQECJukTDE2i6aCoMnS-Vg"/>
    <m/>
    <m/>
    <m/>
    <m/>
    <m/>
    <m/>
    <m/>
    <m/>
    <s v="No"/>
    <n v="379"/>
    <m/>
    <m/>
    <s v="Commented Video"/>
    <x v="0"/>
    <s v="Outstanding pitch ! Valuable distinctions articlated for people seeking to leverage the social capital for productive welfare societies of tommorow."/>
    <s v="UCjASN7Tc7IhwB8O8Kup0ZMQ"/>
    <s v="Aravindan Umashankar"/>
    <s v="http://www.youtube.com/channel/UCjASN7Tc7IhwB8O8Kup0ZMQ"/>
    <m/>
    <s v="wadBvDPeE4E"/>
    <s v="https://www.youtube.com/watch?v=wadBvDPeE4E"/>
    <s v="none"/>
    <n v="0"/>
    <x v="375"/>
    <d v="2014-11-16T06:34:42.000"/>
    <m/>
    <m/>
    <s v=""/>
    <n v="1"/>
    <s v="1"/>
    <s v="1"/>
    <n v="4"/>
    <n v="21.05263157894737"/>
    <n v="0"/>
    <n v="0"/>
    <n v="0"/>
    <n v="0"/>
    <n v="15"/>
    <n v="78.94736842105263"/>
    <n v="19"/>
  </r>
  <r>
    <s v="UCpr8GKAHg30fNzBtOVwjAnQ"/>
    <s v="UCWl8H-hlO4LEjFirQvOyY1A"/>
    <m/>
    <m/>
    <m/>
    <m/>
    <m/>
    <m/>
    <m/>
    <m/>
    <s v="No"/>
    <n v="380"/>
    <m/>
    <m/>
    <s v="Replied Comment"/>
    <x v="1"/>
    <s v="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amp;#39;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amp;#39;t make a computer, you can model mathematically each atom in the transistor and know everything about it, but that won&amp;#39;t, alone, build a computer. "/>
    <s v="UCpr8GKAHg30fNzBtOVwjAnQ"/>
    <s v="Titus Flavius Vespasianus"/>
    <s v="http://www.youtube.com/channel/UCpr8GKAHg30fNzBtOVwjAnQ"/>
    <s v="UghfRwQOutVIaHgCoAEC"/>
    <s v="wadBvDPeE4E"/>
    <s v="https://www.youtube.com/watch?v="/>
    <s v="none"/>
    <n v="12"/>
    <x v="376"/>
    <d v="2014-12-19T15:48:23.000"/>
    <m/>
    <m/>
    <s v=""/>
    <n v="2"/>
    <s v="2"/>
    <s v="2"/>
    <n v="8"/>
    <n v="4.790419161676646"/>
    <n v="0"/>
    <n v="0"/>
    <n v="0"/>
    <n v="0"/>
    <n v="159"/>
    <n v="95.20958083832335"/>
    <n v="167"/>
  </r>
  <r>
    <s v="UCpr8GKAHg30fNzBtOVwjAnQ"/>
    <s v="UCWl8H-hlO4LEjFirQvOyY1A"/>
    <m/>
    <m/>
    <m/>
    <m/>
    <m/>
    <m/>
    <m/>
    <m/>
    <s v="No"/>
    <n v="381"/>
    <m/>
    <m/>
    <s v="Replied Comment"/>
    <x v="1"/>
    <s v="Well sorry for my ignorance. I might have misinterpreted what he said about new characteristics arising from a collective perspective that weren&amp;#39;t there in the individuals in the same way as: psychology=individual and sociology=collective. And I didn&amp;#39;t know the topic of sociology he explained in the video had no basis in psychology. I am an outsider in humane and social sciences (i am more of a math and physics person) and not aware of their particularities. "/>
    <s v="UCpr8GKAHg30fNzBtOVwjAnQ"/>
    <s v="Titus Flavius Vespasianus"/>
    <s v="http://www.youtube.com/channel/UCpr8GKAHg30fNzBtOVwjAnQ"/>
    <s v="UghfRwQOutVIaHgCoAEC"/>
    <s v="wadBvDPeE4E"/>
    <s v="https://www.youtube.com/watch?v="/>
    <s v="none"/>
    <n v="0"/>
    <x v="377"/>
    <d v="2015-02-25T02:24:06.000"/>
    <m/>
    <m/>
    <s v=""/>
    <n v="2"/>
    <s v="2"/>
    <s v="2"/>
    <n v="2"/>
    <n v="2.4390243902439024"/>
    <n v="3"/>
    <n v="3.658536585365854"/>
    <n v="0"/>
    <n v="0"/>
    <n v="77"/>
    <n v="93.90243902439025"/>
    <n v="82"/>
  </r>
  <r>
    <s v="UCMqbg4VD080ce23L2g5S7Ng"/>
    <s v="UCWl8H-hlO4LEjFirQvOyY1A"/>
    <m/>
    <m/>
    <m/>
    <m/>
    <m/>
    <m/>
    <m/>
    <m/>
    <s v="No"/>
    <n v="382"/>
    <m/>
    <m/>
    <s v="Replied Comment"/>
    <x v="1"/>
    <s v="Now, that is the crux of Agent vs Structure debate. whether human agency or the structure around it is the more important causative factor in human behavior. From his arguments, it is readily apparent that he prefer the structural side."/>
    <s v="UCMqbg4VD080ce23L2g5S7Ng"/>
    <s v="Andra Daniswara"/>
    <s v="http://www.youtube.com/channel/UCMqbg4VD080ce23L2g5S7Ng"/>
    <s v="UghfRwQOutVIaHgCoAEC"/>
    <s v="wadBvDPeE4E"/>
    <s v="https://www.youtube.com/watch?v="/>
    <s v="none"/>
    <n v="0"/>
    <x v="378"/>
    <d v="2015-03-09T11:57:57.000"/>
    <m/>
    <m/>
    <s v=""/>
    <n v="1"/>
    <s v="2"/>
    <s v="2"/>
    <n v="3"/>
    <n v="7.5"/>
    <n v="0"/>
    <n v="0"/>
    <n v="0"/>
    <n v="0"/>
    <n v="37"/>
    <n v="92.5"/>
    <n v="40"/>
  </r>
  <r>
    <s v="UC6nw5WxAUuhh1Cb45G0_k6A"/>
    <s v="UCWl8H-hlO4LEjFirQvOyY1A"/>
    <m/>
    <m/>
    <m/>
    <m/>
    <m/>
    <m/>
    <m/>
    <m/>
    <s v="No"/>
    <n v="383"/>
    <m/>
    <m/>
    <s v="Replied Comment"/>
    <x v="1"/>
    <s v="+prygler I&amp;#39;d like you to answer your own questions."/>
    <s v="UC6nw5WxAUuhh1Cb45G0_k6A"/>
    <s v="LandInbetween"/>
    <s v="http://www.youtube.com/channel/UC6nw5WxAUuhh1Cb45G0_k6A"/>
    <s v="UghfRwQOutVIaHgCoAEC"/>
    <s v="wadBvDPeE4E"/>
    <s v="https://www.youtube.com/watch?v="/>
    <s v="none"/>
    <n v="0"/>
    <x v="379"/>
    <d v="2015-11-12T03:38:20.000"/>
    <m/>
    <m/>
    <s v=""/>
    <n v="1"/>
    <s v="2"/>
    <s v="2"/>
    <n v="1"/>
    <n v="9.090909090909092"/>
    <n v="0"/>
    <n v="0"/>
    <n v="0"/>
    <n v="0"/>
    <n v="10"/>
    <n v="90.9090909090909"/>
    <n v="11"/>
  </r>
  <r>
    <s v="UCWl8H-hlO4LEjFirQvOyY1A"/>
    <s v="UCWl8H-hlO4LEjFirQvOyY1A"/>
    <m/>
    <m/>
    <m/>
    <m/>
    <m/>
    <m/>
    <m/>
    <m/>
    <s v="No"/>
    <n v="384"/>
    <m/>
    <m/>
    <s v="Replied Comment"/>
    <x v="1"/>
    <s v="@Dark Kinght Feanaro Heard about social psychology? It explains social behavior and group behavior. Sociology does not, because it can&amp;#39;t. Whenever sociology tries to explain behavior without psychology, then it goes into nonsense or becomes superficial (e.g. sociology can only give superficial explanations at best). Sociology is only really good at describing social processes and social tendencies."/>
    <s v="UCWl8H-hlO4LEjFirQvOyY1A"/>
    <s v="prygler"/>
    <s v="http://www.youtube.com/channel/UCWl8H-hlO4LEjFirQvOyY1A"/>
    <s v="UghfRwQOutVIaHgCoAEC"/>
    <s v="wadBvDPeE4E"/>
    <s v="https://www.youtube.com/watch?v="/>
    <s v="none"/>
    <n v="0"/>
    <x v="380"/>
    <d v="2015-02-24T21:34:55.000"/>
    <m/>
    <m/>
    <s v=""/>
    <n v="3"/>
    <s v="2"/>
    <s v="2"/>
    <n v="2"/>
    <n v="3.3333333333333335"/>
    <n v="4"/>
    <n v="6.666666666666667"/>
    <n v="0"/>
    <n v="0"/>
    <n v="54"/>
    <n v="90"/>
    <n v="60"/>
  </r>
  <r>
    <s v="UCWl8H-hlO4LEjFirQvOyY1A"/>
    <s v="UCWl8H-hlO4LEjFirQvOyY1A"/>
    <m/>
    <m/>
    <m/>
    <m/>
    <m/>
    <m/>
    <m/>
    <m/>
    <s v="No"/>
    <n v="385"/>
    <m/>
    <m/>
    <s v="Replied Comment"/>
    <x v="1"/>
    <s v="@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lt;br&gt;&lt;br&gt;Tha agent vs. structure is a pretty stupid debate today, because it makes no sense, when we actually think about it in terms of what we actually know today about causation behind human behavior and mental life."/>
    <s v="UCWl8H-hlO4LEjFirQvOyY1A"/>
    <s v="prygler"/>
    <s v="http://www.youtube.com/channel/UCWl8H-hlO4LEjFirQvOyY1A"/>
    <s v="UghfRwQOutVIaHgCoAEC"/>
    <s v="wadBvDPeE4E"/>
    <s v="https://www.youtube.com/watch?v="/>
    <s v="none"/>
    <n v="0"/>
    <x v="381"/>
    <d v="2015-10-06T15:30:40.000"/>
    <m/>
    <m/>
    <s v=""/>
    <n v="3"/>
    <s v="2"/>
    <s v="2"/>
    <n v="2"/>
    <n v="2.1052631578947367"/>
    <n v="1"/>
    <n v="1.0526315789473684"/>
    <n v="0"/>
    <n v="0"/>
    <n v="92"/>
    <n v="96.84210526315789"/>
    <n v="95"/>
  </r>
  <r>
    <s v="UCWl8H-hlO4LEjFirQvOyY1A"/>
    <s v="UCWl8H-hlO4LEjFirQvOyY1A"/>
    <m/>
    <m/>
    <m/>
    <m/>
    <m/>
    <m/>
    <m/>
    <m/>
    <s v="No"/>
    <n v="386"/>
    <m/>
    <m/>
    <s v="Replied Comment"/>
    <x v="1"/>
    <s v="+TickleMeElmo55 The short answer is that there is no such thing as agency in terms of consciousness making free decisions. In that sense, there is only structure. Genetic, physical, economic, psychological, social etc. structures. And these structures causes everything."/>
    <s v="UCWl8H-hlO4LEjFirQvOyY1A"/>
    <s v="prygler"/>
    <s v="http://www.youtube.com/channel/UCWl8H-hlO4LEjFirQvOyY1A"/>
    <s v="UghfRwQOutVIaHgCoAEC"/>
    <s v="wadBvDPeE4E"/>
    <s v="https://www.youtube.com/watch?v="/>
    <s v="none"/>
    <n v="0"/>
    <x v="382"/>
    <d v="2015-11-12T18:23:22.000"/>
    <m/>
    <m/>
    <s v=""/>
    <n v="3"/>
    <s v="2"/>
    <s v="2"/>
    <n v="1"/>
    <n v="2.5641025641025643"/>
    <n v="0"/>
    <n v="0"/>
    <n v="0"/>
    <n v="0"/>
    <n v="38"/>
    <n v="97.43589743589743"/>
    <n v="39"/>
  </r>
  <r>
    <s v="UCRkgxOcNAD-ttZMxrrN5GYQ"/>
    <s v="UCWl8H-hlO4LEjFirQvOyY1A"/>
    <m/>
    <m/>
    <m/>
    <m/>
    <m/>
    <m/>
    <m/>
    <m/>
    <s v="No"/>
    <n v="387"/>
    <m/>
    <m/>
    <s v="Replied Comment"/>
    <x v="1"/>
    <s v="I know for certain that human behavior as group is different as individual behavior. So Psycology takes care of individual matters and Sociology takes care of human groups"/>
    <s v="UCRkgxOcNAD-ttZMxrrN5GYQ"/>
    <s v="Adrián De la Rosa"/>
    <s v="http://www.youtube.com/channel/UCRkgxOcNAD-ttZMxrrN5GYQ"/>
    <s v="UghfRwQOutVIaHgCoAEC"/>
    <s v="wadBvDPeE4E"/>
    <s v="https://www.youtube.com/watch?v="/>
    <s v="none"/>
    <n v="0"/>
    <x v="383"/>
    <d v="2018-04-09T17:37:41.000"/>
    <m/>
    <m/>
    <s v=""/>
    <n v="1"/>
    <s v="2"/>
    <s v="2"/>
    <n v="0"/>
    <n v="0"/>
    <n v="0"/>
    <n v="0"/>
    <n v="0"/>
    <n v="0"/>
    <n v="28"/>
    <n v="100"/>
    <n v="28"/>
  </r>
  <r>
    <s v="UCWl8H-hlO4LEjFirQvOyY1A"/>
    <s v="UCvQECJukTDE2i6aCoMnS-Vg"/>
    <m/>
    <m/>
    <m/>
    <m/>
    <m/>
    <m/>
    <m/>
    <m/>
    <s v="No"/>
    <n v="388"/>
    <m/>
    <m/>
    <s v="Commented Video"/>
    <x v="0"/>
    <s v="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
    <s v="UCWl8H-hlO4LEjFirQvOyY1A"/>
    <s v="prygler"/>
    <s v="http://www.youtube.com/channel/UCWl8H-hlO4LEjFirQvOyY1A"/>
    <m/>
    <s v="wadBvDPeE4E"/>
    <s v="https://www.youtube.com/watch?v=wadBvDPeE4E"/>
    <s v="none"/>
    <n v="4"/>
    <x v="384"/>
    <d v="2014-11-28T01:27:11.000"/>
    <m/>
    <m/>
    <s v=""/>
    <n v="1"/>
    <s v="2"/>
    <s v="1"/>
    <n v="2"/>
    <n v="1.3793103448275863"/>
    <n v="3"/>
    <n v="2.0689655172413794"/>
    <n v="0"/>
    <n v="0"/>
    <n v="140"/>
    <n v="96.55172413793103"/>
    <n v="145"/>
  </r>
  <r>
    <s v="UCjqFKcsJGF-eg_BLtUIDweg"/>
    <s v="UCzXy1TbnogkjVRHMjQr3_GA"/>
    <m/>
    <m/>
    <m/>
    <m/>
    <m/>
    <m/>
    <m/>
    <m/>
    <s v="No"/>
    <n v="389"/>
    <m/>
    <m/>
    <s v="Replied Comment"/>
    <x v="1"/>
    <s v="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amp;#39;t keep this to yourself, reach out for help. There are still good people who care!"/>
    <s v="UCjqFKcsJGF-eg_BLtUIDweg"/>
    <s v="Learning to fly"/>
    <s v="http://www.youtube.com/channel/UCjqFKcsJGF-eg_BLtUIDweg"/>
    <s v="UghAK6-BoXcryngCoAEC"/>
    <s v="wadBvDPeE4E"/>
    <s v="https://www.youtube.com/watch?v=wadBvDPeE4E"/>
    <s v="none"/>
    <n v="1"/>
    <x v="385"/>
    <d v="2015-03-27T14:39:46.000"/>
    <m/>
    <m/>
    <s v=""/>
    <n v="1"/>
    <s v="6"/>
    <s v="6"/>
    <n v="4"/>
    <n v="5.797101449275362"/>
    <n v="3"/>
    <n v="4.3478260869565215"/>
    <n v="0"/>
    <n v="0"/>
    <n v="62"/>
    <n v="89.85507246376811"/>
    <n v="69"/>
  </r>
  <r>
    <s v="UCXniDDq1ZnKNti-tVqJWCyg"/>
    <s v="UCzXy1TbnogkjVRHMjQr3_GA"/>
    <m/>
    <m/>
    <m/>
    <m/>
    <m/>
    <m/>
    <m/>
    <m/>
    <s v="No"/>
    <n v="390"/>
    <m/>
    <m/>
    <s v="Replied Comment"/>
    <x v="1"/>
    <s v="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
    <s v="UCXniDDq1ZnKNti-tVqJWCyg"/>
    <s v="John Zarras"/>
    <s v="http://www.youtube.com/channel/UCXniDDq1ZnKNti-tVqJWCyg"/>
    <s v="UghAK6-BoXcryngCoAEC"/>
    <s v="wadBvDPeE4E"/>
    <s v="https://www.youtube.com/watch?v=wadBvDPeE4E"/>
    <s v="none"/>
    <n v="0"/>
    <x v="386"/>
    <d v="2015-03-31T22:42:54.000"/>
    <m/>
    <m/>
    <s v=""/>
    <n v="1"/>
    <s v="6"/>
    <s v="6"/>
    <n v="4"/>
    <n v="4.395604395604396"/>
    <n v="1"/>
    <n v="1.098901098901099"/>
    <n v="0"/>
    <n v="0"/>
    <n v="86"/>
    <n v="94.50549450549451"/>
    <n v="91"/>
  </r>
  <r>
    <s v="UCPgF4J1NC2JsZObxxoPvTAA"/>
    <s v="UCzXy1TbnogkjVRHMjQr3_GA"/>
    <m/>
    <m/>
    <m/>
    <m/>
    <m/>
    <m/>
    <m/>
    <m/>
    <s v="No"/>
    <n v="391"/>
    <m/>
    <m/>
    <s v="Replied Comment"/>
    <x v="1"/>
    <s v="You still with us bruh?"/>
    <s v="UCPgF4J1NC2JsZObxxoPvTAA"/>
    <s v="Alexander K."/>
    <s v="http://www.youtube.com/channel/UCPgF4J1NC2JsZObxxoPvTAA"/>
    <s v="UghAK6-BoXcryngCoAEC"/>
    <s v="wadBvDPeE4E"/>
    <s v="https://www.youtube.com/watch?v=wadBvDPeE4E"/>
    <s v="none"/>
    <n v="1"/>
    <x v="387"/>
    <d v="2018-06-01T18:41:18.000"/>
    <m/>
    <m/>
    <s v=""/>
    <n v="1"/>
    <s v="6"/>
    <s v="6"/>
    <n v="0"/>
    <n v="0"/>
    <n v="0"/>
    <n v="0"/>
    <n v="0"/>
    <n v="0"/>
    <n v="5"/>
    <n v="100"/>
    <n v="5"/>
  </r>
  <r>
    <s v="UCGV97-KkEM1mOk2s-iDCXtw"/>
    <s v="UCzXy1TbnogkjVRHMjQr3_GA"/>
    <m/>
    <m/>
    <m/>
    <m/>
    <m/>
    <m/>
    <m/>
    <m/>
    <s v="No"/>
    <n v="392"/>
    <m/>
    <m/>
    <s v="Replied Comment"/>
    <x v="1"/>
    <s v="Are you still with us?&lt;br&gt;Despite agreeing with what u said, hate is actually a good tool to prevent suicide."/>
    <s v="UCGV97-KkEM1mOk2s-iDCXtw"/>
    <s v="Carlos Wilker"/>
    <s v="http://www.youtube.com/channel/UCGV97-KkEM1mOk2s-iDCXtw"/>
    <s v="UghAK6-BoXcryngCoAEC"/>
    <s v="wadBvDPeE4E"/>
    <s v="https://www.youtube.com/watch?v=wadBvDPeE4E"/>
    <s v="none"/>
    <n v="0"/>
    <x v="388"/>
    <d v="2021-07-24T13:29:34.000"/>
    <m/>
    <m/>
    <s v=""/>
    <n v="1"/>
    <s v="6"/>
    <s v="6"/>
    <n v="1"/>
    <n v="4.761904761904762"/>
    <n v="2"/>
    <n v="9.523809523809524"/>
    <n v="0"/>
    <n v="0"/>
    <n v="18"/>
    <n v="85.71428571428571"/>
    <n v="21"/>
  </r>
  <r>
    <s v="UCzXy1TbnogkjVRHMjQr3_GA"/>
    <s v="UCvQECJukTDE2i6aCoMnS-Vg"/>
    <m/>
    <m/>
    <m/>
    <m/>
    <m/>
    <m/>
    <m/>
    <m/>
    <s v="No"/>
    <n v="393"/>
    <m/>
    <m/>
    <s v="Commented Video"/>
    <x v="0"/>
    <s v="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
    <s v="UCzXy1TbnogkjVRHMjQr3_GA"/>
    <s v="B Yohhanes"/>
    <s v="http://www.youtube.com/channel/UCzXy1TbnogkjVRHMjQr3_GA"/>
    <m/>
    <s v="wadBvDPeE4E"/>
    <s v="https://www.youtube.com/watch?v=wadBvDPeE4E"/>
    <s v="none"/>
    <n v="12"/>
    <x v="389"/>
    <d v="2015-03-24T09:22:07.000"/>
    <m/>
    <m/>
    <s v=""/>
    <n v="1"/>
    <s v="6"/>
    <s v="1"/>
    <n v="5"/>
    <n v="6.756756756756757"/>
    <n v="3"/>
    <n v="4.054054054054054"/>
    <n v="0"/>
    <n v="0"/>
    <n v="66"/>
    <n v="89.1891891891892"/>
    <n v="74"/>
  </r>
  <r>
    <s v="UCH8JhGysUFU4lt7FcATVRWg"/>
    <s v="UCY2CDTmdxQXgPITxr3JcrRA"/>
    <m/>
    <m/>
    <m/>
    <m/>
    <m/>
    <m/>
    <m/>
    <m/>
    <s v="No"/>
    <n v="394"/>
    <m/>
    <m/>
    <s v="Replied Comment"/>
    <x v="1"/>
    <s v="Nat Herron May I ask what your are doing with your sociology bachelors now"/>
    <s v="UCH8JhGysUFU4lt7FcATVRWg"/>
    <s v="David Ramos"/>
    <s v="http://www.youtube.com/channel/UCH8JhGysUFU4lt7FcATVRWg"/>
    <s v="Ugh4jpx1VLtHMHgCoAEC"/>
    <s v="wadBvDPeE4E"/>
    <s v="https://www.youtube.com/watch?v=wadBvDPeE4E"/>
    <s v="none"/>
    <n v="3"/>
    <x v="390"/>
    <d v="2018-08-23T08:01:22.000"/>
    <m/>
    <m/>
    <s v=""/>
    <n v="1"/>
    <s v="3"/>
    <s v="3"/>
    <n v="0"/>
    <n v="0"/>
    <n v="0"/>
    <n v="0"/>
    <n v="0"/>
    <n v="0"/>
    <n v="14"/>
    <n v="100"/>
    <n v="14"/>
  </r>
  <r>
    <s v="UCcL0PxIXOU5-C1ckvdTiI1Q"/>
    <s v="UCY2CDTmdxQXgPITxr3JcrRA"/>
    <m/>
    <m/>
    <m/>
    <m/>
    <m/>
    <m/>
    <m/>
    <m/>
    <s v="No"/>
    <n v="395"/>
    <m/>
    <m/>
    <s v="Replied Comment"/>
    <x v="1"/>
    <s v="Same here, it really helps put everything into perspective&amp;gt; We need this more than ever but man if the collective madness hasn’t destroyed all reason"/>
    <s v="UCcL0PxIXOU5-C1ckvdTiI1Q"/>
    <s v="Pinchi Bruha"/>
    <s v="http://www.youtube.com/channel/UCcL0PxIXOU5-C1ckvdTiI1Q"/>
    <s v="Ugh4jpx1VLtHMHgCoAEC"/>
    <s v="wadBvDPeE4E"/>
    <s v="https://www.youtube.com/watch?v=wadBvDPeE4E"/>
    <s v="none"/>
    <n v="1"/>
    <x v="391"/>
    <d v="2021-11-15T13:04:06.000"/>
    <m/>
    <m/>
    <s v=""/>
    <n v="1"/>
    <s v="3"/>
    <s v="3"/>
    <n v="0"/>
    <n v="0"/>
    <n v="1"/>
    <n v="3.7037037037037037"/>
    <n v="0"/>
    <n v="0"/>
    <n v="26"/>
    <n v="96.29629629629629"/>
    <n v="27"/>
  </r>
  <r>
    <s v="UCY2CDTmdxQXgPITxr3JcrRA"/>
    <s v="UCvQECJukTDE2i6aCoMnS-Vg"/>
    <m/>
    <m/>
    <m/>
    <m/>
    <m/>
    <m/>
    <m/>
    <m/>
    <s v="No"/>
    <n v="396"/>
    <m/>
    <m/>
    <s v="Commented Video"/>
    <x v="0"/>
    <s v="Sociology is basically the study of people , whether it be grouped or isolated. This documentary is exactly what I was taught at college, and once I understood it all, I could implement it into my own life. I can&amp;#39;t wait to get back to my studies! It&amp;#39;s all so Fascinating! Great docu! "/>
    <s v="UCY2CDTmdxQXgPITxr3JcrRA"/>
    <s v="Dewality"/>
    <s v="http://www.youtube.com/channel/UCY2CDTmdxQXgPITxr3JcrRA"/>
    <m/>
    <s v="wadBvDPeE4E"/>
    <s v="https://www.youtube.com/watch?v=wadBvDPeE4E"/>
    <s v="none"/>
    <n v="82"/>
    <x v="392"/>
    <d v="2015-04-20T01:55:02.000"/>
    <m/>
    <m/>
    <s v=""/>
    <n v="1"/>
    <s v="3"/>
    <s v="1"/>
    <n v="2"/>
    <n v="3.5714285714285716"/>
    <n v="1"/>
    <n v="1.7857142857142858"/>
    <n v="0"/>
    <n v="0"/>
    <n v="53"/>
    <n v="94.64285714285714"/>
    <n v="56"/>
  </r>
  <r>
    <s v="UC45Xsn4MOqKUCE56OEMtqGw"/>
    <s v="UCJIWPruSbOyRLGmT901E58w"/>
    <m/>
    <m/>
    <m/>
    <m/>
    <m/>
    <m/>
    <m/>
    <m/>
    <s v="No"/>
    <n v="397"/>
    <m/>
    <m/>
    <s v="Replied Comment"/>
    <x v="1"/>
    <s v="@Car0line Adams lloll"/>
    <s v="UC45Xsn4MOqKUCE56OEMtqGw"/>
    <s v="O_O"/>
    <s v="http://www.youtube.com/channel/UC45Xsn4MOqKUCE56OEMtqGw"/>
    <s v="Ugj2T6f1Glod23gCoAEC"/>
    <s v="wadBvDPeE4E"/>
    <s v="https://www.youtube.com/watch?v="/>
    <s v="none"/>
    <n v="0"/>
    <x v="393"/>
    <d v="2021-09-20T13:44:38.000"/>
    <m/>
    <m/>
    <s v=""/>
    <n v="1"/>
    <s v="4"/>
    <s v="4"/>
    <n v="0"/>
    <n v="0"/>
    <n v="0"/>
    <n v="0"/>
    <n v="0"/>
    <n v="0"/>
    <n v="3"/>
    <n v="100"/>
    <n v="3"/>
  </r>
  <r>
    <s v="UC_lJ_6b3_SsPHLlnRMpWNZA"/>
    <s v="UCJIWPruSbOyRLGmT901E58w"/>
    <m/>
    <m/>
    <m/>
    <m/>
    <m/>
    <m/>
    <m/>
    <m/>
    <s v="No"/>
    <n v="398"/>
    <m/>
    <m/>
    <s v="Replied Comment"/>
    <x v="1"/>
    <s v="They just did. 🙂"/>
    <s v="UC_lJ_6b3_SsPHLlnRMpWNZA"/>
    <s v="Barbyl"/>
    <s v="http://www.youtube.com/channel/UC_lJ_6b3_SsPHLlnRMpWNZA"/>
    <s v="Ugj2T6f1Glod23gCoAEC"/>
    <s v="wadBvDPeE4E"/>
    <s v="https://www.youtube.com/watch?v="/>
    <s v="none"/>
    <n v="0"/>
    <x v="394"/>
    <d v="2021-12-16T07:00:35.000"/>
    <m/>
    <m/>
    <s v=""/>
    <n v="1"/>
    <s v="4"/>
    <s v="4"/>
    <n v="0"/>
    <n v="0"/>
    <n v="0"/>
    <n v="0"/>
    <n v="0"/>
    <n v="0"/>
    <n v="3"/>
    <n v="100"/>
    <n v="3"/>
  </r>
  <r>
    <s v="UCUBj_5pwQZaoXfBrEQQbADw"/>
    <s v="UCJIWPruSbOyRLGmT901E58w"/>
    <m/>
    <m/>
    <m/>
    <m/>
    <m/>
    <m/>
    <m/>
    <m/>
    <s v="No"/>
    <n v="399"/>
    <m/>
    <m/>
    <s v="Replied Comment"/>
    <x v="1"/>
    <s v="The youtube algorithm is discouraging it  - because of social networks (funnily enough)"/>
    <s v="UCUBj_5pwQZaoXfBrEQQbADw"/>
    <s v="Chase Hughes"/>
    <s v="http://www.youtube.com/channel/UCUBj_5pwQZaoXfBrEQQbADw"/>
    <s v="Ugj2T6f1Glod23gCoAEC"/>
    <s v="wadBvDPeE4E"/>
    <s v="https://www.youtube.com/watch?v="/>
    <s v="none"/>
    <n v="1"/>
    <x v="395"/>
    <d v="2022-01-16T18:15:56.000"/>
    <m/>
    <m/>
    <s v=""/>
    <n v="1"/>
    <s v="4"/>
    <s v="4"/>
    <n v="1"/>
    <n v="8.333333333333334"/>
    <n v="2"/>
    <n v="16.666666666666668"/>
    <n v="0"/>
    <n v="0"/>
    <n v="9"/>
    <n v="75"/>
    <n v="12"/>
  </r>
  <r>
    <s v="UC4QXJxB1E0nhsRB_-le2K4w"/>
    <s v="UCJIWPruSbOyRLGmT901E58w"/>
    <m/>
    <m/>
    <m/>
    <m/>
    <m/>
    <m/>
    <m/>
    <m/>
    <s v="No"/>
    <n v="400"/>
    <m/>
    <m/>
    <s v="Replied Comment"/>
    <x v="1"/>
    <s v="Yes"/>
    <s v="UC4QXJxB1E0nhsRB_-le2K4w"/>
    <s v="Rolando Cocom"/>
    <s v="http://www.youtube.com/channel/UC4QXJxB1E0nhsRB_-le2K4w"/>
    <s v="Ugj2T6f1Glod23gCoAEC"/>
    <s v="wadBvDPeE4E"/>
    <s v="https://www.youtube.com/watch?v="/>
    <s v="none"/>
    <n v="0"/>
    <x v="396"/>
    <d v="2022-01-07T17:55:23.000"/>
    <m/>
    <m/>
    <s v=""/>
    <n v="2"/>
    <s v="4"/>
    <s v="4"/>
    <n v="0"/>
    <n v="0"/>
    <n v="0"/>
    <n v="0"/>
    <n v="0"/>
    <n v="0"/>
    <n v="1"/>
    <n v="100"/>
    <n v="1"/>
  </r>
  <r>
    <s v="UC4QXJxB1E0nhsRB_-le2K4w"/>
    <s v="UCJIWPruSbOyRLGmT901E58w"/>
    <m/>
    <m/>
    <m/>
    <m/>
    <m/>
    <m/>
    <m/>
    <m/>
    <s v="No"/>
    <n v="401"/>
    <m/>
    <m/>
    <s v="Replied Comment"/>
    <x v="1"/>
    <s v="@Chase Hughes 😂"/>
    <s v="UC4QXJxB1E0nhsRB_-le2K4w"/>
    <s v="Rolando Cocom"/>
    <s v="http://www.youtube.com/channel/UC4QXJxB1E0nhsRB_-le2K4w"/>
    <s v="Ugj2T6f1Glod23gCoAEC"/>
    <s v="wadBvDPeE4E"/>
    <s v="https://www.youtube.com/watch?v="/>
    <s v="none"/>
    <n v="0"/>
    <x v="397"/>
    <d v="2022-01-16T18:21:14.000"/>
    <m/>
    <m/>
    <s v=""/>
    <n v="2"/>
    <s v="4"/>
    <s v="4"/>
    <n v="0"/>
    <n v="0"/>
    <n v="0"/>
    <n v="0"/>
    <n v="0"/>
    <n v="0"/>
    <n v="2"/>
    <n v="100"/>
    <n v="2"/>
  </r>
  <r>
    <s v="UCQaK5XxT3ouapC4nahbygOw"/>
    <s v="UCJIWPruSbOyRLGmT901E58w"/>
    <m/>
    <m/>
    <m/>
    <m/>
    <m/>
    <m/>
    <m/>
    <m/>
    <s v="No"/>
    <n v="402"/>
    <m/>
    <m/>
    <s v="Replied Comment"/>
    <x v="1"/>
    <s v="Me too, man."/>
    <s v="UCQaK5XxT3ouapC4nahbygOw"/>
    <s v="Akira Vedya"/>
    <s v="http://www.youtube.com/channel/UCQaK5XxT3ouapC4nahbygOw"/>
    <s v="Ugj2T6f1Glod23gCoAEC"/>
    <s v="wadBvDPeE4E"/>
    <s v="https://www.youtube.com/watch?v="/>
    <s v="none"/>
    <n v="0"/>
    <x v="398"/>
    <d v="2022-02-08T03:08:38.000"/>
    <m/>
    <m/>
    <s v=""/>
    <n v="1"/>
    <s v="4"/>
    <s v="4"/>
    <n v="0"/>
    <n v="0"/>
    <n v="0"/>
    <n v="0"/>
    <n v="0"/>
    <n v="0"/>
    <n v="3"/>
    <n v="100"/>
    <n v="3"/>
  </r>
  <r>
    <s v="UClef0IgUbUnc5C36mbly74Q"/>
    <s v="UCJIWPruSbOyRLGmT901E58w"/>
    <m/>
    <m/>
    <m/>
    <m/>
    <m/>
    <m/>
    <m/>
    <m/>
    <s v="No"/>
    <n v="403"/>
    <m/>
    <m/>
    <s v="Replied Comment"/>
    <x v="1"/>
    <s v="Me too. I listen as I doze off &amp;amp; most have too little content for that."/>
    <s v="UClef0IgUbUnc5C36mbly74Q"/>
    <s v="Robin"/>
    <s v="http://www.youtube.com/channel/UClef0IgUbUnc5C36mbly74Q"/>
    <s v="Ugj2T6f1Glod23gCoAEC"/>
    <s v="wadBvDPeE4E"/>
    <s v="https://www.youtube.com/watch?v="/>
    <s v="none"/>
    <n v="0"/>
    <x v="399"/>
    <d v="2022-04-12T04:14:34.000"/>
    <m/>
    <m/>
    <s v=""/>
    <n v="1"/>
    <s v="4"/>
    <s v="4"/>
    <n v="0"/>
    <n v="0"/>
    <n v="0"/>
    <n v="0"/>
    <n v="0"/>
    <n v="0"/>
    <n v="16"/>
    <n v="100"/>
    <n v="16"/>
  </r>
  <r>
    <s v="UCzBlwYz1klkhuxyvJR2FYyw"/>
    <s v="UCJIWPruSbOyRLGmT901E58w"/>
    <m/>
    <m/>
    <m/>
    <m/>
    <m/>
    <m/>
    <m/>
    <m/>
    <s v="No"/>
    <n v="404"/>
    <m/>
    <m/>
    <s v="Replied Comment"/>
    <x v="1"/>
    <s v="@Car0line Adams pqr"/>
    <s v="UCzBlwYz1klkhuxyvJR2FYyw"/>
    <s v="Dinner Bone"/>
    <s v="http://www.youtube.com/channel/UCzBlwYz1klkhuxyvJR2FYyw"/>
    <s v="Ugj2T6f1Glod23gCoAEC"/>
    <s v="wadBvDPeE4E"/>
    <s v="https://www.youtube.com/watch?v="/>
    <s v="none"/>
    <n v="0"/>
    <x v="400"/>
    <d v="2022-05-28T12:47:06.000"/>
    <m/>
    <m/>
    <s v=""/>
    <n v="1"/>
    <s v="4"/>
    <s v="4"/>
    <n v="0"/>
    <n v="0"/>
    <n v="0"/>
    <n v="0"/>
    <n v="0"/>
    <n v="0"/>
    <n v="3"/>
    <n v="100"/>
    <n v="3"/>
  </r>
  <r>
    <s v="UCcWJRc2C1JbdQNmg__Nbh8w"/>
    <s v="UCJIWPruSbOyRLGmT901E58w"/>
    <m/>
    <m/>
    <m/>
    <m/>
    <m/>
    <m/>
    <m/>
    <m/>
    <s v="No"/>
    <n v="405"/>
    <m/>
    <m/>
    <s v="Replied Comment"/>
    <x v="1"/>
    <s v="i know right"/>
    <s v="UCcWJRc2C1JbdQNmg__Nbh8w"/>
    <s v="shiroi"/>
    <s v="http://www.youtube.com/channel/UCcWJRc2C1JbdQNmg__Nbh8w"/>
    <s v="Ugj2T6f1Glod23gCoAEC"/>
    <s v="wadBvDPeE4E"/>
    <s v="https://www.youtube.com/watch?v="/>
    <s v="none"/>
    <n v="0"/>
    <x v="401"/>
    <d v="2022-06-24T13:32:37.000"/>
    <m/>
    <m/>
    <s v=""/>
    <n v="1"/>
    <s v="4"/>
    <s v="4"/>
    <n v="1"/>
    <n v="33.333333333333336"/>
    <n v="0"/>
    <n v="0"/>
    <n v="0"/>
    <n v="0"/>
    <n v="2"/>
    <n v="66.66666666666667"/>
    <n v="3"/>
  </r>
  <r>
    <s v="UCkrkDiKoCo1FS0Gh4QqP-UQ"/>
    <s v="UCJIWPruSbOyRLGmT901E58w"/>
    <m/>
    <m/>
    <m/>
    <m/>
    <m/>
    <m/>
    <m/>
    <m/>
    <s v="No"/>
    <n v="406"/>
    <m/>
    <m/>
    <s v="Replied Comment"/>
    <x v="1"/>
    <s v="Unfortunately, the attention span of the population is decreasing..."/>
    <s v="UCkrkDiKoCo1FS0Gh4QqP-UQ"/>
    <s v="Vasco Amaral Grilo"/>
    <s v="http://www.youtube.com/channel/UCkrkDiKoCo1FS0Gh4QqP-UQ"/>
    <s v="Ugj2T6f1Glod23gCoAEC"/>
    <s v="wadBvDPeE4E"/>
    <s v="https://www.youtube.com/watch?v="/>
    <s v="none"/>
    <n v="16"/>
    <x v="402"/>
    <d v="2021-03-01T11:15:17.000"/>
    <m/>
    <m/>
    <s v=""/>
    <n v="1"/>
    <s v="4"/>
    <s v="4"/>
    <n v="0"/>
    <n v="0"/>
    <n v="1"/>
    <n v="11.11111111111111"/>
    <n v="0"/>
    <n v="0"/>
    <n v="8"/>
    <n v="88.88888888888889"/>
    <n v="9"/>
  </r>
  <r>
    <s v="UCJIWPruSbOyRLGmT901E58w"/>
    <s v="UCvQECJukTDE2i6aCoMnS-Vg"/>
    <m/>
    <m/>
    <m/>
    <m/>
    <m/>
    <m/>
    <m/>
    <m/>
    <s v="No"/>
    <n v="407"/>
    <m/>
    <m/>
    <s v="Commented Video"/>
    <x v="0"/>
    <s v="Man I wish they still put these longer videos out!"/>
    <s v="UCJIWPruSbOyRLGmT901E58w"/>
    <s v="Mr Pickles"/>
    <s v="http://www.youtube.com/channel/UCJIWPruSbOyRLGmT901E58w"/>
    <m/>
    <s v="wadBvDPeE4E"/>
    <s v="https://www.youtube.com/watch?v=wadBvDPeE4E"/>
    <s v="none"/>
    <n v="164"/>
    <x v="403"/>
    <d v="2015-05-13T04:10:25.000"/>
    <m/>
    <m/>
    <s v=""/>
    <n v="1"/>
    <s v="4"/>
    <s v="1"/>
    <n v="0"/>
    <n v="0"/>
    <n v="0"/>
    <n v="0"/>
    <n v="0"/>
    <n v="0"/>
    <n v="10"/>
    <n v="100"/>
    <n v="10"/>
  </r>
  <r>
    <s v="UCAau4ooACUu7BojOO-nwDBQ"/>
    <s v="UCvQECJukTDE2i6aCoMnS-Vg"/>
    <m/>
    <m/>
    <m/>
    <m/>
    <m/>
    <m/>
    <m/>
    <m/>
    <s v="No"/>
    <n v="408"/>
    <m/>
    <m/>
    <s v="Commented Video"/>
    <x v="0"/>
    <s v="Can some professional help me for this question about CPM&lt;br&gt;&lt;a href=&quot;http://math.stackexchange.com/questions/1308713/clique-percolation-method-calculation&quot;&gt;http://math.stackexchange.com/questions/1308713/clique-percolation-method-calculation&lt;/a&gt;"/>
    <s v="UCAau4ooACUu7BojOO-nwDBQ"/>
    <s v="leenk11 Mokeg"/>
    <s v="http://www.youtube.com/channel/UCAau4ooACUu7BojOO-nwDBQ"/>
    <m/>
    <s v="wadBvDPeE4E"/>
    <s v="https://www.youtube.com/watch?v=wadBvDPeE4E"/>
    <s v="none"/>
    <n v="0"/>
    <x v="404"/>
    <d v="2015-06-02T05:29:13.000"/>
    <s v=" http://math.stackexchange.com/questions/1308713/clique-percolation-method-calculation http://math.stackexchange.com/questions/1308713/clique-percolation-method-calculation"/>
    <s v="stackexchange.com stackexchange.com"/>
    <s v=""/>
    <n v="1"/>
    <s v="1"/>
    <s v="1"/>
    <n v="0"/>
    <n v="0"/>
    <n v="2"/>
    <n v="5.882352941176471"/>
    <n v="0"/>
    <n v="0"/>
    <n v="32"/>
    <n v="94.11764705882354"/>
    <n v="34"/>
  </r>
  <r>
    <s v="UC5JNe9QP8zRNsLI5YFRZ4oA"/>
    <s v="UCvQECJukTDE2i6aCoMnS-Vg"/>
    <m/>
    <m/>
    <m/>
    <m/>
    <m/>
    <m/>
    <m/>
    <m/>
    <s v="No"/>
    <n v="409"/>
    <m/>
    <m/>
    <s v="Commented Video"/>
    <x v="0"/>
    <s v="amazing video"/>
    <s v="UC5JNe9QP8zRNsLI5YFRZ4oA"/>
    <s v="Maria Alzamora"/>
    <s v="http://www.youtube.com/channel/UC5JNe9QP8zRNsLI5YFRZ4oA"/>
    <m/>
    <s v="wadBvDPeE4E"/>
    <s v="https://www.youtube.com/watch?v=wadBvDPeE4E"/>
    <s v="none"/>
    <n v="0"/>
    <x v="405"/>
    <d v="2015-06-05T16:49:56.000"/>
    <m/>
    <m/>
    <s v=""/>
    <n v="1"/>
    <s v="1"/>
    <s v="1"/>
    <n v="1"/>
    <n v="50"/>
    <n v="0"/>
    <n v="0"/>
    <n v="0"/>
    <n v="0"/>
    <n v="1"/>
    <n v="50"/>
    <n v="2"/>
  </r>
  <r>
    <s v="UCQA36wkfIi92Tj506EhCckA"/>
    <s v="UCvQECJukTDE2i6aCoMnS-Vg"/>
    <m/>
    <m/>
    <m/>
    <m/>
    <m/>
    <m/>
    <m/>
    <m/>
    <s v="No"/>
    <n v="410"/>
    <m/>
    <m/>
    <s v="Commented Video"/>
    <x v="0"/>
    <s v="Of course what we do depends on what others are doing around us. You generally have to know about something to do it. You don&amp;#39;t do stuff you don&amp;#39;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amp;#39;t know about, i.e. have not seen somebody else do it."/>
    <s v="UCQA36wkfIi92Tj506EhCckA"/>
    <s v="Lydia Pasitos"/>
    <s v="http://www.youtube.com/channel/UCQA36wkfIi92Tj506EhCckA"/>
    <m/>
    <s v="wadBvDPeE4E"/>
    <s v="https://www.youtube.com/watch?v=wadBvDPeE4E"/>
    <s v="none"/>
    <n v="0"/>
    <x v="406"/>
    <d v="2015-08-02T16:48:31.000"/>
    <m/>
    <m/>
    <s v=""/>
    <n v="1"/>
    <s v="1"/>
    <s v="1"/>
    <n v="1"/>
    <n v="0.9803921568627451"/>
    <n v="0"/>
    <n v="0"/>
    <n v="0"/>
    <n v="0"/>
    <n v="101"/>
    <n v="99.01960784313725"/>
    <n v="102"/>
  </r>
  <r>
    <s v="UCgUhHwLepU37Cq-ragKIpNQ"/>
    <s v="UCu5WfUbKdhLCW9aPq3WZsNA"/>
    <m/>
    <m/>
    <m/>
    <m/>
    <m/>
    <m/>
    <m/>
    <m/>
    <s v="No"/>
    <n v="411"/>
    <m/>
    <m/>
    <s v="Replied Comment"/>
    <x v="1"/>
    <s v="Um...this man was a biology major at Yale before getting an MD at Harvard, then a PhD in Soc. Therefore, he is the exact kind of intelligence you&amp;#39;re describing as superior. Keeping that in mind, the disparaging tone of your comment is illogical."/>
    <s v="UCgUhHwLepU37Cq-ragKIpNQ"/>
    <s v="Roll0112358"/>
    <s v="http://www.youtube.com/channel/UCgUhHwLepU37Cq-ragKIpNQ"/>
    <s v="Ugi5OJRjRTbRjHgCoAEC"/>
    <s v="wadBvDPeE4E"/>
    <s v="https://www.youtube.com/watch?v=wadBvDPeE4E"/>
    <s v="none"/>
    <n v="16"/>
    <x v="407"/>
    <d v="2016-05-26T15:28:03.000"/>
    <m/>
    <m/>
    <s v=""/>
    <n v="1"/>
    <s v="10"/>
    <s v="10"/>
    <n v="2"/>
    <n v="4.3478260869565215"/>
    <n v="2"/>
    <n v="4.3478260869565215"/>
    <n v="0"/>
    <n v="0"/>
    <n v="42"/>
    <n v="91.30434782608695"/>
    <n v="46"/>
  </r>
  <r>
    <s v="UCu5WfUbKdhLCW9aPq3WZsNA"/>
    <s v="UCvQECJukTDE2i6aCoMnS-Vg"/>
    <m/>
    <m/>
    <m/>
    <m/>
    <m/>
    <m/>
    <m/>
    <m/>
    <s v="No"/>
    <n v="412"/>
    <m/>
    <m/>
    <s v="Commented Video"/>
    <x v="0"/>
    <s v="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amp;quot;30 worst college degrees&amp;quot; . Go ahead, Google it. &lt;br&gt;&lt;br&gt;Those degrees exist in order to keep retards paying tuition. Only about 10% of the population is actually smart enough to get a real degree. The rest get fake degrees, and act like they know something."/>
    <s v="UCu5WfUbKdhLCW9aPq3WZsNA"/>
    <s v="stephenmwyatt2"/>
    <s v="http://www.youtube.com/channel/UCu5WfUbKdhLCW9aPq3WZsNA"/>
    <m/>
    <s v="wadBvDPeE4E"/>
    <s v="https://www.youtube.com/watch?v=wadBvDPeE4E"/>
    <s v="none"/>
    <n v="2"/>
    <x v="408"/>
    <d v="2015-09-01T12:57:09.000"/>
    <m/>
    <m/>
    <s v=""/>
    <n v="1"/>
    <s v="10"/>
    <s v="1"/>
    <n v="7"/>
    <n v="5.6"/>
    <n v="9"/>
    <n v="7.2"/>
    <n v="0"/>
    <n v="0"/>
    <n v="109"/>
    <n v="87.2"/>
    <n v="125"/>
  </r>
  <r>
    <s v="UCIRKurTHQZbcvnzcP9qq2RQ"/>
    <s v="UCvQECJukTDE2i6aCoMnS-Vg"/>
    <m/>
    <m/>
    <m/>
    <m/>
    <m/>
    <m/>
    <m/>
    <m/>
    <s v="No"/>
    <n v="413"/>
    <m/>
    <m/>
    <s v="Commented Video"/>
    <x v="0"/>
    <s v="Amazing"/>
    <s v="UCIRKurTHQZbcvnzcP9qq2RQ"/>
    <s v="Nick Leoheart"/>
    <s v="http://www.youtube.com/channel/UCIRKurTHQZbcvnzcP9qq2RQ"/>
    <m/>
    <s v="wadBvDPeE4E"/>
    <s v="https://www.youtube.com/watch?v=wadBvDPeE4E"/>
    <s v="none"/>
    <n v="2"/>
    <x v="409"/>
    <d v="2015-09-06T16:36:43.000"/>
    <m/>
    <m/>
    <s v=""/>
    <n v="1"/>
    <s v="1"/>
    <s v="1"/>
    <n v="1"/>
    <n v="100"/>
    <n v="0"/>
    <n v="0"/>
    <n v="0"/>
    <n v="0"/>
    <n v="0"/>
    <n v="0"/>
    <n v="1"/>
  </r>
  <r>
    <s v="UCJxsJfUTdHcEZ2gUemsUU1g"/>
    <s v="UCvQECJukTDE2i6aCoMnS-Vg"/>
    <m/>
    <m/>
    <m/>
    <m/>
    <m/>
    <m/>
    <m/>
    <m/>
    <s v="No"/>
    <n v="414"/>
    <m/>
    <m/>
    <s v="Commented Video"/>
    <x v="0"/>
    <s v="Completely lost it at, &amp;quot;Oh shit. I don&amp;#39;t want to die.&amp;quot; lololol"/>
    <s v="UCJxsJfUTdHcEZ2gUemsUU1g"/>
    <s v="Kevin Pedraza"/>
    <s v="http://www.youtube.com/channel/UCJxsJfUTdHcEZ2gUemsUU1g"/>
    <m/>
    <s v="wadBvDPeE4E"/>
    <s v="https://www.youtube.com/watch?v=wadBvDPeE4E"/>
    <s v="none"/>
    <n v="14"/>
    <x v="410"/>
    <d v="2015-09-18T05:06:42.000"/>
    <m/>
    <m/>
    <s v=""/>
    <n v="1"/>
    <s v="1"/>
    <s v="1"/>
    <n v="0"/>
    <n v="0"/>
    <n v="3"/>
    <n v="18.75"/>
    <n v="0"/>
    <n v="0"/>
    <n v="13"/>
    <n v="81.25"/>
    <n v="16"/>
  </r>
  <r>
    <s v="UCNUGMBHK4lmDI5WepvRT4DA"/>
    <s v="UCvQECJukTDE2i6aCoMnS-Vg"/>
    <m/>
    <m/>
    <m/>
    <m/>
    <m/>
    <m/>
    <m/>
    <m/>
    <s v="No"/>
    <n v="415"/>
    <m/>
    <m/>
    <s v="Commented Video"/>
    <x v="0"/>
    <s v="Awesome presentation.  School is in!  Thank you!"/>
    <s v="UCNUGMBHK4lmDI5WepvRT4DA"/>
    <s v="Don Mahaffey Weaver II D2D Car and Truck Desks"/>
    <s v="http://www.youtube.com/channel/UCNUGMBHK4lmDI5WepvRT4DA"/>
    <m/>
    <s v="wadBvDPeE4E"/>
    <s v="https://www.youtube.com/watch?v=wadBvDPeE4E"/>
    <s v="none"/>
    <n v="2"/>
    <x v="411"/>
    <d v="2015-09-30T20:29:32.000"/>
    <m/>
    <m/>
    <s v=""/>
    <n v="1"/>
    <s v="1"/>
    <s v="1"/>
    <n v="2"/>
    <n v="28.571428571428573"/>
    <n v="0"/>
    <n v="0"/>
    <n v="0"/>
    <n v="0"/>
    <n v="5"/>
    <n v="71.42857142857143"/>
    <n v="7"/>
  </r>
  <r>
    <s v="UCj8T96meSgpGxUWeEj3vWPw"/>
    <s v="UCvQECJukTDE2i6aCoMnS-Vg"/>
    <m/>
    <m/>
    <m/>
    <m/>
    <m/>
    <m/>
    <m/>
    <m/>
    <s v="No"/>
    <n v="416"/>
    <m/>
    <m/>
    <s v="Commented Video"/>
    <x v="0"/>
    <s v="great presentation"/>
    <s v="UCj8T96meSgpGxUWeEj3vWPw"/>
    <s v="Jay G"/>
    <s v="http://www.youtube.com/channel/UCj8T96meSgpGxUWeEj3vWPw"/>
    <m/>
    <s v="wadBvDPeE4E"/>
    <s v="https://www.youtube.com/watch?v=wadBvDPeE4E"/>
    <s v="none"/>
    <n v="2"/>
    <x v="412"/>
    <d v="2015-11-08T17:57:48.000"/>
    <m/>
    <m/>
    <s v=""/>
    <n v="1"/>
    <s v="1"/>
    <s v="1"/>
    <n v="1"/>
    <n v="50"/>
    <n v="0"/>
    <n v="0"/>
    <n v="0"/>
    <n v="0"/>
    <n v="1"/>
    <n v="50"/>
    <n v="2"/>
  </r>
  <r>
    <s v="UCBwwnBABR8YjpkkX2POIKhQ"/>
    <s v="UC_mKIWTfVDNBISECBLyj7rg"/>
    <m/>
    <m/>
    <m/>
    <m/>
    <m/>
    <m/>
    <m/>
    <m/>
    <s v="No"/>
    <n v="417"/>
    <m/>
    <m/>
    <s v="Replied Comment"/>
    <x v="1"/>
    <s v="+PhiloAmericana It&amp;#39;s quite sad."/>
    <s v="UCBwwnBABR8YjpkkX2POIKhQ"/>
    <s v="WolfStormAsh"/>
    <s v="http://www.youtube.com/channel/UCBwwnBABR8YjpkkX2POIKhQ"/>
    <s v="UghnG5GFaVHvRXgCoAEC"/>
    <s v="wadBvDPeE4E"/>
    <s v="https://www.youtube.com/watch?v="/>
    <s v="none"/>
    <n v="1"/>
    <x v="413"/>
    <d v="2015-11-10T16:34:26.000"/>
    <m/>
    <m/>
    <s v=""/>
    <n v="1"/>
    <s v="2"/>
    <s v="2"/>
    <n v="0"/>
    <n v="0"/>
    <n v="1"/>
    <n v="16.666666666666668"/>
    <n v="0"/>
    <n v="0"/>
    <n v="5"/>
    <n v="83.33333333333333"/>
    <n v="6"/>
  </r>
  <r>
    <s v="UC1He2YUcIuOGoVUIQZxOBDw"/>
    <s v="UC_mKIWTfVDNBISECBLyj7rg"/>
    <m/>
    <m/>
    <m/>
    <m/>
    <m/>
    <m/>
    <m/>
    <m/>
    <s v="No"/>
    <n v="418"/>
    <m/>
    <m/>
    <s v="Replied Comment"/>
    <x v="1"/>
    <s v="+Stefan Tallaj Rodriguez more specifically, he was reported second hand by his wife as having said on the topic of offensive halloween costumes, &amp;quot;just don&amp;#39;t look at them if it&amp;#39;s offensive&amp;quot;, or something similar to that remark based on what i can find. the rest of the overall e-mail seemed more or less innocuous but that was, quite frankly, a dumb suggestion because the point is not &amp;quot;it upsets me when i see it&amp;quot; but rather, that it forms a sociological structure that it&amp;#39;s damn near impossible to exist in. normally sociologists don&amp;#39;t need this stuff explained to them"/>
    <s v="UC1He2YUcIuOGoVUIQZxOBDw"/>
    <s v="Dinoshark Robopope"/>
    <s v="http://www.youtube.com/channel/UC1He2YUcIuOGoVUIQZxOBDw"/>
    <s v="UghnG5GFaVHvRXgCoAEC"/>
    <s v="wadBvDPeE4E"/>
    <s v="https://www.youtube.com/watch?v="/>
    <s v="none"/>
    <n v="2"/>
    <x v="414"/>
    <d v="2016-06-05T07:29:40.000"/>
    <m/>
    <m/>
    <s v=""/>
    <n v="1"/>
    <s v="2"/>
    <s v="2"/>
    <n v="1"/>
    <n v="0.8928571428571429"/>
    <n v="6"/>
    <n v="5.357142857142857"/>
    <n v="0"/>
    <n v="0"/>
    <n v="105"/>
    <n v="93.75"/>
    <n v="112"/>
  </r>
  <r>
    <s v="UCRkgxOcNAD-ttZMxrrN5GYQ"/>
    <s v="UC_mKIWTfVDNBISECBLyj7rg"/>
    <m/>
    <m/>
    <m/>
    <m/>
    <m/>
    <m/>
    <m/>
    <m/>
    <s v="No"/>
    <n v="419"/>
    <m/>
    <m/>
    <s v="Replied Comment"/>
    <x v="1"/>
    <s v="a horrible episode in the universities history! that was a very very shame chapter in human life :("/>
    <s v="UCRkgxOcNAD-ttZMxrrN5GYQ"/>
    <s v="Adrián De la Rosa"/>
    <s v="http://www.youtube.com/channel/UCRkgxOcNAD-ttZMxrrN5GYQ"/>
    <s v="UghnG5GFaVHvRXgCoAEC"/>
    <s v="wadBvDPeE4E"/>
    <s v="https://www.youtube.com/watch?v="/>
    <s v="none"/>
    <n v="1"/>
    <x v="415"/>
    <d v="2018-04-09T17:13:34.000"/>
    <m/>
    <m/>
    <s v=""/>
    <n v="1"/>
    <s v="2"/>
    <s v="2"/>
    <n v="0"/>
    <n v="0"/>
    <n v="2"/>
    <n v="11.764705882352942"/>
    <n v="0"/>
    <n v="0"/>
    <n v="15"/>
    <n v="88.23529411764706"/>
    <n v="17"/>
  </r>
  <r>
    <s v="UC31_D_S1fQ8DcaEMLpTe9qw"/>
    <s v="UC_mKIWTfVDNBISECBLyj7rg"/>
    <m/>
    <m/>
    <m/>
    <m/>
    <m/>
    <m/>
    <m/>
    <m/>
    <s v="No"/>
    <n v="420"/>
    <m/>
    <m/>
    <s v="Replied Comment"/>
    <x v="1"/>
    <s v="He flirted with people on Halloween and refused to accept them as the people who they truly were (without costume and the roles on November 1st)"/>
    <s v="UC31_D_S1fQ8DcaEMLpTe9qw"/>
    <s v="routinely random"/>
    <s v="http://www.youtube.com/channel/UC31_D_S1fQ8DcaEMLpTe9qw"/>
    <s v="UghnG5GFaVHvRXgCoAEC"/>
    <s v="wadBvDPeE4E"/>
    <s v="https://www.youtube.com/watch?v="/>
    <s v="none"/>
    <n v="0"/>
    <x v="416"/>
    <d v="2021-06-08T15:46:12.000"/>
    <m/>
    <m/>
    <s v=""/>
    <n v="2"/>
    <s v="2"/>
    <s v="2"/>
    <n v="0"/>
    <n v="0"/>
    <n v="1"/>
    <n v="3.8461538461538463"/>
    <n v="0"/>
    <n v="0"/>
    <n v="25"/>
    <n v="96.15384615384616"/>
    <n v="26"/>
  </r>
  <r>
    <s v="UC31_D_S1fQ8DcaEMLpTe9qw"/>
    <s v="UC_mKIWTfVDNBISECBLyj7rg"/>
    <m/>
    <m/>
    <m/>
    <m/>
    <m/>
    <m/>
    <m/>
    <m/>
    <s v="No"/>
    <n v="421"/>
    <m/>
    <m/>
    <s v="Replied Comment"/>
    <x v="1"/>
    <s v="Jk. I&amp;#39;m curious as well"/>
    <s v="UC31_D_S1fQ8DcaEMLpTe9qw"/>
    <s v="routinely random"/>
    <s v="http://www.youtube.com/channel/UC31_D_S1fQ8DcaEMLpTe9qw"/>
    <s v="UghnG5GFaVHvRXgCoAEC"/>
    <s v="wadBvDPeE4E"/>
    <s v="https://www.youtube.com/watch?v="/>
    <s v="none"/>
    <n v="0"/>
    <x v="417"/>
    <d v="2021-06-08T15:46:42.000"/>
    <m/>
    <m/>
    <s v=""/>
    <n v="2"/>
    <s v="2"/>
    <s v="2"/>
    <n v="1"/>
    <n v="14.285714285714286"/>
    <n v="0"/>
    <n v="0"/>
    <n v="0"/>
    <n v="0"/>
    <n v="6"/>
    <n v="85.71428571428571"/>
    <n v="7"/>
  </r>
  <r>
    <s v="UCQOYwrCd1Ajqi2UDuhDdXHA"/>
    <s v="UC_mKIWTfVDNBISECBLyj7rg"/>
    <m/>
    <m/>
    <m/>
    <m/>
    <m/>
    <m/>
    <m/>
    <m/>
    <s v="No"/>
    <n v="422"/>
    <m/>
    <m/>
    <s v="Replied Comment"/>
    <x v="1"/>
    <s v="curiously, would somebody tell me what happened?"/>
    <s v="UCQOYwrCd1Ajqi2UDuhDdXHA"/>
    <s v="Medb YHI"/>
    <s v="http://www.youtube.com/channel/UCQOYwrCd1Ajqi2UDuhDdXHA"/>
    <s v="UghnG5GFaVHvRXgCoAEC"/>
    <s v="wadBvDPeE4E"/>
    <s v="https://www.youtube.com/watch?v="/>
    <s v="none"/>
    <n v="0"/>
    <x v="418"/>
    <d v="2021-05-27T20:49:08.000"/>
    <m/>
    <m/>
    <s v=""/>
    <n v="2"/>
    <s v="2"/>
    <s v="2"/>
    <n v="0"/>
    <n v="0"/>
    <n v="0"/>
    <n v="0"/>
    <n v="0"/>
    <n v="0"/>
    <n v="7"/>
    <n v="100"/>
    <n v="7"/>
  </r>
  <r>
    <s v="UCQOYwrCd1Ajqi2UDuhDdXHA"/>
    <s v="UC_mKIWTfVDNBISECBLyj7rg"/>
    <m/>
    <m/>
    <m/>
    <m/>
    <m/>
    <m/>
    <m/>
    <m/>
    <s v="No"/>
    <n v="423"/>
    <m/>
    <m/>
    <s v="Replied Comment"/>
    <x v="1"/>
    <s v="@Mike Kane &amp;quot;In a nutshell&amp;quot; must be a coconut, i guess"/>
    <s v="UCQOYwrCd1Ajqi2UDuhDdXHA"/>
    <s v="Medb YHI"/>
    <s v="http://www.youtube.com/channel/UCQOYwrCd1Ajqi2UDuhDdXHA"/>
    <s v="UghnG5GFaVHvRXgCoAEC"/>
    <s v="wadBvDPeE4E"/>
    <s v="https://www.youtube.com/watch?v="/>
    <s v="none"/>
    <n v="0"/>
    <x v="419"/>
    <d v="2021-06-30T13:32:05.000"/>
    <m/>
    <m/>
    <s v=""/>
    <n v="2"/>
    <s v="2"/>
    <s v="2"/>
    <n v="0"/>
    <n v="0"/>
    <n v="0"/>
    <n v="0"/>
    <n v="0"/>
    <n v="0"/>
    <n v="13"/>
    <n v="100"/>
    <n v="13"/>
  </r>
  <r>
    <s v="UC_mKIWTfVDNBISECBLyj7rg"/>
    <s v="UCvQECJukTDE2i6aCoMnS-Vg"/>
    <m/>
    <m/>
    <m/>
    <m/>
    <m/>
    <m/>
    <m/>
    <m/>
    <s v="No"/>
    <n v="424"/>
    <m/>
    <m/>
    <s v="Commented Video"/>
    <x v="0"/>
    <s v="I&amp;#39;m sorry you&amp;#39;ve been so disrespected by the students at Yale."/>
    <s v="UC_mKIWTfVDNBISECBLyj7rg"/>
    <s v="PhiloAmericana"/>
    <s v="http://www.youtube.com/channel/UC_mKIWTfVDNBISECBLyj7rg"/>
    <m/>
    <s v="wadBvDPeE4E"/>
    <s v="https://www.youtube.com/watch?v=wadBvDPeE4E"/>
    <s v="none"/>
    <n v="93"/>
    <x v="420"/>
    <d v="2015-11-10T08:23:31.000"/>
    <m/>
    <m/>
    <s v=""/>
    <n v="1"/>
    <s v="2"/>
    <s v="1"/>
    <n v="0"/>
    <n v="0"/>
    <n v="1"/>
    <n v="6.666666666666667"/>
    <n v="0"/>
    <n v="0"/>
    <n v="14"/>
    <n v="93.33333333333333"/>
    <n v="15"/>
  </r>
  <r>
    <s v="UCGe-3qua4-zl4IVLjKuSSkQ"/>
    <s v="UCo1yYFXXGv6yyDnxPqc3dEw"/>
    <m/>
    <m/>
    <m/>
    <m/>
    <m/>
    <m/>
    <m/>
    <m/>
    <s v="No"/>
    <n v="425"/>
    <m/>
    <m/>
    <s v="Replied Comment"/>
    <x v="1"/>
    <s v="Sociology isn&amp;#39;t socialism."/>
    <s v="UCGe-3qua4-zl4IVLjKuSSkQ"/>
    <s v="Keegan"/>
    <s v="http://www.youtube.com/channel/UCGe-3qua4-zl4IVLjKuSSkQ"/>
    <s v="UggRqijNktuPhngCoAEC"/>
    <s v="wadBvDPeE4E"/>
    <s v="https://www.youtube.com/watch?v=wadBvDPeE4E"/>
    <s v="none"/>
    <n v="7"/>
    <x v="421"/>
    <d v="2016-02-10T00:44:15.000"/>
    <m/>
    <m/>
    <s v=""/>
    <n v="1"/>
    <s v="9"/>
    <s v="9"/>
    <n v="0"/>
    <n v="0"/>
    <n v="0"/>
    <n v="0"/>
    <n v="0"/>
    <n v="0"/>
    <n v="5"/>
    <n v="100"/>
    <n v="5"/>
  </r>
  <r>
    <s v="UCMcUd9dBENyk2nT6g_lXKhQ"/>
    <s v="UCo1yYFXXGv6yyDnxPqc3dEw"/>
    <m/>
    <m/>
    <m/>
    <m/>
    <m/>
    <m/>
    <m/>
    <m/>
    <s v="No"/>
    <n v="426"/>
    <m/>
    <m/>
    <s v="Replied Comment"/>
    <x v="1"/>
    <s v="+saborfrancias sociology is a field of study, not an idiology. get your facts straight"/>
    <s v="UCMcUd9dBENyk2nT6g_lXKhQ"/>
    <s v="A1tre"/>
    <s v="http://www.youtube.com/channel/UCMcUd9dBENyk2nT6g_lXKhQ"/>
    <s v="UggRqijNktuPhngCoAEC"/>
    <s v="wadBvDPeE4E"/>
    <s v="https://www.youtube.com/watch?v=wadBvDPeE4E"/>
    <s v="none"/>
    <n v="8"/>
    <x v="422"/>
    <d v="2016-01-19T14:26:25.000"/>
    <m/>
    <m/>
    <s v=""/>
    <n v="2"/>
    <s v="9"/>
    <s v="9"/>
    <n v="0"/>
    <n v="0"/>
    <n v="0"/>
    <n v="0"/>
    <n v="0"/>
    <n v="0"/>
    <n v="14"/>
    <n v="100"/>
    <n v="14"/>
  </r>
  <r>
    <s v="UCMcUd9dBENyk2nT6g_lXKhQ"/>
    <s v="UCo1yYFXXGv6yyDnxPqc3dEw"/>
    <m/>
    <m/>
    <m/>
    <m/>
    <m/>
    <m/>
    <m/>
    <m/>
    <s v="No"/>
    <n v="427"/>
    <m/>
    <m/>
    <s v="Replied Comment"/>
    <x v="1"/>
    <s v="@*****&lt;br&gt;it&amp;#39;s a social science, deal with it.&lt;br&gt;&lt;br&gt;And tell me your definition of pseudoscience"/>
    <s v="UCMcUd9dBENyk2nT6g_lXKhQ"/>
    <s v="A1tre"/>
    <s v="http://www.youtube.com/channel/UCMcUd9dBENyk2nT6g_lXKhQ"/>
    <s v="UggRqijNktuPhngCoAEC"/>
    <s v="wadBvDPeE4E"/>
    <s v="https://www.youtube.com/watch?v=wadBvDPeE4E"/>
    <s v="none"/>
    <n v="0"/>
    <x v="423"/>
    <d v="2016-06-20T00:51:01.000"/>
    <m/>
    <m/>
    <s v=""/>
    <n v="2"/>
    <s v="9"/>
    <s v="9"/>
    <n v="0"/>
    <n v="0"/>
    <n v="0"/>
    <n v="0"/>
    <n v="0"/>
    <n v="0"/>
    <n v="19"/>
    <n v="100"/>
    <n v="19"/>
  </r>
  <r>
    <s v="UCo1yYFXXGv6yyDnxPqc3dEw"/>
    <s v="UCo1yYFXXGv6yyDnxPqc3dEw"/>
    <m/>
    <m/>
    <m/>
    <m/>
    <m/>
    <m/>
    <m/>
    <m/>
    <s v="No"/>
    <n v="428"/>
    <m/>
    <m/>
    <s v="Replied Comment"/>
    <x v="1"/>
    <s v="@MitchS The dogmas of sociology are marxists and freudian in its origin. "/>
    <s v="UCo1yYFXXGv6yyDnxPqc3dEw"/>
    <s v="saborfrancias"/>
    <s v="http://www.youtube.com/channel/UCo1yYFXXGv6yyDnxPqc3dEw"/>
    <s v="UggRqijNktuPhngCoAEC"/>
    <s v="wadBvDPeE4E"/>
    <s v="https://www.youtube.com/watch?v=wadBvDPeE4E"/>
    <s v="none"/>
    <n v="0"/>
    <x v="424"/>
    <d v="2016-01-19T21:44:59.000"/>
    <m/>
    <m/>
    <s v=""/>
    <n v="1"/>
    <s v="9"/>
    <s v="9"/>
    <n v="0"/>
    <n v="0"/>
    <n v="0"/>
    <n v="0"/>
    <n v="0"/>
    <n v="0"/>
    <n v="12"/>
    <n v="100"/>
    <n v="12"/>
  </r>
  <r>
    <s v="UCo1yYFXXGv6yyDnxPqc3dEw"/>
    <s v="UCvQECJukTDE2i6aCoMnS-Vg"/>
    <m/>
    <m/>
    <m/>
    <m/>
    <m/>
    <m/>
    <m/>
    <m/>
    <s v="No"/>
    <n v="429"/>
    <m/>
    <m/>
    <s v="Commented Video"/>
    <x v="0"/>
    <s v="He is a victim of his own ideology. Sociology is totally based on marxism and subversion."/>
    <s v="UCo1yYFXXGv6yyDnxPqc3dEw"/>
    <s v="saborfrancias"/>
    <s v="http://www.youtube.com/channel/UCo1yYFXXGv6yyDnxPqc3dEw"/>
    <m/>
    <s v="wadBvDPeE4E"/>
    <s v="https://www.youtube.com/watch?v=wadBvDPeE4E"/>
    <s v="none"/>
    <n v="1"/>
    <x v="425"/>
    <d v="2015-11-11T18:35:58.000"/>
    <m/>
    <m/>
    <s v=""/>
    <n v="1"/>
    <s v="9"/>
    <s v="1"/>
    <n v="0"/>
    <n v="0"/>
    <n v="1"/>
    <n v="6.25"/>
    <n v="0"/>
    <n v="0"/>
    <n v="15"/>
    <n v="93.75"/>
    <n v="16"/>
  </r>
  <r>
    <s v="UCE7SZP9icvQdqTn2NdESMZQ"/>
    <s v="UCwW5FE8qaZyP4-J7eg2hOIg"/>
    <m/>
    <m/>
    <m/>
    <m/>
    <m/>
    <m/>
    <m/>
    <m/>
    <s v="No"/>
    <n v="430"/>
    <m/>
    <m/>
    <s v="Replied Comment"/>
    <x v="1"/>
    <s v="chris d yes! Super interesting!!"/>
    <s v="UCE7SZP9icvQdqTn2NdESMZQ"/>
    <s v="DyceBookClub"/>
    <s v="http://www.youtube.com/channel/UCE7SZP9icvQdqTn2NdESMZQ"/>
    <s v="Ugiw409X0mYeoXgCoAEC"/>
    <s v="wadBvDPeE4E"/>
    <s v="https://www.youtube.com/watch?v=wadBvDPeE4E"/>
    <s v="none"/>
    <n v="0"/>
    <x v="426"/>
    <d v="2016-11-01T21:16:22.000"/>
    <m/>
    <m/>
    <s v=""/>
    <n v="1"/>
    <s v="5"/>
    <s v="5"/>
    <n v="2"/>
    <n v="40"/>
    <n v="0"/>
    <n v="0"/>
    <n v="0"/>
    <n v="0"/>
    <n v="3"/>
    <n v="60"/>
    <n v="5"/>
  </r>
  <r>
    <s v="UCwW5FE8qaZyP4-J7eg2hOIg"/>
    <s v="UCvQECJukTDE2i6aCoMnS-Vg"/>
    <m/>
    <m/>
    <m/>
    <m/>
    <m/>
    <m/>
    <m/>
    <m/>
    <s v="No"/>
    <n v="431"/>
    <m/>
    <m/>
    <s v="Commented Video"/>
    <x v="0"/>
    <s v="excellent, very interesting thank you"/>
    <s v="UCwW5FE8qaZyP4-J7eg2hOIg"/>
    <s v="chris d"/>
    <s v="http://www.youtube.com/channel/UCwW5FE8qaZyP4-J7eg2hOIg"/>
    <m/>
    <s v="wadBvDPeE4E"/>
    <s v="https://www.youtube.com/watch?v=wadBvDPeE4E"/>
    <s v="none"/>
    <n v="0"/>
    <x v="427"/>
    <d v="2015-11-30T00:18:45.000"/>
    <m/>
    <m/>
    <s v=""/>
    <n v="1"/>
    <s v="5"/>
    <s v="1"/>
    <n v="3"/>
    <n v="60"/>
    <n v="0"/>
    <n v="0"/>
    <n v="0"/>
    <n v="0"/>
    <n v="2"/>
    <n v="40"/>
    <n v="5"/>
  </r>
  <r>
    <s v="UCE7SZP9icvQdqTn2NdESMZQ"/>
    <s v="UCtTGSzV4rsyUKX7wZ1HssQg"/>
    <m/>
    <m/>
    <m/>
    <m/>
    <m/>
    <m/>
    <m/>
    <m/>
    <s v="No"/>
    <n v="432"/>
    <m/>
    <m/>
    <s v="Replied Comment"/>
    <x v="1"/>
    <s v="marteen cowan superrrr interesting! Totally agree"/>
    <s v="UCE7SZP9icvQdqTn2NdESMZQ"/>
    <s v="DyceBookClub"/>
    <s v="http://www.youtube.com/channel/UCE7SZP9icvQdqTn2NdESMZQ"/>
    <s v="UghN6LHXkeKz5XgCoAEC"/>
    <s v="wadBvDPeE4E"/>
    <s v="https://www.youtube.com/watch?v=wadBvDPeE4E"/>
    <s v="none"/>
    <n v="0"/>
    <x v="428"/>
    <d v="2016-11-01T21:16:48.000"/>
    <m/>
    <m/>
    <s v=""/>
    <n v="1"/>
    <s v="5"/>
    <s v="5"/>
    <n v="1"/>
    <n v="16.666666666666668"/>
    <n v="0"/>
    <n v="0"/>
    <n v="0"/>
    <n v="0"/>
    <n v="5"/>
    <n v="83.33333333333333"/>
    <n v="6"/>
  </r>
  <r>
    <s v="UCtTGSzV4rsyUKX7wZ1HssQg"/>
    <s v="UCvQECJukTDE2i6aCoMnS-Vg"/>
    <m/>
    <m/>
    <m/>
    <m/>
    <m/>
    <m/>
    <m/>
    <m/>
    <s v="No"/>
    <n v="433"/>
    <m/>
    <m/>
    <s v="Commented Video"/>
    <x v="0"/>
    <s v="loved it, very interesting thankyou!"/>
    <s v="UCtTGSzV4rsyUKX7wZ1HssQg"/>
    <s v="Marteen Cowan"/>
    <s v="http://www.youtube.com/channel/UCtTGSzV4rsyUKX7wZ1HssQg"/>
    <m/>
    <s v="wadBvDPeE4E"/>
    <s v="https://www.youtube.com/watch?v=wadBvDPeE4E"/>
    <s v="none"/>
    <n v="0"/>
    <x v="429"/>
    <d v="2015-12-01T08:19:39.000"/>
    <m/>
    <m/>
    <s v=""/>
    <n v="1"/>
    <s v="5"/>
    <s v="1"/>
    <n v="2"/>
    <n v="40"/>
    <n v="0"/>
    <n v="0"/>
    <n v="0"/>
    <n v="0"/>
    <n v="3"/>
    <n v="60"/>
    <n v="5"/>
  </r>
  <r>
    <s v="UCLAKOuNTsy7brXkqnf8VMZw"/>
    <s v="UCvQECJukTDE2i6aCoMnS-Vg"/>
    <m/>
    <m/>
    <m/>
    <m/>
    <m/>
    <m/>
    <m/>
    <m/>
    <s v="No"/>
    <n v="434"/>
    <m/>
    <m/>
    <s v="Commented Video"/>
    <x v="0"/>
    <s v="Thank you."/>
    <s v="UCLAKOuNTsy7brXkqnf8VMZw"/>
    <s v="EcoVentureLogue"/>
    <s v="http://www.youtube.com/channel/UCLAKOuNTsy7brXkqnf8VMZw"/>
    <m/>
    <s v="wadBvDPeE4E"/>
    <s v="https://www.youtube.com/watch?v=wadBvDPeE4E"/>
    <s v="none"/>
    <n v="0"/>
    <x v="430"/>
    <d v="2016-01-09T17:34:58.000"/>
    <m/>
    <m/>
    <s v=""/>
    <n v="1"/>
    <s v="1"/>
    <s v="1"/>
    <n v="1"/>
    <n v="50"/>
    <n v="0"/>
    <n v="0"/>
    <n v="0"/>
    <n v="0"/>
    <n v="1"/>
    <n v="50"/>
    <n v="2"/>
  </r>
  <r>
    <s v="UC0Ic0uvANWeMxAyfIVLZMqg"/>
    <s v="UCvQECJukTDE2i6aCoMnS-Vg"/>
    <m/>
    <m/>
    <m/>
    <m/>
    <m/>
    <m/>
    <m/>
    <m/>
    <s v="No"/>
    <n v="435"/>
    <m/>
    <m/>
    <s v="Commented Video"/>
    <x v="0"/>
    <s v="OUR BIGGEST EXCUSE IS SOCIETY, WHAT USUALLY OTHER PEOPLE DO"/>
    <s v="UC0Ic0uvANWeMxAyfIVLZMqg"/>
    <s v="ERWIN ELIECER GUEVARA SOLANO"/>
    <s v="http://www.youtube.com/channel/UC0Ic0uvANWeMxAyfIVLZMqg"/>
    <m/>
    <s v="wadBvDPeE4E"/>
    <s v="https://www.youtube.com/watch?v=wadBvDPeE4E"/>
    <s v="none"/>
    <n v="0"/>
    <x v="431"/>
    <d v="2016-01-19T22:02:52.000"/>
    <m/>
    <m/>
    <s v=""/>
    <n v="2"/>
    <s v="1"/>
    <s v="1"/>
    <n v="0"/>
    <n v="0"/>
    <n v="1"/>
    <n v="10"/>
    <n v="0"/>
    <n v="0"/>
    <n v="9"/>
    <n v="90"/>
    <n v="10"/>
  </r>
  <r>
    <s v="UC0Ic0uvANWeMxAyfIVLZMqg"/>
    <s v="UCvQECJukTDE2i6aCoMnS-Vg"/>
    <m/>
    <m/>
    <m/>
    <m/>
    <m/>
    <m/>
    <m/>
    <m/>
    <s v="No"/>
    <n v="436"/>
    <m/>
    <m/>
    <s v="Commented Video"/>
    <x v="0"/>
    <s v="REALLY GREAT, GREAT, GREAT, GREAT TALK, THANK U SO MUCH, I WOULD LIKE TO KNOW AND TO GET MORE RESOURCES WHERE I COULD LEARN AND PUT IN PRACTICE ALL THESE IDEAS COMMENTED HERE"/>
    <s v="UC0Ic0uvANWeMxAyfIVLZMqg"/>
    <s v="ERWIN ELIECER GUEVARA SOLANO"/>
    <s v="http://www.youtube.com/channel/UC0Ic0uvANWeMxAyfIVLZMqg"/>
    <m/>
    <s v="wadBvDPeE4E"/>
    <s v="https://www.youtube.com/watch?v=wadBvDPeE4E"/>
    <s v="none"/>
    <n v="0"/>
    <x v="432"/>
    <d v="2016-01-19T22:31:42.000"/>
    <m/>
    <m/>
    <s v=""/>
    <n v="2"/>
    <s v="1"/>
    <s v="1"/>
    <n v="6"/>
    <n v="18.181818181818183"/>
    <n v="0"/>
    <n v="0"/>
    <n v="0"/>
    <n v="0"/>
    <n v="27"/>
    <n v="81.81818181818181"/>
    <n v="33"/>
  </r>
  <r>
    <s v="UCcwFS01ST2FMMp2DVER2UWg"/>
    <s v="UC6wJYPTtqP4akuk1eEf-fDg"/>
    <m/>
    <m/>
    <m/>
    <m/>
    <m/>
    <m/>
    <m/>
    <m/>
    <s v="No"/>
    <n v="437"/>
    <m/>
    <m/>
    <s v="Replied Comment"/>
    <x v="1"/>
    <s v="lol :D"/>
    <s v="UCcwFS01ST2FMMp2DVER2UWg"/>
    <s v="M3Lucky"/>
    <s v="http://www.youtube.com/channel/UCcwFS01ST2FMMp2DVER2UWg"/>
    <s v="UgiBy4BHg8rfYngCoAEC"/>
    <s v="wadBvDPeE4E"/>
    <s v="https://www.youtube.com/watch?v=wadBvDPeE4E"/>
    <s v="none"/>
    <n v="1"/>
    <x v="433"/>
    <d v="2017-01-08T13:48:11.000"/>
    <m/>
    <m/>
    <s v=""/>
    <n v="1"/>
    <s v="8"/>
    <s v="8"/>
    <n v="0"/>
    <n v="0"/>
    <n v="0"/>
    <n v="0"/>
    <n v="0"/>
    <n v="0"/>
    <n v="2"/>
    <n v="100"/>
    <n v="2"/>
  </r>
  <r>
    <s v="UCxlPKzjwwusCJkFDq-XvuvA"/>
    <s v="UC6wJYPTtqP4akuk1eEf-fDg"/>
    <m/>
    <m/>
    <m/>
    <m/>
    <m/>
    <m/>
    <m/>
    <m/>
    <s v="No"/>
    <n v="438"/>
    <m/>
    <m/>
    <s v="Replied Comment"/>
    <x v="1"/>
    <s v="Creating a home comes from social networks and influence...."/>
    <s v="UCxlPKzjwwusCJkFDq-XvuvA"/>
    <s v="007sting"/>
    <s v="http://www.youtube.com/channel/UCxlPKzjwwusCJkFDq-XvuvA"/>
    <s v="UgiBy4BHg8rfYngCoAEC"/>
    <s v="wadBvDPeE4E"/>
    <s v="https://www.youtube.com/watch?v=wadBvDPeE4E"/>
    <s v="none"/>
    <n v="2"/>
    <x v="434"/>
    <d v="2017-01-10T18:05:56.000"/>
    <m/>
    <m/>
    <s v=""/>
    <n v="2"/>
    <s v="8"/>
    <s v="8"/>
    <n v="0"/>
    <n v="0"/>
    <n v="0"/>
    <n v="0"/>
    <n v="0"/>
    <n v="0"/>
    <n v="9"/>
    <n v="100"/>
    <n v="9"/>
  </r>
  <r>
    <s v="UCxlPKzjwwusCJkFDq-XvuvA"/>
    <s v="UC6wJYPTtqP4akuk1eEf-fDg"/>
    <m/>
    <m/>
    <m/>
    <m/>
    <m/>
    <m/>
    <m/>
    <m/>
    <s v="No"/>
    <n v="439"/>
    <m/>
    <m/>
    <s v="Replied Comment"/>
    <x v="1"/>
    <s v="Ah. Got it."/>
    <s v="UCxlPKzjwwusCJkFDq-XvuvA"/>
    <s v="007sting"/>
    <s v="http://www.youtube.com/channel/UCxlPKzjwwusCJkFDq-XvuvA"/>
    <s v="UgiBy4BHg8rfYngCoAEC"/>
    <s v="wadBvDPeE4E"/>
    <s v="https://www.youtube.com/watch?v=wadBvDPeE4E"/>
    <s v="none"/>
    <n v="0"/>
    <x v="435"/>
    <d v="2017-01-10T19:12:21.000"/>
    <m/>
    <m/>
    <s v=""/>
    <n v="2"/>
    <s v="8"/>
    <s v="8"/>
    <n v="0"/>
    <n v="0"/>
    <n v="0"/>
    <n v="0"/>
    <n v="0"/>
    <n v="0"/>
    <n v="3"/>
    <n v="100"/>
    <n v="3"/>
  </r>
  <r>
    <s v="UC6wJYPTtqP4akuk1eEf-fDg"/>
    <s v="UC6wJYPTtqP4akuk1eEf-fDg"/>
    <m/>
    <m/>
    <m/>
    <m/>
    <m/>
    <m/>
    <m/>
    <m/>
    <s v="No"/>
    <n v="440"/>
    <m/>
    <m/>
    <s v="Replied Comment"/>
    <x v="1"/>
    <s v="@007sting its a joke dude. Look up Christakis yale halloween"/>
    <s v="UC6wJYPTtqP4akuk1eEf-fDg"/>
    <s v="tha1ne"/>
    <s v="http://www.youtube.com/channel/UC6wJYPTtqP4akuk1eEf-fDg"/>
    <s v="UgiBy4BHg8rfYngCoAEC"/>
    <s v="wadBvDPeE4E"/>
    <s v="https://www.youtube.com/watch?v=wadBvDPeE4E"/>
    <s v="none"/>
    <n v="3"/>
    <x v="436"/>
    <d v="2017-01-10T18:47:42.000"/>
    <m/>
    <m/>
    <s v=""/>
    <n v="1"/>
    <s v="8"/>
    <s v="8"/>
    <n v="0"/>
    <n v="0"/>
    <n v="1"/>
    <n v="10"/>
    <n v="0"/>
    <n v="0"/>
    <n v="9"/>
    <n v="90"/>
    <n v="10"/>
  </r>
  <r>
    <s v="UC6wJYPTtqP4akuk1eEf-fDg"/>
    <s v="UCvQECJukTDE2i6aCoMnS-Vg"/>
    <m/>
    <m/>
    <m/>
    <m/>
    <m/>
    <m/>
    <m/>
    <m/>
    <s v="No"/>
    <n v="441"/>
    <m/>
    <m/>
    <s v="Commented Video"/>
    <x v="0"/>
    <s v="IT&amp;#39;S NOT ABOUT SOCIAL NETWORKS AND INFLUENCE, IT&amp;#39;S ABOUT CREATING A HOME!"/>
    <s v="UC6wJYPTtqP4akuk1eEf-fDg"/>
    <s v="tha1ne"/>
    <s v="http://www.youtube.com/channel/UC6wJYPTtqP4akuk1eEf-fDg"/>
    <m/>
    <s v="wadBvDPeE4E"/>
    <s v="https://www.youtube.com/watch?v=wadBvDPeE4E"/>
    <s v="none"/>
    <n v="32"/>
    <x v="437"/>
    <d v="2016-02-09T17:59:31.000"/>
    <m/>
    <m/>
    <s v=""/>
    <n v="1"/>
    <s v="8"/>
    <s v="1"/>
    <n v="0"/>
    <n v="0"/>
    <n v="0"/>
    <n v="0"/>
    <n v="0"/>
    <n v="0"/>
    <n v="16"/>
    <n v="100"/>
    <n v="16"/>
  </r>
  <r>
    <s v="UCE7SZP9icvQdqTn2NdESMZQ"/>
    <s v="UC3DdFaCE0PYo32ElY4LpVpg"/>
    <m/>
    <m/>
    <m/>
    <m/>
    <m/>
    <m/>
    <m/>
    <m/>
    <s v="No"/>
    <n v="442"/>
    <m/>
    <m/>
    <s v="Replied Comment"/>
    <x v="1"/>
    <s v="José Yánez agree! Great video and information!"/>
    <s v="UCE7SZP9icvQdqTn2NdESMZQ"/>
    <s v="DyceBookClub"/>
    <s v="http://www.youtube.com/channel/UCE7SZP9icvQdqTn2NdESMZQ"/>
    <s v="UggOCDVLpNilNngCoAEC"/>
    <s v="wadBvDPeE4E"/>
    <s v="https://www.youtube.com/watch?v=wadBvDPeE4E"/>
    <s v="none"/>
    <n v="0"/>
    <x v="438"/>
    <d v="2016-11-01T21:15:23.000"/>
    <m/>
    <m/>
    <s v=""/>
    <n v="1"/>
    <s v="5"/>
    <s v="5"/>
    <n v="1"/>
    <n v="14.285714285714286"/>
    <n v="0"/>
    <n v="0"/>
    <n v="0"/>
    <n v="0"/>
    <n v="6"/>
    <n v="85.71428571428571"/>
    <n v="7"/>
  </r>
  <r>
    <s v="UC3DdFaCE0PYo32ElY4LpVpg"/>
    <s v="UCvQECJukTDE2i6aCoMnS-Vg"/>
    <m/>
    <m/>
    <m/>
    <m/>
    <m/>
    <m/>
    <m/>
    <m/>
    <s v="No"/>
    <n v="443"/>
    <m/>
    <m/>
    <s v="Commented Video"/>
    <x v="0"/>
    <s v="Great talk, thank you."/>
    <s v="UC3DdFaCE0PYo32ElY4LpVpg"/>
    <s v="José Yánez"/>
    <s v="http://www.youtube.com/channel/UC3DdFaCE0PYo32ElY4LpVpg"/>
    <m/>
    <s v="wadBvDPeE4E"/>
    <s v="https://www.youtube.com/watch?v=wadBvDPeE4E"/>
    <s v="none"/>
    <n v="0"/>
    <x v="439"/>
    <d v="2016-03-28T23:49:46.000"/>
    <m/>
    <m/>
    <s v=""/>
    <n v="1"/>
    <s v="5"/>
    <s v="1"/>
    <n v="2"/>
    <n v="50"/>
    <n v="0"/>
    <n v="0"/>
    <n v="0"/>
    <n v="0"/>
    <n v="2"/>
    <n v="50"/>
    <n v="4"/>
  </r>
  <r>
    <s v="UCCcPxncbMrO7LJE-sF9B0pg"/>
    <s v="UCvQECJukTDE2i6aCoMnS-Vg"/>
    <m/>
    <m/>
    <m/>
    <m/>
    <m/>
    <m/>
    <m/>
    <m/>
    <s v="No"/>
    <n v="444"/>
    <m/>
    <m/>
    <s v="Commented Video"/>
    <x v="0"/>
    <s v="What about the people who kill themselves in such a way that once they have started the action they can&amp;#39;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
    <s v="UCCcPxncbMrO7LJE-sF9B0pg"/>
    <s v="Clairie"/>
    <s v="http://www.youtube.com/channel/UCCcPxncbMrO7LJE-sF9B0pg"/>
    <m/>
    <s v="wadBvDPeE4E"/>
    <s v="https://www.youtube.com/watch?v=wadBvDPeE4E"/>
    <s v="none"/>
    <n v="0"/>
    <x v="440"/>
    <d v="2016-05-16T09:44:35.000"/>
    <m/>
    <m/>
    <s v=""/>
    <n v="1"/>
    <s v="1"/>
    <s v="1"/>
    <n v="3"/>
    <n v="2.2388059701492535"/>
    <n v="8"/>
    <n v="5.970149253731344"/>
    <n v="0"/>
    <n v="0"/>
    <n v="123"/>
    <n v="91.7910447761194"/>
    <n v="134"/>
  </r>
  <r>
    <s v="UCZf8XvtinlP2iQak9w50SHg"/>
    <s v="UCvQECJukTDE2i6aCoMnS-Vg"/>
    <m/>
    <m/>
    <m/>
    <m/>
    <m/>
    <m/>
    <m/>
    <m/>
    <s v="No"/>
    <n v="445"/>
    <m/>
    <m/>
    <s v="Commented Video"/>
    <x v="0"/>
    <s v="except for the removal of more forests!"/>
    <s v="UCZf8XvtinlP2iQak9w50SHg"/>
    <s v="rachcliffe"/>
    <s v="http://www.youtube.com/channel/UCZf8XvtinlP2iQak9w50SHg"/>
    <m/>
    <s v="wadBvDPeE4E"/>
    <s v="https://www.youtube.com/watch?v=wadBvDPeE4E"/>
    <s v="none"/>
    <n v="0"/>
    <x v="441"/>
    <d v="2016-05-31T20:53:41.000"/>
    <m/>
    <m/>
    <s v=""/>
    <n v="1"/>
    <s v="1"/>
    <s v="1"/>
    <n v="0"/>
    <n v="0"/>
    <n v="0"/>
    <n v="0"/>
    <n v="0"/>
    <n v="0"/>
    <n v="7"/>
    <n v="100"/>
    <n v="7"/>
  </r>
  <r>
    <s v="UCE7SZP9icvQdqTn2NdESMZQ"/>
    <s v="UCXWOsNdoKRvkunTglBbLRKg"/>
    <m/>
    <m/>
    <m/>
    <m/>
    <m/>
    <m/>
    <m/>
    <m/>
    <s v="No"/>
    <n v="446"/>
    <m/>
    <m/>
    <s v="Replied Comment"/>
    <x v="1"/>
    <s v="David Esteban Rojas Ospina yes! Sociology is very interesting!!"/>
    <s v="UCE7SZP9icvQdqTn2NdESMZQ"/>
    <s v="DyceBookClub"/>
    <s v="http://www.youtube.com/channel/UCE7SZP9icvQdqTn2NdESMZQ"/>
    <s v="UgjryvYVaHrMnXgCoAEC"/>
    <s v="wadBvDPeE4E"/>
    <s v="https://www.youtube.com/watch?v=wadBvDPeE4E"/>
    <s v="none"/>
    <n v="0"/>
    <x v="442"/>
    <d v="2016-11-01T21:14:56.000"/>
    <m/>
    <m/>
    <s v=""/>
    <n v="1"/>
    <s v="5"/>
    <s v="5"/>
    <n v="1"/>
    <n v="11.11111111111111"/>
    <n v="0"/>
    <n v="0"/>
    <n v="0"/>
    <n v="0"/>
    <n v="8"/>
    <n v="88.88888888888889"/>
    <n v="9"/>
  </r>
  <r>
    <s v="UCXWOsNdoKRvkunTglBbLRKg"/>
    <s v="UCvQECJukTDE2i6aCoMnS-Vg"/>
    <m/>
    <m/>
    <m/>
    <m/>
    <m/>
    <m/>
    <m/>
    <m/>
    <s v="No"/>
    <n v="447"/>
    <m/>
    <m/>
    <s v="Commented Video"/>
    <x v="0"/>
    <s v="Durkheim all over the place, damn, i love sociology so much. Best choice of my life."/>
    <s v="UCXWOsNdoKRvkunTglBbLRKg"/>
    <s v="David Esteban Rojas Ospina"/>
    <s v="http://www.youtube.com/channel/UCXWOsNdoKRvkunTglBbLRKg"/>
    <m/>
    <s v="wadBvDPeE4E"/>
    <s v="https://www.youtube.com/watch?v=wadBvDPeE4E"/>
    <s v="none"/>
    <n v="0"/>
    <x v="443"/>
    <d v="2016-07-28T06:40:01.000"/>
    <m/>
    <m/>
    <s v=""/>
    <n v="1"/>
    <s v="5"/>
    <s v="1"/>
    <n v="2"/>
    <n v="12.5"/>
    <n v="1"/>
    <n v="6.25"/>
    <n v="0"/>
    <n v="0"/>
    <n v="13"/>
    <n v="81.25"/>
    <n v="16"/>
  </r>
  <r>
    <s v="UCiKNMnyn8SVCFa39NFwk1Dg"/>
    <s v="UC4FuRQY-zQBfFPOPuaRAWgw"/>
    <m/>
    <m/>
    <m/>
    <m/>
    <m/>
    <m/>
    <m/>
    <m/>
    <s v="No"/>
    <n v="448"/>
    <m/>
    <m/>
    <s v="Replied Comment"/>
    <x v="1"/>
    <s v="O l i v e r ! Wow that actually makes a lot of sense"/>
    <s v="UCiKNMnyn8SVCFa39NFwk1Dg"/>
    <s v="juan espinal"/>
    <s v="http://www.youtube.com/channel/UCiKNMnyn8SVCFa39NFwk1Dg"/>
    <s v="Ugglh3YAqyBNhXgCoAEC"/>
    <s v="wadBvDPeE4E"/>
    <s v="https://www.youtube.com/watch?v=wadBvDPeE4E"/>
    <s v="none"/>
    <n v="1"/>
    <x v="444"/>
    <d v="2016-10-13T01:17:30.000"/>
    <m/>
    <m/>
    <s v=""/>
    <n v="1"/>
    <s v="16"/>
    <s v="16"/>
    <n v="1"/>
    <n v="7.142857142857143"/>
    <n v="0"/>
    <n v="0"/>
    <n v="0"/>
    <n v="0"/>
    <n v="13"/>
    <n v="92.85714285714286"/>
    <n v="14"/>
  </r>
  <r>
    <s v="UC4FuRQY-zQBfFPOPuaRAWgw"/>
    <s v="UC4FuRQY-zQBfFPOPuaRAWgw"/>
    <m/>
    <m/>
    <m/>
    <m/>
    <m/>
    <m/>
    <m/>
    <m/>
    <s v="No"/>
    <n v="449"/>
    <m/>
    <m/>
    <s v="Replied Comment"/>
    <x v="1"/>
    <s v="Thank you."/>
    <s v="UC4FuRQY-zQBfFPOPuaRAWgw"/>
    <s v="P l a y t a r d !"/>
    <s v="http://www.youtube.com/channel/UC4FuRQY-zQBfFPOPuaRAWgw"/>
    <s v="Ugglh3YAqyBNhXgCoAEC"/>
    <s v="wadBvDPeE4E"/>
    <s v="https://www.youtube.com/watch?v=wadBvDPeE4E"/>
    <s v="none"/>
    <n v="0"/>
    <x v="445"/>
    <d v="2016-10-13T04:49:12.000"/>
    <m/>
    <m/>
    <s v=""/>
    <n v="1"/>
    <s v="16"/>
    <s v="16"/>
    <n v="1"/>
    <n v="50"/>
    <n v="0"/>
    <n v="0"/>
    <n v="0"/>
    <n v="0"/>
    <n v="1"/>
    <n v="50"/>
    <n v="2"/>
  </r>
  <r>
    <s v="UC4FuRQY-zQBfFPOPuaRAWgw"/>
    <s v="UCvQECJukTDE2i6aCoMnS-Vg"/>
    <m/>
    <m/>
    <m/>
    <m/>
    <m/>
    <m/>
    <m/>
    <m/>
    <s v="No"/>
    <n v="450"/>
    <m/>
    <m/>
    <s v="Commented Video"/>
    <x v="0"/>
    <s v="&lt;a href=&quot;http://www.youtube.com/watch?v=wadBvDPeE4E&amp;amp;t=06m20s&quot;&gt;06:20&lt;/a&gt; - I often relate income inequality to social inequality (social inclusion).&lt;br&gt;Like income inequality, where the rich get richer and the poor get poorer, &lt;br&gt;the same can be said about social inequality.&lt;br&gt;&lt;br&gt;For example, moving to a new city can be trying, as securing new friend groups can be difficult.&lt;br&gt;Further, people who have large friend groups, are inherently uninterested in someone without, &lt;br&gt;because there is less incentive for networking opportunities.&lt;br&gt;&lt;br&gt;I find it hypocritical when people who present themselves &lt;br&gt;as warm or caring, fail to &amp;quot;invite out&amp;quot; the new guy/girl, or anyone with few friends.&lt;br&gt;...It&amp;#39;s metaphorically reminiscent of a &amp;quot;social&amp;quot; Scrooge Mc.Duck."/>
    <s v="UC4FuRQY-zQBfFPOPuaRAWgw"/>
    <s v="P l a y t a r d !"/>
    <s v="http://www.youtube.com/channel/UC4FuRQY-zQBfFPOPuaRAWgw"/>
    <m/>
    <s v="wadBvDPeE4E"/>
    <s v="https://www.youtube.com/watch?v=wadBvDPeE4E"/>
    <s v="none"/>
    <n v="8"/>
    <x v="446"/>
    <d v="2016-08-14T06:02:43.000"/>
    <s v=" http://www.youtube.com/watch?v=wadBvDPeE4E&amp;amp;t=06m20s"/>
    <s v="youtube.com"/>
    <s v=""/>
    <n v="1"/>
    <s v="16"/>
    <s v="1"/>
    <n v="4"/>
    <n v="2.9411764705882355"/>
    <n v="9"/>
    <n v="6.617647058823529"/>
    <n v="0"/>
    <n v="0"/>
    <n v="123"/>
    <n v="90.44117647058823"/>
    <n v="136"/>
  </r>
  <r>
    <s v="UCPJ7ELWQkVwveADc9hAsqNg"/>
    <s v="UCvQECJukTDE2i6aCoMnS-Vg"/>
    <m/>
    <m/>
    <m/>
    <m/>
    <m/>
    <m/>
    <m/>
    <m/>
    <s v="No"/>
    <n v="451"/>
    <m/>
    <m/>
    <s v="Commented Video"/>
    <x v="0"/>
    <s v="&lt;a href=&quot;http://www.youtube.com/watch?v=wadBvDPeE4E&amp;amp;t=28m20s&quot;&gt;28:20&lt;/a&gt; I have to say that the way he talks about what essentially is patterns in society is creepy, from a goverment point of view it serves a good purpose to think about &amp;quot;us&amp;quot;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
    <s v="UCPJ7ELWQkVwveADc9hAsqNg"/>
    <s v="MrTnbopp123"/>
    <s v="http://www.youtube.com/channel/UCPJ7ELWQkVwveADc9hAsqNg"/>
    <m/>
    <s v="wadBvDPeE4E"/>
    <s v="https://www.youtube.com/watch?v=wadBvDPeE4E"/>
    <s v="none"/>
    <n v="2"/>
    <x v="447"/>
    <d v="2016-09-08T00:03:43.000"/>
    <s v=" http://www.youtube.com/watch?v=wadBvDPeE4E&amp;amp;t=28m20s"/>
    <s v="youtube.com"/>
    <s v=""/>
    <n v="1"/>
    <s v="1"/>
    <s v="1"/>
    <n v="5"/>
    <n v="3.4246575342465753"/>
    <n v="4"/>
    <n v="2.73972602739726"/>
    <n v="0"/>
    <n v="0"/>
    <n v="137"/>
    <n v="93.83561643835617"/>
    <n v="146"/>
  </r>
  <r>
    <s v="UCYgxA4x_tHjLWBN0OCgYWcQ"/>
    <s v="UCvQECJukTDE2i6aCoMnS-Vg"/>
    <m/>
    <m/>
    <m/>
    <m/>
    <m/>
    <m/>
    <m/>
    <m/>
    <s v="No"/>
    <n v="452"/>
    <m/>
    <m/>
    <s v="Commented Video"/>
    <x v="0"/>
    <s v="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
    <s v="UCYgxA4x_tHjLWBN0OCgYWcQ"/>
    <s v="dylan blake"/>
    <s v="http://www.youtube.com/channel/UCYgxA4x_tHjLWBN0OCgYWcQ"/>
    <m/>
    <s v="wadBvDPeE4E"/>
    <s v="https://www.youtube.com/watch?v=wadBvDPeE4E"/>
    <s v="none"/>
    <n v="0"/>
    <x v="448"/>
    <d v="2016-09-18T07:38:51.000"/>
    <m/>
    <m/>
    <s v=""/>
    <n v="1"/>
    <s v="1"/>
    <s v="1"/>
    <n v="3"/>
    <n v="5.357142857142857"/>
    <n v="0"/>
    <n v="0"/>
    <n v="0"/>
    <n v="0"/>
    <n v="53"/>
    <n v="94.64285714285714"/>
    <n v="56"/>
  </r>
  <r>
    <s v="UCE7SZP9icvQdqTn2NdESMZQ"/>
    <s v="UCvQECJukTDE2i6aCoMnS-Vg"/>
    <m/>
    <m/>
    <m/>
    <m/>
    <m/>
    <m/>
    <m/>
    <m/>
    <s v="No"/>
    <n v="453"/>
    <m/>
    <m/>
    <s v="Commented Video"/>
    <x v="0"/>
    <s v="Very fascinating video!! Love it"/>
    <s v="UCE7SZP9icvQdqTn2NdESMZQ"/>
    <s v="DyceBookClub"/>
    <s v="http://www.youtube.com/channel/UCE7SZP9icvQdqTn2NdESMZQ"/>
    <m/>
    <s v="wadBvDPeE4E"/>
    <s v="https://www.youtube.com/watch?v=wadBvDPeE4E"/>
    <s v="none"/>
    <n v="2"/>
    <x v="449"/>
    <d v="2016-11-01T21:14:04.000"/>
    <m/>
    <m/>
    <s v=""/>
    <n v="1"/>
    <s v="5"/>
    <s v="1"/>
    <n v="2"/>
    <n v="40"/>
    <n v="0"/>
    <n v="0"/>
    <n v="0"/>
    <n v="0"/>
    <n v="3"/>
    <n v="60"/>
    <n v="5"/>
  </r>
  <r>
    <s v="UCzYSQdFdNlITwUanU48B8GQ"/>
    <s v="UCvQECJukTDE2i6aCoMnS-Vg"/>
    <m/>
    <m/>
    <m/>
    <m/>
    <m/>
    <m/>
    <m/>
    <m/>
    <s v="No"/>
    <n v="454"/>
    <m/>
    <m/>
    <s v="Commented Video"/>
    <x v="0"/>
    <s v="Än SCHWOTZEN BILDSCHÖM HOB ISCH1"/>
    <s v="UCzYSQdFdNlITwUanU48B8GQ"/>
    <s v="Obey Silence"/>
    <s v="http://www.youtube.com/channel/UCzYSQdFdNlITwUanU48B8GQ"/>
    <m/>
    <s v="wadBvDPeE4E"/>
    <s v="https://www.youtube.com/watch?v=wadBvDPeE4E"/>
    <s v="none"/>
    <n v="0"/>
    <x v="450"/>
    <d v="2017-01-23T13:12:52.000"/>
    <m/>
    <m/>
    <s v=""/>
    <n v="1"/>
    <s v="1"/>
    <s v="1"/>
    <n v="0"/>
    <n v="0"/>
    <n v="0"/>
    <n v="0"/>
    <n v="0"/>
    <n v="0"/>
    <n v="5"/>
    <n v="100"/>
    <n v="5"/>
  </r>
  <r>
    <s v="UCWcBkjCrLsESy4SBkkXI8tQ"/>
    <s v="UCvQECJukTDE2i6aCoMnS-Vg"/>
    <m/>
    <m/>
    <m/>
    <m/>
    <m/>
    <m/>
    <m/>
    <m/>
    <s v="No"/>
    <n v="455"/>
    <m/>
    <m/>
    <s v="Commented Video"/>
    <x v="0"/>
    <s v="Whoa! Mind blown!"/>
    <s v="UCWcBkjCrLsESy4SBkkXI8tQ"/>
    <s v="Christopher Canon"/>
    <s v="http://www.youtube.com/channel/UCWcBkjCrLsESy4SBkkXI8tQ"/>
    <m/>
    <s v="wadBvDPeE4E"/>
    <s v="https://www.youtube.com/watch?v=wadBvDPeE4E"/>
    <s v="none"/>
    <n v="0"/>
    <x v="451"/>
    <d v="2017-02-19T02:49:34.000"/>
    <m/>
    <m/>
    <s v=""/>
    <n v="1"/>
    <s v="1"/>
    <s v="1"/>
    <n v="1"/>
    <n v="33.333333333333336"/>
    <n v="0"/>
    <n v="0"/>
    <n v="0"/>
    <n v="0"/>
    <n v="2"/>
    <n v="66.66666666666667"/>
    <n v="3"/>
  </r>
  <r>
    <s v="UCP68l-lXzYOXJS8cr5g5oMA"/>
    <s v="UCvQECJukTDE2i6aCoMnS-Vg"/>
    <m/>
    <m/>
    <m/>
    <m/>
    <m/>
    <m/>
    <m/>
    <m/>
    <s v="No"/>
    <n v="456"/>
    <m/>
    <m/>
    <s v="Commented Video"/>
    <x v="0"/>
    <s v="San Francisco is a killer, if you don&amp;#39;t die from the AIDS you die from depression."/>
    <s v="UCP68l-lXzYOXJS8cr5g5oMA"/>
    <s v="Néo Bourgeois Christum"/>
    <s v="http://www.youtube.com/channel/UCP68l-lXzYOXJS8cr5g5oMA"/>
    <m/>
    <s v="wadBvDPeE4E"/>
    <s v="https://www.youtube.com/watch?v=wadBvDPeE4E"/>
    <s v="none"/>
    <n v="0"/>
    <x v="452"/>
    <d v="2017-03-07T01:11:12.000"/>
    <m/>
    <m/>
    <s v=""/>
    <n v="2"/>
    <s v="1"/>
    <s v="1"/>
    <n v="0"/>
    <n v="0"/>
    <n v="4"/>
    <n v="22.22222222222222"/>
    <n v="0"/>
    <n v="0"/>
    <n v="14"/>
    <n v="77.77777777777777"/>
    <n v="18"/>
  </r>
  <r>
    <s v="UCP68l-lXzYOXJS8cr5g5oMA"/>
    <s v="UCvQECJukTDE2i6aCoMnS-Vg"/>
    <m/>
    <m/>
    <m/>
    <m/>
    <m/>
    <m/>
    <m/>
    <m/>
    <s v="No"/>
    <n v="457"/>
    <m/>
    <m/>
    <s v="Commented Video"/>
    <x v="0"/>
    <s v="These are all capitalist models, modalities found in the context of capitalism. Sociology doesn&amp;#39;t reveal any rational or actionable items to improve, its like a subset of journalism a form of storytelling with cool graphics generated by a computer. That&amp;#39;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amp;#39;personal agency&amp;#39;  to buy a Pied à terre in NYC and he has to write lots of crap to generate enough book sales to live. Sociology as its presented is the study of systems of submission and domination, and the way sapiens oscillate between the two extremes. Not a fan of sociology."/>
    <s v="UCP68l-lXzYOXJS8cr5g5oMA"/>
    <s v="Néo Bourgeois Christum"/>
    <s v="http://www.youtube.com/channel/UCP68l-lXzYOXJS8cr5g5oMA"/>
    <m/>
    <s v="wadBvDPeE4E"/>
    <s v="https://www.youtube.com/watch?v=wadBvDPeE4E"/>
    <s v="none"/>
    <n v="0"/>
    <x v="453"/>
    <d v="2017-03-07T01:37:40.000"/>
    <m/>
    <m/>
    <s v=""/>
    <n v="2"/>
    <s v="1"/>
    <s v="1"/>
    <n v="7"/>
    <n v="4.57516339869281"/>
    <n v="3"/>
    <n v="1.9607843137254901"/>
    <n v="0"/>
    <n v="0"/>
    <n v="143"/>
    <n v="93.4640522875817"/>
    <n v="153"/>
  </r>
  <r>
    <s v="UCdzoun2WHzibnHiDh304aNQ"/>
    <s v="UCvQECJukTDE2i6aCoMnS-Vg"/>
    <m/>
    <m/>
    <m/>
    <m/>
    <m/>
    <m/>
    <m/>
    <m/>
    <s v="No"/>
    <n v="458"/>
    <m/>
    <m/>
    <s v="Commented Video"/>
    <x v="0"/>
    <s v="So are you from the Floating University (FU)? If so, you have any branches in Central Kansas (CK)?"/>
    <s v="UCdzoun2WHzibnHiDh304aNQ"/>
    <s v="Colonel Graff"/>
    <s v="http://www.youtube.com/channel/UCdzoun2WHzibnHiDh304aNQ"/>
    <m/>
    <s v="wadBvDPeE4E"/>
    <s v="https://www.youtube.com/watch?v=wadBvDPeE4E"/>
    <s v="none"/>
    <n v="0"/>
    <x v="454"/>
    <d v="2017-03-25T04:18:39.000"/>
    <m/>
    <m/>
    <s v=""/>
    <n v="1"/>
    <s v="1"/>
    <s v="1"/>
    <n v="0"/>
    <n v="0"/>
    <n v="0"/>
    <n v="0"/>
    <n v="0"/>
    <n v="0"/>
    <n v="18"/>
    <n v="100"/>
    <n v="18"/>
  </r>
  <r>
    <s v="UCYgwAbzdUQ9-IIz2emMDWTw"/>
    <s v="UCvQECJukTDE2i6aCoMnS-Vg"/>
    <m/>
    <m/>
    <m/>
    <m/>
    <m/>
    <m/>
    <m/>
    <m/>
    <s v="No"/>
    <n v="459"/>
    <m/>
    <m/>
    <s v="Commented Video"/>
    <x v="0"/>
    <s v="As you go through life never loose the good fiends you meet After the death of a friend, healing in a human social network"/>
    <s v="UCYgwAbzdUQ9-IIz2emMDWTw"/>
    <s v="Leighton Julye"/>
    <s v="http://www.youtube.com/channel/UCYgwAbzdUQ9-IIz2emMDWTw"/>
    <m/>
    <s v="wadBvDPeE4E"/>
    <s v="https://www.youtube.com/watch?v=wadBvDPeE4E"/>
    <s v="none"/>
    <n v="0"/>
    <x v="455"/>
    <d v="2017-04-25T05:31:57.000"/>
    <m/>
    <m/>
    <s v=""/>
    <n v="1"/>
    <s v="1"/>
    <s v="1"/>
    <n v="1"/>
    <n v="4.166666666666667"/>
    <n v="2"/>
    <n v="8.333333333333334"/>
    <n v="0"/>
    <n v="0"/>
    <n v="21"/>
    <n v="87.5"/>
    <n v="24"/>
  </r>
  <r>
    <s v="UCYosfwULRd5rJhnVNVvUU8g"/>
    <s v="UCvQECJukTDE2i6aCoMnS-Vg"/>
    <m/>
    <m/>
    <m/>
    <m/>
    <m/>
    <m/>
    <m/>
    <m/>
    <s v="No"/>
    <n v="460"/>
    <m/>
    <m/>
    <s v="Commented Video"/>
    <x v="0"/>
    <s v="This is an extremely fascinating introduction to the subject!"/>
    <s v="UCYosfwULRd5rJhnVNVvUU8g"/>
    <s v="Juho Sallinen"/>
    <s v="http://www.youtube.com/channel/UCYosfwULRd5rJhnVNVvUU8g"/>
    <m/>
    <s v="wadBvDPeE4E"/>
    <s v="https://www.youtube.com/watch?v=wadBvDPeE4E"/>
    <s v="none"/>
    <n v="7"/>
    <x v="456"/>
    <d v="2017-05-01T08:12:15.000"/>
    <m/>
    <m/>
    <s v=""/>
    <n v="1"/>
    <s v="1"/>
    <s v="1"/>
    <n v="1"/>
    <n v="11.11111111111111"/>
    <n v="0"/>
    <n v="0"/>
    <n v="0"/>
    <n v="0"/>
    <n v="8"/>
    <n v="88.88888888888889"/>
    <n v="9"/>
  </r>
  <r>
    <s v="UC1cpHtPcdvqbw4DjatDYNuQ"/>
    <s v="UCvQECJukTDE2i6aCoMnS-Vg"/>
    <m/>
    <m/>
    <m/>
    <m/>
    <m/>
    <m/>
    <m/>
    <m/>
    <s v="No"/>
    <n v="461"/>
    <m/>
    <m/>
    <s v="Commented Video"/>
    <x v="0"/>
    <s v="I have 0 friend."/>
    <s v="UC1cpHtPcdvqbw4DjatDYNuQ"/>
    <s v="Luther Aquino"/>
    <s v="http://www.youtube.com/channel/UC1cpHtPcdvqbw4DjatDYNuQ"/>
    <m/>
    <s v="wadBvDPeE4E"/>
    <s v="https://www.youtube.com/watch?v=wadBvDPeE4E"/>
    <s v="none"/>
    <n v="0"/>
    <x v="457"/>
    <d v="2017-05-27T17:12:47.000"/>
    <m/>
    <m/>
    <s v=""/>
    <n v="1"/>
    <s v="1"/>
    <s v="1"/>
    <n v="0"/>
    <n v="0"/>
    <n v="0"/>
    <n v="0"/>
    <n v="0"/>
    <n v="0"/>
    <n v="4"/>
    <n v="100"/>
    <n v="4"/>
  </r>
  <r>
    <s v="UCEDx-O32BKm9e3gEKO0t03w"/>
    <s v="UCvQECJukTDE2i6aCoMnS-Vg"/>
    <m/>
    <m/>
    <m/>
    <m/>
    <m/>
    <m/>
    <m/>
    <m/>
    <s v="No"/>
    <n v="462"/>
    <m/>
    <m/>
    <s v="Commented Video"/>
    <x v="0"/>
    <s v="the transition sound is tweaky :v"/>
    <s v="UCEDx-O32BKm9e3gEKO0t03w"/>
    <s v="Richard Carpenter Hart"/>
    <s v="http://www.youtube.com/channel/UCEDx-O32BKm9e3gEKO0t03w"/>
    <m/>
    <s v="wadBvDPeE4E"/>
    <s v="https://www.youtube.com/watch?v=wadBvDPeE4E"/>
    <s v="none"/>
    <n v="0"/>
    <x v="458"/>
    <d v="2017-06-22T05:01:16.000"/>
    <m/>
    <m/>
    <s v=""/>
    <n v="1"/>
    <s v="1"/>
    <s v="1"/>
    <n v="0"/>
    <n v="0"/>
    <n v="0"/>
    <n v="0"/>
    <n v="0"/>
    <n v="0"/>
    <n v="6"/>
    <n v="100"/>
    <n v="6"/>
  </r>
  <r>
    <s v="UCG8E5cWZEf-qkjlpZd9lfSQ"/>
    <s v="UCvQECJukTDE2i6aCoMnS-Vg"/>
    <m/>
    <m/>
    <m/>
    <m/>
    <m/>
    <m/>
    <m/>
    <m/>
    <s v="No"/>
    <n v="463"/>
    <m/>
    <m/>
    <s v="Commented Video"/>
    <x v="0"/>
    <s v="This is awesome&lt;br&gt;&lt;a href=&quot;https://youtu.be/K2OkFNaGWlw&quot;&gt;https://youtu.be/K2OkFNaGWlw&lt;/a&gt;"/>
    <s v="UCG8E5cWZEf-qkjlpZd9lfSQ"/>
    <s v="Gaurav Deora"/>
    <s v="http://www.youtube.com/channel/UCG8E5cWZEf-qkjlpZd9lfSQ"/>
    <m/>
    <s v="wadBvDPeE4E"/>
    <s v="https://www.youtube.com/watch?v=wadBvDPeE4E"/>
    <s v="none"/>
    <n v="0"/>
    <x v="459"/>
    <d v="2017-10-08T11:13:49.000"/>
    <s v=" https://youtu.be/K2OkFNaGWlw https://youtu.be/K2OkFNaGWlw"/>
    <s v="youtu.be youtu.be"/>
    <s v=""/>
    <n v="1"/>
    <s v="1"/>
    <s v="1"/>
    <n v="1"/>
    <n v="6.666666666666667"/>
    <n v="0"/>
    <n v="0"/>
    <n v="0"/>
    <n v="0"/>
    <n v="14"/>
    <n v="93.33333333333333"/>
    <n v="15"/>
  </r>
  <r>
    <s v="UCtdquYxMrJ-jWXFxLSDQOwQ"/>
    <s v="UCvQECJukTDE2i6aCoMnS-Vg"/>
    <m/>
    <m/>
    <m/>
    <m/>
    <m/>
    <m/>
    <m/>
    <m/>
    <s v="No"/>
    <n v="464"/>
    <m/>
    <m/>
    <s v="Commented Video"/>
    <x v="0"/>
    <s v="Sorry to nitpick: at &lt;a href=&quot;https://www.youtube.com/watch?v=wadBvDPeE4E&amp;amp;t=5m11s&quot;&gt;5:11&lt;/a&gt; Charlotte Perkins Gilman lived from 1860-1935, not 1880."/>
    <s v="UCtdquYxMrJ-jWXFxLSDQOwQ"/>
    <s v="Ismail Degani"/>
    <s v="http://www.youtube.com/channel/UCtdquYxMrJ-jWXFxLSDQOwQ"/>
    <m/>
    <s v="wadBvDPeE4E"/>
    <s v="https://www.youtube.com/watch?v=wadBvDPeE4E"/>
    <s v="none"/>
    <n v="0"/>
    <x v="460"/>
    <d v="2017-10-15T06:22:45.000"/>
    <s v=" https://www.youtube.com/watch?v=wadBvDPeE4E&amp;amp;t=5m11s"/>
    <s v="youtube.com"/>
    <s v=""/>
    <n v="1"/>
    <s v="1"/>
    <s v="1"/>
    <n v="0"/>
    <n v="0"/>
    <n v="2"/>
    <n v="7.142857142857143"/>
    <n v="0"/>
    <n v="0"/>
    <n v="26"/>
    <n v="92.85714285714286"/>
    <n v="28"/>
  </r>
  <r>
    <s v="UCdgnAdBCJ1ZR4qv4wg0_seQ"/>
    <s v="UCvQECJukTDE2i6aCoMnS-Vg"/>
    <m/>
    <m/>
    <m/>
    <m/>
    <m/>
    <m/>
    <m/>
    <m/>
    <s v="No"/>
    <n v="465"/>
    <m/>
    <m/>
    <s v="Commented Video"/>
    <x v="0"/>
    <s v="&lt;a href=&quot;http://www.youtube.com/watch?v=wadBvDPeE4E&amp;amp;t=5m00s&quot;&gt;5:00&lt;/a&gt;"/>
    <s v="UCdgnAdBCJ1ZR4qv4wg0_seQ"/>
    <s v="shawn burnham"/>
    <s v="http://www.youtube.com/channel/UCdgnAdBCJ1ZR4qv4wg0_seQ"/>
    <m/>
    <s v="wadBvDPeE4E"/>
    <s v="https://www.youtube.com/watch?v=wadBvDPeE4E"/>
    <s v="none"/>
    <n v="0"/>
    <x v="461"/>
    <d v="2016-08-16T18:04:59.000"/>
    <s v=" http://www.youtube.com/watch?v=wadBvDPeE4E&amp;amp;t=5m00s"/>
    <s v="youtube.com"/>
    <s v=""/>
    <n v="12"/>
    <s v="1"/>
    <s v="1"/>
    <n v="0"/>
    <n v="0"/>
    <n v="0"/>
    <n v="0"/>
    <n v="0"/>
    <n v="0"/>
    <n v="15"/>
    <n v="100"/>
    <n v="15"/>
  </r>
  <r>
    <s v="UCdgnAdBCJ1ZR4qv4wg0_seQ"/>
    <s v="UCvQECJukTDE2i6aCoMnS-Vg"/>
    <m/>
    <m/>
    <m/>
    <m/>
    <m/>
    <m/>
    <m/>
    <m/>
    <s v="No"/>
    <n v="466"/>
    <m/>
    <m/>
    <s v="Commented Video"/>
    <x v="0"/>
    <s v="&lt;a href=&quot;http://www.youtube.com/watch?v=wadBvDPeE4E&amp;amp;t=20m00s&quot;&gt;20:00&lt;/a&gt;"/>
    <s v="UCdgnAdBCJ1ZR4qv4wg0_seQ"/>
    <s v="shawn burnham"/>
    <s v="http://www.youtube.com/channel/UCdgnAdBCJ1ZR4qv4wg0_seQ"/>
    <m/>
    <s v="wadBvDPeE4E"/>
    <s v="https://www.youtube.com/watch?v=wadBvDPeE4E"/>
    <s v="none"/>
    <n v="0"/>
    <x v="462"/>
    <d v="2016-08-16T18:22:12.000"/>
    <s v=" http://www.youtube.com/watch?v=wadBvDPeE4E&amp;amp;t=20m00s"/>
    <s v="youtube.com"/>
    <s v=""/>
    <n v="12"/>
    <s v="1"/>
    <s v="1"/>
    <n v="0"/>
    <n v="0"/>
    <n v="0"/>
    <n v="0"/>
    <n v="0"/>
    <n v="0"/>
    <n v="15"/>
    <n v="100"/>
    <n v="15"/>
  </r>
  <r>
    <s v="UCdgnAdBCJ1ZR4qv4wg0_seQ"/>
    <s v="UCvQECJukTDE2i6aCoMnS-Vg"/>
    <m/>
    <m/>
    <m/>
    <m/>
    <m/>
    <m/>
    <m/>
    <m/>
    <s v="No"/>
    <n v="467"/>
    <m/>
    <m/>
    <s v="Commented Video"/>
    <x v="0"/>
    <s v="&lt;a href=&quot;http://www.youtube.com/watch?v=wadBvDPeE4E&amp;amp;t=25m00s&quot;&gt;25:00&lt;/a&gt;"/>
    <s v="UCdgnAdBCJ1ZR4qv4wg0_seQ"/>
    <s v="shawn burnham"/>
    <s v="http://www.youtube.com/channel/UCdgnAdBCJ1ZR4qv4wg0_seQ"/>
    <m/>
    <s v="wadBvDPeE4E"/>
    <s v="https://www.youtube.com/watch?v=wadBvDPeE4E"/>
    <s v="none"/>
    <n v="0"/>
    <x v="463"/>
    <d v="2016-08-18T08:09:44.000"/>
    <s v=" http://www.youtube.com/watch?v=wadBvDPeE4E&amp;amp;t=25m00s"/>
    <s v="youtube.com"/>
    <s v=""/>
    <n v="12"/>
    <s v="1"/>
    <s v="1"/>
    <n v="0"/>
    <n v="0"/>
    <n v="0"/>
    <n v="0"/>
    <n v="0"/>
    <n v="0"/>
    <n v="15"/>
    <n v="100"/>
    <n v="15"/>
  </r>
  <r>
    <s v="UCdgnAdBCJ1ZR4qv4wg0_seQ"/>
    <s v="UCvQECJukTDE2i6aCoMnS-Vg"/>
    <m/>
    <m/>
    <m/>
    <m/>
    <m/>
    <m/>
    <m/>
    <m/>
    <s v="No"/>
    <n v="468"/>
    <m/>
    <m/>
    <s v="Commented Video"/>
    <x v="0"/>
    <s v="&lt;a href=&quot;http://www.youtube.com/watch?v=wadBvDPeE4E&amp;amp;t=30m00s&quot;&gt;30:00&lt;/a&gt;"/>
    <s v="UCdgnAdBCJ1ZR4qv4wg0_seQ"/>
    <s v="shawn burnham"/>
    <s v="http://www.youtube.com/channel/UCdgnAdBCJ1ZR4qv4wg0_seQ"/>
    <m/>
    <s v="wadBvDPeE4E"/>
    <s v="https://www.youtube.com/watch?v=wadBvDPeE4E"/>
    <s v="none"/>
    <n v="0"/>
    <x v="464"/>
    <d v="2016-08-21T01:10:16.000"/>
    <s v=" http://www.youtube.com/watch?v=wadBvDPeE4E&amp;amp;t=30m00s"/>
    <s v="youtube.com"/>
    <s v=""/>
    <n v="12"/>
    <s v="1"/>
    <s v="1"/>
    <n v="0"/>
    <n v="0"/>
    <n v="0"/>
    <n v="0"/>
    <n v="0"/>
    <n v="0"/>
    <n v="15"/>
    <n v="100"/>
    <n v="15"/>
  </r>
  <r>
    <s v="UCdgnAdBCJ1ZR4qv4wg0_seQ"/>
    <s v="UCvQECJukTDE2i6aCoMnS-Vg"/>
    <m/>
    <m/>
    <m/>
    <m/>
    <m/>
    <m/>
    <m/>
    <m/>
    <s v="No"/>
    <n v="469"/>
    <m/>
    <m/>
    <s v="Commented Video"/>
    <x v="0"/>
    <s v="&lt;a href=&quot;http://www.youtube.com/watch?v=wadBvDPeE4E&amp;amp;t=35m00s&quot;&gt;35:00&lt;/a&gt;"/>
    <s v="UCdgnAdBCJ1ZR4qv4wg0_seQ"/>
    <s v="shawn burnham"/>
    <s v="http://www.youtube.com/channel/UCdgnAdBCJ1ZR4qv4wg0_seQ"/>
    <m/>
    <s v="wadBvDPeE4E"/>
    <s v="https://www.youtube.com/watch?v=wadBvDPeE4E"/>
    <s v="none"/>
    <n v="0"/>
    <x v="465"/>
    <d v="2016-08-27T04:44:19.000"/>
    <s v=" http://www.youtube.com/watch?v=wadBvDPeE4E&amp;amp;t=35m00s"/>
    <s v="youtube.com"/>
    <s v=""/>
    <n v="12"/>
    <s v="1"/>
    <s v="1"/>
    <n v="0"/>
    <n v="0"/>
    <n v="0"/>
    <n v="0"/>
    <n v="0"/>
    <n v="0"/>
    <n v="15"/>
    <n v="100"/>
    <n v="15"/>
  </r>
  <r>
    <s v="UCdgnAdBCJ1ZR4qv4wg0_seQ"/>
    <s v="UCvQECJukTDE2i6aCoMnS-Vg"/>
    <m/>
    <m/>
    <m/>
    <m/>
    <m/>
    <m/>
    <m/>
    <m/>
    <s v="No"/>
    <n v="470"/>
    <m/>
    <m/>
    <s v="Commented Video"/>
    <x v="0"/>
    <s v="&lt;a href=&quot;http://www.youtube.com/watch?v=wadBvDPeE4E&amp;amp;t=34m48s&quot;&gt;34:48&lt;/a&gt;"/>
    <s v="UCdgnAdBCJ1ZR4qv4wg0_seQ"/>
    <s v="shawn burnham"/>
    <s v="http://www.youtube.com/channel/UCdgnAdBCJ1ZR4qv4wg0_seQ"/>
    <m/>
    <s v="wadBvDPeE4E"/>
    <s v="https://www.youtube.com/watch?v=wadBvDPeE4E"/>
    <s v="none"/>
    <n v="0"/>
    <x v="466"/>
    <d v="2016-08-27T04:45:56.000"/>
    <s v=" http://www.youtube.com/watch?v=wadBvDPeE4E&amp;amp;t=34m48s"/>
    <s v="youtube.com"/>
    <s v=""/>
    <n v="12"/>
    <s v="1"/>
    <s v="1"/>
    <n v="0"/>
    <n v="0"/>
    <n v="0"/>
    <n v="0"/>
    <n v="0"/>
    <n v="0"/>
    <n v="15"/>
    <n v="100"/>
    <n v="15"/>
  </r>
  <r>
    <s v="UCdgnAdBCJ1ZR4qv4wg0_seQ"/>
    <s v="UCvQECJukTDE2i6aCoMnS-Vg"/>
    <m/>
    <m/>
    <m/>
    <m/>
    <m/>
    <m/>
    <m/>
    <m/>
    <s v="No"/>
    <n v="471"/>
    <m/>
    <m/>
    <s v="Commented Video"/>
    <x v="0"/>
    <s v="&lt;a href=&quot;http://www.youtube.com/watch?v=wadBvDPeE4E&amp;amp;t=36m00s&quot;&gt;36:00&lt;/a&gt;"/>
    <s v="UCdgnAdBCJ1ZR4qv4wg0_seQ"/>
    <s v="shawn burnham"/>
    <s v="http://www.youtube.com/channel/UCdgnAdBCJ1ZR4qv4wg0_seQ"/>
    <m/>
    <s v="wadBvDPeE4E"/>
    <s v="https://www.youtube.com/watch?v=wadBvDPeE4E"/>
    <s v="none"/>
    <n v="0"/>
    <x v="467"/>
    <d v="2016-09-06T23:00:51.000"/>
    <s v=" http://www.youtube.com/watch?v=wadBvDPeE4E&amp;amp;t=36m00s"/>
    <s v="youtube.com"/>
    <s v=""/>
    <n v="12"/>
    <s v="1"/>
    <s v="1"/>
    <n v="0"/>
    <n v="0"/>
    <n v="0"/>
    <n v="0"/>
    <n v="0"/>
    <n v="0"/>
    <n v="15"/>
    <n v="100"/>
    <n v="15"/>
  </r>
  <r>
    <s v="UCdgnAdBCJ1ZR4qv4wg0_seQ"/>
    <s v="UCvQECJukTDE2i6aCoMnS-Vg"/>
    <m/>
    <m/>
    <m/>
    <m/>
    <m/>
    <m/>
    <m/>
    <m/>
    <s v="No"/>
    <n v="472"/>
    <m/>
    <m/>
    <s v="Commented Video"/>
    <x v="0"/>
    <s v="&lt;a href=&quot;https://www.youtube.com/watch?v=wadBvDPeE4E&amp;amp;t=10m00s&quot;&gt;10:00&lt;/a&gt;"/>
    <s v="UCdgnAdBCJ1ZR4qv4wg0_seQ"/>
    <s v="shawn burnham"/>
    <s v="http://www.youtube.com/channel/UCdgnAdBCJ1ZR4qv4wg0_seQ"/>
    <m/>
    <s v="wadBvDPeE4E"/>
    <s v="https://www.youtube.com/watch?v=wadBvDPeE4E"/>
    <s v="none"/>
    <n v="0"/>
    <x v="468"/>
    <d v="2017-10-09T11:54:57.000"/>
    <s v=" https://www.youtube.com/watch?v=wadBvDPeE4E&amp;amp;t=10m00s"/>
    <s v="youtube.com"/>
    <s v=""/>
    <n v="12"/>
    <s v="1"/>
    <s v="1"/>
    <n v="0"/>
    <n v="0"/>
    <n v="0"/>
    <n v="0"/>
    <n v="0"/>
    <n v="0"/>
    <n v="15"/>
    <n v="100"/>
    <n v="15"/>
  </r>
  <r>
    <s v="UCdgnAdBCJ1ZR4qv4wg0_seQ"/>
    <s v="UCvQECJukTDE2i6aCoMnS-Vg"/>
    <m/>
    <m/>
    <m/>
    <m/>
    <m/>
    <m/>
    <m/>
    <m/>
    <s v="No"/>
    <n v="473"/>
    <m/>
    <m/>
    <s v="Commented Video"/>
    <x v="0"/>
    <s v="&lt;a href=&quot;https://www.youtube.com/watch?v=wadBvDPeE4E&amp;amp;t=26m00s&quot;&gt;26:00&lt;/a&gt;"/>
    <s v="UCdgnAdBCJ1ZR4qv4wg0_seQ"/>
    <s v="shawn burnham"/>
    <s v="http://www.youtube.com/channel/UCdgnAdBCJ1ZR4qv4wg0_seQ"/>
    <m/>
    <s v="wadBvDPeE4E"/>
    <s v="https://www.youtube.com/watch?v=wadBvDPeE4E"/>
    <s v="none"/>
    <n v="0"/>
    <x v="469"/>
    <d v="2017-10-14T05:20:31.000"/>
    <s v=" https://www.youtube.com/watch?v=wadBvDPeE4E&amp;amp;t=26m00s"/>
    <s v="youtube.com"/>
    <s v=""/>
    <n v="12"/>
    <s v="1"/>
    <s v="1"/>
    <n v="0"/>
    <n v="0"/>
    <n v="0"/>
    <n v="0"/>
    <n v="0"/>
    <n v="0"/>
    <n v="15"/>
    <n v="100"/>
    <n v="15"/>
  </r>
  <r>
    <s v="UCdgnAdBCJ1ZR4qv4wg0_seQ"/>
    <s v="UCvQECJukTDE2i6aCoMnS-Vg"/>
    <m/>
    <m/>
    <m/>
    <m/>
    <m/>
    <m/>
    <m/>
    <m/>
    <s v="No"/>
    <n v="474"/>
    <m/>
    <m/>
    <s v="Commented Video"/>
    <x v="0"/>
    <s v="&lt;a href=&quot;https://www.youtube.com/watch?v=wadBvDPeE4E&amp;amp;t=30m00s&quot;&gt;30:00&lt;/a&gt;"/>
    <s v="UCdgnAdBCJ1ZR4qv4wg0_seQ"/>
    <s v="shawn burnham"/>
    <s v="http://www.youtube.com/channel/UCdgnAdBCJ1ZR4qv4wg0_seQ"/>
    <m/>
    <s v="wadBvDPeE4E"/>
    <s v="https://www.youtube.com/watch?v=wadBvDPeE4E"/>
    <s v="none"/>
    <n v="0"/>
    <x v="470"/>
    <d v="2017-10-19T08:25:20.000"/>
    <s v=" https://www.youtube.com/watch?v=wadBvDPeE4E&amp;amp;t=30m00s"/>
    <s v="youtube.com"/>
    <s v=""/>
    <n v="12"/>
    <s v="1"/>
    <s v="1"/>
    <n v="0"/>
    <n v="0"/>
    <n v="0"/>
    <n v="0"/>
    <n v="0"/>
    <n v="0"/>
    <n v="15"/>
    <n v="100"/>
    <n v="15"/>
  </r>
  <r>
    <s v="UCdgnAdBCJ1ZR4qv4wg0_seQ"/>
    <s v="UCvQECJukTDE2i6aCoMnS-Vg"/>
    <m/>
    <m/>
    <m/>
    <m/>
    <m/>
    <m/>
    <m/>
    <m/>
    <s v="No"/>
    <n v="475"/>
    <m/>
    <m/>
    <s v="Commented Video"/>
    <x v="0"/>
    <s v="&lt;a href=&quot;https://www.youtube.com/watch?v=wadBvDPeE4E&amp;amp;t=34m00s&quot;&gt;34:00&lt;/a&gt;"/>
    <s v="UCdgnAdBCJ1ZR4qv4wg0_seQ"/>
    <s v="shawn burnham"/>
    <s v="http://www.youtube.com/channel/UCdgnAdBCJ1ZR4qv4wg0_seQ"/>
    <m/>
    <s v="wadBvDPeE4E"/>
    <s v="https://www.youtube.com/watch?v=wadBvDPeE4E"/>
    <s v="none"/>
    <n v="0"/>
    <x v="471"/>
    <d v="2017-10-22T08:37:01.000"/>
    <s v=" https://www.youtube.com/watch?v=wadBvDPeE4E&amp;amp;t=34m00s"/>
    <s v="youtube.com"/>
    <s v=""/>
    <n v="12"/>
    <s v="1"/>
    <s v="1"/>
    <n v="0"/>
    <n v="0"/>
    <n v="0"/>
    <n v="0"/>
    <n v="0"/>
    <n v="0"/>
    <n v="15"/>
    <n v="100"/>
    <n v="15"/>
  </r>
  <r>
    <s v="UCdgnAdBCJ1ZR4qv4wg0_seQ"/>
    <s v="UCvQECJukTDE2i6aCoMnS-Vg"/>
    <m/>
    <m/>
    <m/>
    <m/>
    <m/>
    <m/>
    <m/>
    <m/>
    <s v="No"/>
    <n v="476"/>
    <m/>
    <m/>
    <s v="Commented Video"/>
    <x v="0"/>
    <s v="&lt;a href=&quot;https://www.youtube.com/watch?v=wadBvDPeE4E&amp;amp;t=36m00s&quot;&gt;36:00&lt;/a&gt;"/>
    <s v="UCdgnAdBCJ1ZR4qv4wg0_seQ"/>
    <s v="shawn burnham"/>
    <s v="http://www.youtube.com/channel/UCdgnAdBCJ1ZR4qv4wg0_seQ"/>
    <m/>
    <s v="wadBvDPeE4E"/>
    <s v="https://www.youtube.com/watch?v=wadBvDPeE4E"/>
    <s v="none"/>
    <n v="0"/>
    <x v="472"/>
    <d v="2017-10-26T12:44:31.000"/>
    <s v=" https://www.youtube.com/watch?v=wadBvDPeE4E&amp;amp;t=36m00s"/>
    <s v="youtube.com"/>
    <s v=""/>
    <n v="12"/>
    <s v="1"/>
    <s v="1"/>
    <n v="0"/>
    <n v="0"/>
    <n v="0"/>
    <n v="0"/>
    <n v="0"/>
    <n v="0"/>
    <n v="15"/>
    <n v="100"/>
    <n v="15"/>
  </r>
  <r>
    <s v="UCAav2uWG5aOa1jvallyXLqw"/>
    <s v="UCvQECJukTDE2i6aCoMnS-Vg"/>
    <m/>
    <m/>
    <m/>
    <m/>
    <m/>
    <m/>
    <m/>
    <m/>
    <s v="No"/>
    <n v="477"/>
    <m/>
    <m/>
    <s v="Commented Video"/>
    <x v="0"/>
    <s v="The words of the wise are like oxgoads,  and their collected sayings are like firmly embedded nails; they have been given from one shepherd.  As for anything besides these, my son, be warned: To the making of many books there is no end, and much devotion to them is wearisome to the flesh."/>
    <s v="UCAav2uWG5aOa1jvallyXLqw"/>
    <s v="brettnicholeon"/>
    <s v="http://www.youtube.com/channel/UCAav2uWG5aOa1jvallyXLqw"/>
    <m/>
    <s v="wadBvDPeE4E"/>
    <s v="https://www.youtube.com/watch?v=wadBvDPeE4E"/>
    <s v="none"/>
    <n v="1"/>
    <x v="473"/>
    <d v="2017-11-22T06:42:35.000"/>
    <m/>
    <m/>
    <s v=""/>
    <n v="1"/>
    <s v="1"/>
    <s v="1"/>
    <n v="3"/>
    <n v="5.660377358490566"/>
    <n v="2"/>
    <n v="3.7735849056603774"/>
    <n v="0"/>
    <n v="0"/>
    <n v="48"/>
    <n v="90.56603773584905"/>
    <n v="53"/>
  </r>
  <r>
    <s v="UCgxaYSe6khXCJDxA7ggbZtQ"/>
    <s v="UCvQECJukTDE2i6aCoMnS-Vg"/>
    <m/>
    <m/>
    <m/>
    <m/>
    <m/>
    <m/>
    <m/>
    <m/>
    <s v="No"/>
    <n v="478"/>
    <m/>
    <m/>
    <s v="Commented Video"/>
    <x v="0"/>
    <s v="Thanks for the lecture, was wonderful. and also it let me learn new vocabulary to my TOEFL test"/>
    <s v="UCgxaYSe6khXCJDxA7ggbZtQ"/>
    <s v="ANDRÉS MUÑOZ SALGADO"/>
    <s v="http://www.youtube.com/channel/UCgxaYSe6khXCJDxA7ggbZtQ"/>
    <m/>
    <s v="wadBvDPeE4E"/>
    <s v="https://www.youtube.com/watch?v=wadBvDPeE4E"/>
    <s v="none"/>
    <n v="3"/>
    <x v="474"/>
    <d v="2018-02-07T17:21:47.000"/>
    <m/>
    <m/>
    <s v=""/>
    <n v="1"/>
    <s v="1"/>
    <s v="1"/>
    <n v="1"/>
    <n v="5.555555555555555"/>
    <n v="0"/>
    <n v="0"/>
    <n v="0"/>
    <n v="0"/>
    <n v="17"/>
    <n v="94.44444444444444"/>
    <n v="18"/>
  </r>
  <r>
    <s v="UCpy1V9O-Z8V6bYxLe-Jf3VQ"/>
    <s v="UCvQECJukTDE2i6aCoMnS-Vg"/>
    <m/>
    <m/>
    <m/>
    <m/>
    <m/>
    <m/>
    <m/>
    <m/>
    <s v="No"/>
    <n v="479"/>
    <m/>
    <m/>
    <s v="Commented Video"/>
    <x v="0"/>
    <s v="Wow no idea this was about suicide"/>
    <s v="UCpy1V9O-Z8V6bYxLe-Jf3VQ"/>
    <s v="meekking achor"/>
    <s v="http://www.youtube.com/channel/UCpy1V9O-Z8V6bYxLe-Jf3VQ"/>
    <m/>
    <s v="wadBvDPeE4E"/>
    <s v="https://www.youtube.com/watch?v=wadBvDPeE4E"/>
    <s v="none"/>
    <n v="0"/>
    <x v="475"/>
    <d v="2018-03-06T00:20:16.000"/>
    <m/>
    <m/>
    <s v=""/>
    <n v="3"/>
    <s v="1"/>
    <s v="1"/>
    <n v="1"/>
    <n v="14.285714285714286"/>
    <n v="1"/>
    <n v="14.285714285714286"/>
    <n v="0"/>
    <n v="0"/>
    <n v="5"/>
    <n v="71.42857142857143"/>
    <n v="7"/>
  </r>
  <r>
    <s v="UCpy1V9O-Z8V6bYxLe-Jf3VQ"/>
    <s v="UCvQECJukTDE2i6aCoMnS-Vg"/>
    <m/>
    <m/>
    <m/>
    <m/>
    <m/>
    <m/>
    <m/>
    <m/>
    <s v="No"/>
    <n v="480"/>
    <m/>
    <m/>
    <s v="Commented Video"/>
    <x v="0"/>
    <s v="&lt;a href=&quot;https://www.youtube.com/watch?v=wadBvDPeE4E&amp;amp;t=14m36s&quot;&gt;14:36&lt;/a&gt;-&lt;a href=&quot;https://www.youtube.com/watch?v=wadBvDPeE4E&amp;amp;t=15m00s&quot;&gt;15:00&lt;/a&gt;"/>
    <s v="UCpy1V9O-Z8V6bYxLe-Jf3VQ"/>
    <s v="meekking achor"/>
    <s v="http://www.youtube.com/channel/UCpy1V9O-Z8V6bYxLe-Jf3VQ"/>
    <m/>
    <s v="wadBvDPeE4E"/>
    <s v="https://www.youtube.com/watch?v=wadBvDPeE4E"/>
    <s v="none"/>
    <n v="0"/>
    <x v="476"/>
    <d v="2018-03-06T00:27:56.000"/>
    <s v=" https://www.youtube.com/watch?v=wadBvDPeE4E&amp;amp;t=14m36s https://www.youtube.com/watch?v=wadBvDPeE4E&amp;amp;t=15m00s"/>
    <s v="youtube.com youtube.com"/>
    <s v=""/>
    <n v="3"/>
    <s v="1"/>
    <s v="1"/>
    <n v="0"/>
    <n v="0"/>
    <n v="0"/>
    <n v="0"/>
    <n v="0"/>
    <n v="0"/>
    <n v="30"/>
    <n v="100"/>
    <n v="30"/>
  </r>
  <r>
    <s v="UCpy1V9O-Z8V6bYxLe-Jf3VQ"/>
    <s v="UCvQECJukTDE2i6aCoMnS-Vg"/>
    <m/>
    <m/>
    <m/>
    <m/>
    <m/>
    <m/>
    <m/>
    <m/>
    <s v="No"/>
    <n v="481"/>
    <m/>
    <m/>
    <s v="Commented Video"/>
    <x v="0"/>
    <s v="&lt;a href=&quot;https://www.youtube.com/watch?v=wadBvDPeE4E&amp;amp;t=14m36s&quot;&gt;14:36&lt;/a&gt;-&lt;a href=&quot;https://www.youtube.com/watch?v=wadBvDPeE4E&amp;amp;t=15m00s&quot;&gt;15:00&lt;/a&gt;"/>
    <s v="UCpy1V9O-Z8V6bYxLe-Jf3VQ"/>
    <s v="meekking achor"/>
    <s v="http://www.youtube.com/channel/UCpy1V9O-Z8V6bYxLe-Jf3VQ"/>
    <m/>
    <s v="wadBvDPeE4E"/>
    <s v="https://www.youtube.com/watch?v=wadBvDPeE4E"/>
    <s v="none"/>
    <n v="0"/>
    <x v="477"/>
    <d v="2018-03-06T00:28:12.000"/>
    <s v=" https://www.youtube.com/watch?v=wadBvDPeE4E&amp;amp;t=14m36s https://www.youtube.com/watch?v=wadBvDPeE4E&amp;amp;t=15m00s"/>
    <s v="youtube.com youtube.com"/>
    <s v=""/>
    <n v="3"/>
    <s v="1"/>
    <s v="1"/>
    <n v="0"/>
    <n v="0"/>
    <n v="0"/>
    <n v="0"/>
    <n v="0"/>
    <n v="0"/>
    <n v="30"/>
    <n v="100"/>
    <n v="30"/>
  </r>
  <r>
    <s v="UCJ0cj3GvMi85PjDJXD0XqTg"/>
    <s v="UCvQECJukTDE2i6aCoMnS-Vg"/>
    <m/>
    <m/>
    <m/>
    <m/>
    <m/>
    <m/>
    <m/>
    <m/>
    <s v="No"/>
    <n v="482"/>
    <m/>
    <m/>
    <s v="Commented Video"/>
    <x v="0"/>
    <s v="Really good lecture"/>
    <s v="UCJ0cj3GvMi85PjDJXD0XqTg"/>
    <s v="torasclaat"/>
    <s v="http://www.youtube.com/channel/UCJ0cj3GvMi85PjDJXD0XqTg"/>
    <m/>
    <s v="wadBvDPeE4E"/>
    <s v="https://www.youtube.com/watch?v=wadBvDPeE4E"/>
    <s v="none"/>
    <n v="1"/>
    <x v="478"/>
    <d v="2018-03-16T06:14:16.000"/>
    <m/>
    <m/>
    <s v=""/>
    <n v="1"/>
    <s v="1"/>
    <s v="1"/>
    <n v="1"/>
    <n v="33.333333333333336"/>
    <n v="0"/>
    <n v="0"/>
    <n v="0"/>
    <n v="0"/>
    <n v="2"/>
    <n v="66.66666666666667"/>
    <n v="3"/>
  </r>
  <r>
    <s v="UC-KWommSB3rIBtK-U1bwjDA"/>
    <s v="UCvQECJukTDE2i6aCoMnS-Vg"/>
    <m/>
    <m/>
    <m/>
    <m/>
    <m/>
    <m/>
    <m/>
    <m/>
    <s v="No"/>
    <n v="483"/>
    <m/>
    <m/>
    <s v="Commented Video"/>
    <x v="0"/>
    <s v="NJRDYMIRFDADD"/>
    <s v="UC-KWommSB3rIBtK-U1bwjDA"/>
    <s v="D Crane"/>
    <s v="http://www.youtube.com/channel/UC-KWommSB3rIBtK-U1bwjDA"/>
    <m/>
    <s v="wadBvDPeE4E"/>
    <s v="https://www.youtube.com/watch?v=wadBvDPeE4E"/>
    <s v="none"/>
    <n v="0"/>
    <x v="479"/>
    <d v="2018-04-16T08:37:07.000"/>
    <m/>
    <m/>
    <s v=""/>
    <n v="1"/>
    <s v="1"/>
    <s v="1"/>
    <n v="0"/>
    <n v="0"/>
    <n v="0"/>
    <n v="0"/>
    <n v="0"/>
    <n v="0"/>
    <n v="1"/>
    <n v="100"/>
    <n v="1"/>
  </r>
  <r>
    <s v="UCzWwr9fSROw2liph1qK7psQ"/>
    <s v="UCvQECJukTDE2i6aCoMnS-Vg"/>
    <m/>
    <m/>
    <m/>
    <m/>
    <m/>
    <m/>
    <m/>
    <m/>
    <s v="No"/>
    <n v="484"/>
    <m/>
    <m/>
    <s v="Commented Video"/>
    <x v="0"/>
    <s v="One of my favority topics... I have a general down to earth youtube series on sociology that I just started. I love this topic and by no means am I as eficient as those with PhD&amp;#39;s and such. But I graduated with my BA with honors and I have been fascinated with sociology every sense I took my first course... got my MA in psychology and would love my Phd in social psychology..."/>
    <s v="UCzWwr9fSROw2liph1qK7psQ"/>
    <s v="Dr. Mother Rants"/>
    <s v="http://www.youtube.com/channel/UCzWwr9fSROw2liph1qK7psQ"/>
    <m/>
    <s v="wadBvDPeE4E"/>
    <s v="https://www.youtube.com/watch?v=wadBvDPeE4E"/>
    <s v="none"/>
    <n v="4"/>
    <x v="480"/>
    <d v="2018-05-06T20:35:32.000"/>
    <m/>
    <m/>
    <s v=""/>
    <n v="1"/>
    <s v="1"/>
    <s v="1"/>
    <n v="2"/>
    <n v="2.6666666666666665"/>
    <n v="0"/>
    <n v="0"/>
    <n v="0"/>
    <n v="0"/>
    <n v="73"/>
    <n v="97.33333333333333"/>
    <n v="75"/>
  </r>
  <r>
    <s v="UCjo1tpnRd6fLgPXelK-I-Yg"/>
    <s v="UCklG6ilxW_PeYeDSpKSRGZQ"/>
    <m/>
    <m/>
    <m/>
    <m/>
    <m/>
    <m/>
    <m/>
    <m/>
    <s v="No"/>
    <n v="485"/>
    <m/>
    <m/>
    <s v="Replied Comment"/>
    <x v="1"/>
    <s v="From neutral point of view,he gave,I suppose,explanation for notion of social change.Christakis,indeed,is not purposefully urging to change but subtly referring that it is high time to take  structural reforms"/>
    <s v="UCjo1tpnRd6fLgPXelK-I-Yg"/>
    <s v="Жавохир Мустафоев"/>
    <s v="http://www.youtube.com/channel/UCjo1tpnRd6fLgPXelK-I-Yg"/>
    <s v="UgwnNRPtvJuPO-VjGgR4AaABAg"/>
    <s v="wadBvDPeE4E"/>
    <s v="https://www.youtube.com/watch?v=wadBvDPeE4E"/>
    <s v="none"/>
    <n v="0"/>
    <x v="481"/>
    <d v="2021-11-24T07:59:32.000"/>
    <m/>
    <m/>
    <s v=""/>
    <n v="1"/>
    <s v="7"/>
    <s v="7"/>
    <n v="1"/>
    <n v="2.857142857142857"/>
    <n v="0"/>
    <n v="0"/>
    <n v="0"/>
    <n v="0"/>
    <n v="34"/>
    <n v="97.14285714285714"/>
    <n v="35"/>
  </r>
  <r>
    <s v="UC09RWcegnsrTtN5Y1qQwPFQ"/>
    <s v="UCklG6ilxW_PeYeDSpKSRGZQ"/>
    <m/>
    <m/>
    <m/>
    <m/>
    <m/>
    <m/>
    <m/>
    <m/>
    <s v="No"/>
    <n v="486"/>
    <m/>
    <m/>
    <s v="Replied Comment"/>
    <x v="1"/>
    <s v="Hello minivanjack.&lt;br&gt;&lt;br&gt;I appreciate the way that you are observing the irrationality of the presenter&amp;#39;s mindset and concepts, and the general irrationality of many so-called &amp;quot;social sciences&amp;quot;.   &lt;br&gt;&lt;br&gt;You commented on one of the most central and meaningful aspects of this topic, and I think you correctly see that many people who obtain these specialty credentials in order to teach or write books or advise on public policy are too blind or too intellectually impaired (or both) to understand the consequences of their own premise.  You noticed it and described it very well.&lt;br&gt;&lt;br&gt;I have a simple personal policy that I apply whenever a social science egomaniac or nosy neighbor or pious preacher attempts to &amp;quot;parent&amp;quot; me or try to take control of my thinking or my values.   I listen patiently to what they have to say, and then I summarize their proposal while flipping the roles.&lt;br&gt;&lt;br&gt;&amp;quot;It appears that you wish to impose your views and preferences about life onto me.  You are endorsing and prescribing several tenets of collecitvism, and you are trying to judge me negatively if I don&amp;#39;t agree with your subjective interpretation of things.  Since you approve of your own attempt to try to parent me as a fellow adult, we can assume that you approve of me taking the same action first against you.   Certainly if you think it&amp;#39;s OK for you to do it to me, then you will see it as fair for me to do it to you also.   I&amp;#39;ll start by telling you a few of the first things that I want you to begin thinking, doing, and valuing, and then you must follow my instructions and replace your own independent judgment with my guidance of your behaviors.  Are you ready to get started?&amp;quot;&lt;br&gt;&lt;br&gt;A second policy I have is that I ask the person:  &amp;quot;Are you actually using your own teaching in your own behaviors?&amp;quot;   I find it is usually the case that such people do not even follow their own advice, and they do not even practice their own claimed beliefs.   &lt;br&gt;&lt;br&gt;An example of this is how some famous people advocate for defunding police or removing private gun ownership, but they employ one, or two, or ten private security people who carry loaded weapons to protect them and their families."/>
    <s v="UC09RWcegnsrTtN5Y1qQwPFQ"/>
    <s v="MikeG"/>
    <s v="http://www.youtube.com/channel/UC09RWcegnsrTtN5Y1qQwPFQ"/>
    <s v="UgwnNRPtvJuPO-VjGgR4AaABAg"/>
    <s v="wadBvDPeE4E"/>
    <s v="https://www.youtube.com/watch?v=wadBvDPeE4E"/>
    <s v="none"/>
    <n v="0"/>
    <x v="482"/>
    <d v="2022-05-29T18:21:02.000"/>
    <m/>
    <m/>
    <s v=""/>
    <n v="1"/>
    <s v="7"/>
    <s v="7"/>
    <n v="14"/>
    <n v="3.4146341463414633"/>
    <n v="5"/>
    <n v="1.2195121951219512"/>
    <n v="0"/>
    <n v="0"/>
    <n v="391"/>
    <n v="95.36585365853658"/>
    <n v="410"/>
  </r>
  <r>
    <s v="UC_-FIxHPBnhLkE9cGbL2ZiQ"/>
    <s v="UCklG6ilxW_PeYeDSpKSRGZQ"/>
    <m/>
    <m/>
    <m/>
    <m/>
    <m/>
    <m/>
    <m/>
    <m/>
    <s v="No"/>
    <n v="487"/>
    <m/>
    <m/>
    <s v="Replied Comment"/>
    <x v="1"/>
    <s v="I find your post provocatively interesting.... I highly agree with parts and disagree with others.  Mainly, some sociological processes are reactive..."/>
    <s v="UC_-FIxHPBnhLkE9cGbL2ZiQ"/>
    <s v="USA Latino"/>
    <s v="http://www.youtube.com/channel/UC_-FIxHPBnhLkE9cGbL2ZiQ"/>
    <s v="UgwnNRPtvJuPO-VjGgR4AaABAg"/>
    <s v="wadBvDPeE4E"/>
    <s v="https://www.youtube.com/watch?v=wadBvDPeE4E"/>
    <s v="none"/>
    <n v="0"/>
    <x v="483"/>
    <d v="2022-05-12T17:02:13.000"/>
    <m/>
    <m/>
    <s v=""/>
    <n v="1"/>
    <s v="7"/>
    <s v="7"/>
    <n v="1"/>
    <n v="4.761904761904762"/>
    <n v="1"/>
    <n v="4.761904761904762"/>
    <n v="0"/>
    <n v="0"/>
    <n v="19"/>
    <n v="90.47619047619048"/>
    <n v="21"/>
  </r>
  <r>
    <s v="UCklG6ilxW_PeYeDSpKSRGZQ"/>
    <s v="UCvQECJukTDE2i6aCoMnS-Vg"/>
    <m/>
    <m/>
    <m/>
    <m/>
    <m/>
    <m/>
    <m/>
    <m/>
    <s v="No"/>
    <n v="488"/>
    <m/>
    <m/>
    <s v="Commented Video"/>
    <x v="0"/>
    <s v="&amp;quot;By changing the (social) structure, you can change the individual.&amp;quot; ... Since when is &amp;quot;changing the individual&amp;quot; a valid or constructive goal? This presumes that some individual may decide how other individuals must &amp;quot;change.&amp;quot;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amp;quot;changing people&amp;quot; is sociopathic and narcissistic insanity, no more, no less. I took college level sociology classes in the early 1970&amp;#39;s. It was not about &amp;quot;changing&amp;quot; society, it was about understanding society. Studying it, not &amp;quot;correcting it.&amp;quot; So the field of Sociology has been claimed and corrupted to become a &amp;quot;tool&amp;quot; to bend society into some desired model for the benefit of the elite or the state under the now &amp;quot;acceptable&amp;quot; concept of &amp;quot;social engineering&amp;quot;. After all, if you can&amp;#39;t manipulate people with something, why study it?"/>
    <s v="UCklG6ilxW_PeYeDSpKSRGZQ"/>
    <s v="minivanjack"/>
    <s v="http://www.youtube.com/channel/UCklG6ilxW_PeYeDSpKSRGZQ"/>
    <m/>
    <s v="wadBvDPeE4E"/>
    <s v="https://www.youtube.com/watch?v=wadBvDPeE4E"/>
    <s v="none"/>
    <n v="6"/>
    <x v="484"/>
    <d v="2018-05-21T17:41:38.000"/>
    <m/>
    <m/>
    <s v=""/>
    <n v="1"/>
    <s v="7"/>
    <s v="1"/>
    <n v="11"/>
    <n v="4.621848739495798"/>
    <n v="4"/>
    <n v="1.680672268907563"/>
    <n v="0"/>
    <n v="0"/>
    <n v="223"/>
    <n v="93.69747899159664"/>
    <n v="238"/>
  </r>
  <r>
    <s v="UCsOHhRRni2fF3EWgvpz7lig"/>
    <s v="UCvQECJukTDE2i6aCoMnS-Vg"/>
    <m/>
    <m/>
    <m/>
    <m/>
    <m/>
    <m/>
    <m/>
    <m/>
    <s v="No"/>
    <n v="489"/>
    <m/>
    <m/>
    <s v="Commented Video"/>
    <x v="0"/>
    <s v="Siocology failed."/>
    <s v="UCsOHhRRni2fF3EWgvpz7lig"/>
    <s v="liquid cyberpunk"/>
    <s v="http://www.youtube.com/channel/UCsOHhRRni2fF3EWgvpz7lig"/>
    <m/>
    <s v="wadBvDPeE4E"/>
    <s v="https://www.youtube.com/watch?v=wadBvDPeE4E"/>
    <s v="none"/>
    <n v="0"/>
    <x v="485"/>
    <d v="2018-06-13T09:43:18.000"/>
    <m/>
    <m/>
    <s v=""/>
    <n v="1"/>
    <s v="1"/>
    <s v="1"/>
    <n v="0"/>
    <n v="0"/>
    <n v="1"/>
    <n v="50"/>
    <n v="0"/>
    <n v="0"/>
    <n v="1"/>
    <n v="50"/>
    <n v="2"/>
  </r>
  <r>
    <s v="UCwkEMAb2hKoyywsozegFGMQ"/>
    <s v="UCvQECJukTDE2i6aCoMnS-Vg"/>
    <m/>
    <m/>
    <m/>
    <m/>
    <m/>
    <m/>
    <m/>
    <m/>
    <s v="No"/>
    <n v="490"/>
    <m/>
    <m/>
    <s v="Commented Video"/>
    <x v="0"/>
    <s v="What a great video. So organized. So easy to follow."/>
    <s v="UCwkEMAb2hKoyywsozegFGMQ"/>
    <s v="BoZmD"/>
    <s v="http://www.youtube.com/channel/UCwkEMAb2hKoyywsozegFGMQ"/>
    <m/>
    <s v="wadBvDPeE4E"/>
    <s v="https://www.youtube.com/watch?v=wadBvDPeE4E"/>
    <s v="none"/>
    <n v="1"/>
    <x v="486"/>
    <d v="2018-08-13T15:39:45.000"/>
    <m/>
    <m/>
    <s v=""/>
    <n v="1"/>
    <s v="2"/>
    <s v="1"/>
    <n v="2"/>
    <n v="20"/>
    <n v="0"/>
    <n v="0"/>
    <n v="0"/>
    <n v="0"/>
    <n v="8"/>
    <n v="80"/>
    <n v="10"/>
  </r>
  <r>
    <s v="UCNZUddA0ZXKFrzglJQfdI0g"/>
    <s v="UCvQECJukTDE2i6aCoMnS-Vg"/>
    <m/>
    <m/>
    <m/>
    <m/>
    <m/>
    <m/>
    <m/>
    <m/>
    <s v="No"/>
    <n v="491"/>
    <m/>
    <m/>
    <s v="Commented Video"/>
    <x v="0"/>
    <s v="Love this lecture. Great work!"/>
    <s v="UCNZUddA0ZXKFrzglJQfdI0g"/>
    <s v="Abu Daoud"/>
    <s v="http://www.youtube.com/channel/UCNZUddA0ZXKFrzglJQfdI0g"/>
    <m/>
    <s v="wadBvDPeE4E"/>
    <s v="https://www.youtube.com/watch?v=wadBvDPeE4E"/>
    <s v="none"/>
    <n v="2"/>
    <x v="487"/>
    <d v="2018-08-14T18:04:07.000"/>
    <m/>
    <m/>
    <s v=""/>
    <n v="1"/>
    <s v="1"/>
    <s v="1"/>
    <n v="3"/>
    <n v="60"/>
    <n v="0"/>
    <n v="0"/>
    <n v="0"/>
    <n v="0"/>
    <n v="2"/>
    <n v="40"/>
    <n v="5"/>
  </r>
  <r>
    <s v="UCRnUIJVZ6DOmqnLf-kDH72g"/>
    <s v="UCvQECJukTDE2i6aCoMnS-Vg"/>
    <m/>
    <m/>
    <m/>
    <m/>
    <m/>
    <m/>
    <m/>
    <m/>
    <s v="No"/>
    <n v="492"/>
    <m/>
    <m/>
    <s v="Commented Video"/>
    <x v="0"/>
    <s v="Aaaaa to sabendo legal em inglês... Youtude lixo nem pra colocar uma legenda mínima ao vídeo"/>
    <s v="UCRnUIJVZ6DOmqnLf-kDH72g"/>
    <s v="Renato Vinicius Souza"/>
    <s v="http://www.youtube.com/channel/UCRnUIJVZ6DOmqnLf-kDH72g"/>
    <m/>
    <s v="wadBvDPeE4E"/>
    <s v="https://www.youtube.com/watch?v=wadBvDPeE4E"/>
    <s v="none"/>
    <n v="0"/>
    <x v="488"/>
    <d v="2019-01-22T07:19:08.000"/>
    <m/>
    <m/>
    <s v=""/>
    <n v="1"/>
    <s v="1"/>
    <s v="1"/>
    <n v="0"/>
    <n v="0"/>
    <n v="0"/>
    <n v="0"/>
    <n v="0"/>
    <n v="0"/>
    <n v="16"/>
    <n v="100"/>
    <n v="16"/>
  </r>
  <r>
    <s v="UCYSDe3eNHFL6qqq5368Niig"/>
    <s v="UCvQECJukTDE2i6aCoMnS-Vg"/>
    <m/>
    <m/>
    <m/>
    <m/>
    <m/>
    <m/>
    <m/>
    <m/>
    <s v="No"/>
    <n v="493"/>
    <m/>
    <m/>
    <s v="Commented Video"/>
    <x v="0"/>
    <s v="Treatment of pneumonia in 10 minutes using the phone._x000d_&lt;br&gt;_x000d_&lt;br&gt;Hello!_x000d_&lt;br&gt;How are you?_x000d_&lt;br&gt;I invented an amazing thing ...._x000d_&lt;br&gt;A videofile that treats for a variety of respiratory diseases!_x000d_&lt;br&gt;I hope that it will be useful to you or your relatives._x000d_&lt;br&gt;If you do not mind, subscribe to my channel ...._x000d_&lt;br&gt;And when you are convinced of its effectiveness, be so kind as to put a like._x000d_&lt;br&gt;Best wishes! Evgeny_x000d_&lt;br&gt;&lt;a href=&quot;https://www.youtube.com/watch?time_continue=2&amp;amp;v=TTNdcgQjvfM&quot;&gt;https://www.youtube.com/watch?time_continue=2&amp;amp;v=TTNdcgQjvfM&lt;/a&gt;"/>
    <s v="UCYSDe3eNHFL6qqq5368Niig"/>
    <s v="Евгений Ицкович"/>
    <s v="http://www.youtube.com/channel/UCYSDe3eNHFL6qqq5368Niig"/>
    <m/>
    <s v="wadBvDPeE4E"/>
    <s v="https://www.youtube.com/watch?v=wadBvDPeE4E"/>
    <s v="none"/>
    <n v="0"/>
    <x v="489"/>
    <d v="2019-02-27T16:09:20.000"/>
    <s v=" https://www.youtube.com/watch?time_continue=2&amp;amp;v=TTNdcgQjvfM https://www.youtube.com/watch?time_continue=2&amp;amp;v=TTNdcgQjvfM"/>
    <s v="youtube.com youtube.com"/>
    <s v=""/>
    <n v="1"/>
    <s v="1"/>
    <s v="1"/>
    <n v="6"/>
    <n v="5.9405940594059405"/>
    <n v="0"/>
    <n v="0"/>
    <n v="0"/>
    <n v="0"/>
    <n v="95"/>
    <n v="94.05940594059406"/>
    <n v="101"/>
  </r>
  <r>
    <s v="UCbM82w6bCQYpP31QHuSJfTw"/>
    <s v="UCvQECJukTDE2i6aCoMnS-Vg"/>
    <m/>
    <m/>
    <m/>
    <m/>
    <m/>
    <m/>
    <m/>
    <m/>
    <s v="No"/>
    <n v="494"/>
    <m/>
    <m/>
    <s v="Commented Video"/>
    <x v="0"/>
    <s v="&lt;a href=&quot;https://www.youtube.com/watch?v=wadBvDPeE4E&amp;amp;t=15m00s&quot;&gt;15:00&lt;/a&gt; Collective reality and the power of social networks"/>
    <s v="UCbM82w6bCQYpP31QHuSJfTw"/>
    <s v="TripleA007"/>
    <s v="http://www.youtube.com/channel/UCbM82w6bCQYpP31QHuSJfTw"/>
    <m/>
    <s v="wadBvDPeE4E"/>
    <s v="https://www.youtube.com/watch?v=wadBvDPeE4E"/>
    <s v="none"/>
    <n v="0"/>
    <x v="490"/>
    <d v="2019-03-11T09:17:17.000"/>
    <s v=" https://www.youtube.com/watch?v=wadBvDPeE4E&amp;amp;t=15m00s"/>
    <s v="youtube.com"/>
    <s v=""/>
    <n v="1"/>
    <s v="1"/>
    <s v="1"/>
    <n v="0"/>
    <n v="0"/>
    <n v="0"/>
    <n v="0"/>
    <n v="0"/>
    <n v="0"/>
    <n v="23"/>
    <n v="100"/>
    <n v="23"/>
  </r>
  <r>
    <s v="UC36wQpC1Q9SwSajBrHQSzJw"/>
    <s v="UCvQECJukTDE2i6aCoMnS-Vg"/>
    <m/>
    <m/>
    <m/>
    <m/>
    <m/>
    <m/>
    <m/>
    <m/>
    <s v="No"/>
    <n v="495"/>
    <m/>
    <m/>
    <s v="Commented Video"/>
    <x v="0"/>
    <s v="The best talk I&amp;#39;ve listened so far.."/>
    <s v="UC36wQpC1Q9SwSajBrHQSzJw"/>
    <s v="Somewhere Near"/>
    <s v="http://www.youtube.com/channel/UC36wQpC1Q9SwSajBrHQSzJw"/>
    <m/>
    <s v="wadBvDPeE4E"/>
    <s v="https://www.youtube.com/watch?v=wadBvDPeE4E"/>
    <s v="none"/>
    <n v="0"/>
    <x v="491"/>
    <d v="2019-03-18T14:21:07.000"/>
    <m/>
    <m/>
    <s v=""/>
    <n v="1"/>
    <s v="1"/>
    <s v="1"/>
    <n v="1"/>
    <n v="11.11111111111111"/>
    <n v="0"/>
    <n v="0"/>
    <n v="0"/>
    <n v="0"/>
    <n v="8"/>
    <n v="88.88888888888889"/>
    <n v="9"/>
  </r>
  <r>
    <s v="UCfhMIRcf8JtZXrcwoyPpEjg"/>
    <s v="UCvQECJukTDE2i6aCoMnS-Vg"/>
    <m/>
    <m/>
    <m/>
    <m/>
    <m/>
    <m/>
    <m/>
    <m/>
    <s v="No"/>
    <n v="496"/>
    <m/>
    <m/>
    <s v="Commented Video"/>
    <x v="0"/>
    <s v="the suicide notes though lol...sounds like justifying the act than the moral"/>
    <s v="UCfhMIRcf8JtZXrcwoyPpEjg"/>
    <s v="gladman mundingi"/>
    <s v="http://www.youtube.com/channel/UCfhMIRcf8JtZXrcwoyPpEjg"/>
    <m/>
    <s v="wadBvDPeE4E"/>
    <s v="https://www.youtube.com/watch?v=wadBvDPeE4E"/>
    <s v="none"/>
    <n v="0"/>
    <x v="492"/>
    <d v="2019-05-13T19:55:23.000"/>
    <m/>
    <m/>
    <s v=""/>
    <n v="1"/>
    <s v="1"/>
    <s v="1"/>
    <n v="1"/>
    <n v="7.6923076923076925"/>
    <n v="1"/>
    <n v="7.6923076923076925"/>
    <n v="0"/>
    <n v="0"/>
    <n v="11"/>
    <n v="84.61538461538461"/>
    <n v="13"/>
  </r>
  <r>
    <s v="UC9fJsqLvoU6cFvofkzPfgZQ"/>
    <s v="UCvQECJukTDE2i6aCoMnS-Vg"/>
    <m/>
    <m/>
    <m/>
    <m/>
    <m/>
    <m/>
    <m/>
    <m/>
    <s v="No"/>
    <n v="497"/>
    <m/>
    <m/>
    <s v="Commented Video"/>
    <x v="0"/>
    <s v="Amazing talk, so fascinating!"/>
    <s v="UC9fJsqLvoU6cFvofkzPfgZQ"/>
    <s v="Darren Freeman"/>
    <s v="http://www.youtube.com/channel/UC9fJsqLvoU6cFvofkzPfgZQ"/>
    <m/>
    <s v="wadBvDPeE4E"/>
    <s v="https://www.youtube.com/watch?v=wadBvDPeE4E"/>
    <s v="none"/>
    <n v="2"/>
    <x v="493"/>
    <d v="2019-09-11T00:44:50.000"/>
    <m/>
    <m/>
    <s v=""/>
    <n v="1"/>
    <s v="1"/>
    <s v="1"/>
    <n v="2"/>
    <n v="50"/>
    <n v="0"/>
    <n v="0"/>
    <n v="0"/>
    <n v="0"/>
    <n v="2"/>
    <n v="50"/>
    <n v="4"/>
  </r>
  <r>
    <s v="UCu7t9a69EsHoff5-gNTZfsw"/>
    <s v="UCvQECJukTDE2i6aCoMnS-Vg"/>
    <m/>
    <m/>
    <m/>
    <m/>
    <m/>
    <m/>
    <m/>
    <m/>
    <s v="No"/>
    <n v="498"/>
    <m/>
    <m/>
    <s v="Commented Video"/>
    <x v="0"/>
    <s v="Almost at the end of the presentation, what is noteworthy to me is that, there are still yet 119 individuals that &amp;#39;dislike&amp;#39; its contents; whereas though, there are 4.2K that &amp;#39;liked&amp;#39; it.  This, in and of itself, shows how varied individuals are."/>
    <s v="UCu7t9a69EsHoff5-gNTZfsw"/>
    <s v="Godson Johnson"/>
    <s v="http://www.youtube.com/channel/UCu7t9a69EsHoff5-gNTZfsw"/>
    <m/>
    <s v="wadBvDPeE4E"/>
    <s v="https://www.youtube.com/watch?v=wadBvDPeE4E"/>
    <s v="none"/>
    <n v="0"/>
    <x v="494"/>
    <d v="2020-02-17T00:00:57.000"/>
    <m/>
    <m/>
    <s v=""/>
    <n v="1"/>
    <s v="1"/>
    <s v="1"/>
    <n v="2"/>
    <n v="4.25531914893617"/>
    <n v="1"/>
    <n v="2.127659574468085"/>
    <n v="0"/>
    <n v="0"/>
    <n v="44"/>
    <n v="93.61702127659575"/>
    <n v="47"/>
  </r>
  <r>
    <s v="UCe-YYZwDoUk1oKCH8-mdN2w"/>
    <s v="UCvQECJukTDE2i6aCoMnS-Vg"/>
    <m/>
    <m/>
    <m/>
    <m/>
    <m/>
    <m/>
    <m/>
    <m/>
    <s v="No"/>
    <n v="499"/>
    <m/>
    <m/>
    <s v="Commented Video"/>
    <x v="0"/>
    <s v="&lt;a href=&quot;https://www.youtube.com/watch?v=wadBvDPeE4E&amp;amp;t=40m20s&quot;&gt;40:20&lt;/a&gt;"/>
    <s v="UCe-YYZwDoUk1oKCH8-mdN2w"/>
    <s v="DiStrictTM"/>
    <s v="http://www.youtube.com/channel/UCe-YYZwDoUk1oKCH8-mdN2w"/>
    <m/>
    <s v="wadBvDPeE4E"/>
    <s v="https://www.youtube.com/watch?v=wadBvDPeE4E"/>
    <s v="none"/>
    <n v="0"/>
    <x v="495"/>
    <d v="2020-03-14T10:25:32.000"/>
    <s v=" https://www.youtube.com/watch?v=wadBvDPeE4E&amp;amp;t=40m20s"/>
    <s v="youtube.com"/>
    <s v=""/>
    <n v="1"/>
    <s v="1"/>
    <s v="1"/>
    <n v="0"/>
    <n v="0"/>
    <n v="0"/>
    <n v="0"/>
    <n v="0"/>
    <n v="0"/>
    <n v="15"/>
    <n v="100"/>
    <n v="15"/>
  </r>
  <r>
    <s v="UCIGaMxgyboLhBnRairRbykQ"/>
    <s v="UCvQECJukTDE2i6aCoMnS-Vg"/>
    <m/>
    <m/>
    <m/>
    <m/>
    <m/>
    <m/>
    <m/>
    <m/>
    <s v="No"/>
    <n v="500"/>
    <m/>
    <m/>
    <s v="Commented Video"/>
    <x v="0"/>
    <s v="Just wow. An insightful piece. As a fan of the hard sciences this video has drawn me closer to social science."/>
    <s v="UCIGaMxgyboLhBnRairRbykQ"/>
    <s v="Gilbert Barasa"/>
    <s v="http://www.youtube.com/channel/UCIGaMxgyboLhBnRairRbykQ"/>
    <m/>
    <s v="wadBvDPeE4E"/>
    <s v="https://www.youtube.com/watch?v=wadBvDPeE4E"/>
    <s v="none"/>
    <n v="4"/>
    <x v="496"/>
    <d v="2020-05-26T17:44:30.000"/>
    <m/>
    <m/>
    <s v=""/>
    <n v="1"/>
    <s v="1"/>
    <s v="1"/>
    <n v="2"/>
    <n v="9.523809523809524"/>
    <n v="1"/>
    <n v="4.761904761904762"/>
    <n v="0"/>
    <n v="0"/>
    <n v="18"/>
    <n v="85.71428571428571"/>
    <n v="21"/>
  </r>
  <r>
    <s v="UCCN2uvSe7tJBPPzS-ov5VuA"/>
    <s v="UCvQECJukTDE2i6aCoMnS-Vg"/>
    <m/>
    <m/>
    <m/>
    <m/>
    <m/>
    <m/>
    <m/>
    <m/>
    <s v="No"/>
    <n v="501"/>
    <m/>
    <m/>
    <s v="Commented Video"/>
    <x v="0"/>
    <s v="LETHARGISM = MASS SUICIDE SOCIAL ÷ POPULAR BELIEF.&lt;br&gt;-new age ETHEREAL. NWO. astral projection.&lt;br&gt;#6,5150,192865. sanity plea deal.&lt;br&gt;she: does he want to eat my arm?.&lt;br&gt;he: why isnt she walking me to get a cup of water?.( is she staring at me)."/>
    <s v="UCCN2uvSe7tJBPPzS-ov5VuA"/>
    <s v="THYLIAES BRICKENY"/>
    <s v="http://www.youtube.com/channel/UCCN2uvSe7tJBPPzS-ov5VuA"/>
    <m/>
    <s v="wadBvDPeE4E"/>
    <s v="https://www.youtube.com/watch?v=wadBvDPeE4E"/>
    <s v="none"/>
    <n v="0"/>
    <x v="497"/>
    <d v="2020-06-27T20:49:55.000"/>
    <m/>
    <m/>
    <s v=""/>
    <n v="1"/>
    <s v="1"/>
    <s v="1"/>
    <n v="1"/>
    <n v="2.127659574468085"/>
    <n v="2"/>
    <n v="4.25531914893617"/>
    <n v="0"/>
    <n v="0"/>
    <n v="44"/>
    <n v="93.61702127659575"/>
    <n v="47"/>
  </r>
  <r>
    <s v="UC2haiTorx4l2U33kSmbb-zg"/>
    <s v="UCvQECJukTDE2i6aCoMnS-Vg"/>
    <m/>
    <m/>
    <m/>
    <m/>
    <m/>
    <m/>
    <m/>
    <m/>
    <s v="No"/>
    <n v="502"/>
    <m/>
    <m/>
    <s v="Commented Video"/>
    <x v="0"/>
    <s v="Isnt the air more valuable? you the trees regulate carbon ? im not an expert but trees do clean the air right?"/>
    <s v="UC2haiTorx4l2U33kSmbb-zg"/>
    <s v="KaizenBlaze"/>
    <s v="http://www.youtube.com/channel/UC2haiTorx4l2U33kSmbb-zg"/>
    <m/>
    <s v="wadBvDPeE4E"/>
    <s v="https://www.youtube.com/watch?v=wadBvDPeE4E"/>
    <s v="none"/>
    <n v="0"/>
    <x v="498"/>
    <d v="2020-07-09T22:11:12.000"/>
    <m/>
    <m/>
    <s v=""/>
    <n v="1"/>
    <s v="1"/>
    <s v="1"/>
    <n v="3"/>
    <n v="14.285714285714286"/>
    <n v="0"/>
    <n v="0"/>
    <n v="0"/>
    <n v="0"/>
    <n v="18"/>
    <n v="85.71428571428571"/>
    <n v="21"/>
  </r>
  <r>
    <s v="UCNLP7KjukD8237DEPYRWiWQ"/>
    <s v="UCvQECJukTDE2i6aCoMnS-Vg"/>
    <m/>
    <m/>
    <m/>
    <m/>
    <m/>
    <m/>
    <m/>
    <m/>
    <s v="No"/>
    <n v="503"/>
    <m/>
    <m/>
    <s v="Commented Video"/>
    <x v="0"/>
    <s v="&lt;a href=&quot;https://www.youtube.com/watch?v=wadBvDPeE4E&amp;amp;t=5m16s&quot;&gt;5:16&lt;/a&gt; 75 years-old when she took her life, yet she died at the age of 55 (1880 - 1935), huh?"/>
    <s v="UCNLP7KjukD8237DEPYRWiWQ"/>
    <s v="Dr. Atom"/>
    <s v="http://www.youtube.com/channel/UCNLP7KjukD8237DEPYRWiWQ"/>
    <m/>
    <s v="wadBvDPeE4E"/>
    <s v="https://www.youtube.com/watch?v=wadBvDPeE4E"/>
    <s v="none"/>
    <n v="0"/>
    <x v="499"/>
    <d v="2020-07-19T13:03:58.000"/>
    <s v=" https://www.youtube.com/watch?v=wadBvDPeE4E&amp;amp;t=5m16s"/>
    <s v="youtube.com"/>
    <s v=""/>
    <n v="1"/>
    <s v="1"/>
    <s v="1"/>
    <n v="0"/>
    <n v="0"/>
    <n v="1"/>
    <n v="2.9411764705882355"/>
    <n v="0"/>
    <n v="0"/>
    <n v="33"/>
    <n v="97.05882352941177"/>
    <n v="34"/>
  </r>
  <r>
    <s v="UCRcw7MuIF7CQkK-O_mdiDPw"/>
    <s v="UCvQECJukTDE2i6aCoMnS-Vg"/>
    <m/>
    <m/>
    <m/>
    <m/>
    <m/>
    <m/>
    <m/>
    <m/>
    <s v="No"/>
    <n v="504"/>
    <m/>
    <m/>
    <s v="Commented Video"/>
    <x v="0"/>
    <s v="he is starting to talk about Memetics"/>
    <s v="UCRcw7MuIF7CQkK-O_mdiDPw"/>
    <s v="American Nomad News"/>
    <s v="http://www.youtube.com/channel/UCRcw7MuIF7CQkK-O_mdiDPw"/>
    <m/>
    <s v="wadBvDPeE4E"/>
    <s v="https://www.youtube.com/watch?v=wadBvDPeE4E"/>
    <s v="none"/>
    <n v="0"/>
    <x v="500"/>
    <d v="2020-09-18T00:43:36.000"/>
    <m/>
    <m/>
    <s v=""/>
    <n v="1"/>
    <s v="1"/>
    <s v="1"/>
    <n v="0"/>
    <n v="0"/>
    <n v="0"/>
    <n v="0"/>
    <n v="0"/>
    <n v="0"/>
    <n v="7"/>
    <n v="100"/>
    <n v="7"/>
  </r>
  <r>
    <s v="UCIUcF2ZE7yu7bZ5cM-f4uPA"/>
    <s v="UCvQECJukTDE2i6aCoMnS-Vg"/>
    <m/>
    <m/>
    <m/>
    <m/>
    <m/>
    <m/>
    <m/>
    <m/>
    <s v="No"/>
    <n v="505"/>
    <m/>
    <m/>
    <s v="Commented Video"/>
    <x v="0"/>
    <s v="Teaching, explained. Thank you"/>
    <s v="UCIUcF2ZE7yu7bZ5cM-f4uPA"/>
    <s v="Nastaran A"/>
    <s v="http://www.youtube.com/channel/UCIUcF2ZE7yu7bZ5cM-f4uPA"/>
    <m/>
    <s v="wadBvDPeE4E"/>
    <s v="https://www.youtube.com/watch?v=wadBvDPeE4E"/>
    <s v="none"/>
    <n v="0"/>
    <x v="501"/>
    <d v="2020-10-25T09:44:17.000"/>
    <m/>
    <m/>
    <s v=""/>
    <n v="1"/>
    <s v="1"/>
    <s v="1"/>
    <n v="1"/>
    <n v="25"/>
    <n v="0"/>
    <n v="0"/>
    <n v="0"/>
    <n v="0"/>
    <n v="3"/>
    <n v="75"/>
    <n v="4"/>
  </r>
  <r>
    <s v="UCaEJ2eUVzs7V0iFjYhWQpaQ"/>
    <s v="UCvQECJukTDE2i6aCoMnS-Vg"/>
    <m/>
    <m/>
    <m/>
    <m/>
    <m/>
    <m/>
    <m/>
    <m/>
    <s v="No"/>
    <n v="506"/>
    <m/>
    <m/>
    <s v="Commented Video"/>
    <x v="0"/>
    <s v="Sociology is awesome!"/>
    <s v="UCaEJ2eUVzs7V0iFjYhWQpaQ"/>
    <s v="José Gómez"/>
    <s v="http://www.youtube.com/channel/UCaEJ2eUVzs7V0iFjYhWQpaQ"/>
    <m/>
    <s v="wadBvDPeE4E"/>
    <s v="https://www.youtube.com/watch?v=wadBvDPeE4E"/>
    <s v="none"/>
    <n v="0"/>
    <x v="502"/>
    <d v="2020-12-03T19:26:01.000"/>
    <m/>
    <m/>
    <s v=""/>
    <n v="1"/>
    <s v="1"/>
    <s v="1"/>
    <n v="1"/>
    <n v="33.333333333333336"/>
    <n v="0"/>
    <n v="0"/>
    <n v="0"/>
    <n v="0"/>
    <n v="2"/>
    <n v="66.66666666666667"/>
    <n v="3"/>
  </r>
  <r>
    <s v="UC8pWHhTmT2hjNwNxxK6Q5PA"/>
    <s v="UCvQECJukTDE2i6aCoMnS-Vg"/>
    <m/>
    <m/>
    <m/>
    <m/>
    <m/>
    <m/>
    <m/>
    <m/>
    <s v="No"/>
    <n v="507"/>
    <m/>
    <m/>
    <s v="Commented Video"/>
    <x v="0"/>
    <s v="So all these words just to say google and facebook are good that they are stealing all our habits and interests.  I only see the analytical information being used to sell more stuff not to make everyone healthy.  I came here for answers dammit!  lol."/>
    <s v="UC8pWHhTmT2hjNwNxxK6Q5PA"/>
    <s v="Zapp Brannigan"/>
    <s v="http://www.youtube.com/channel/UC8pWHhTmT2hjNwNxxK6Q5PA"/>
    <m/>
    <s v="wadBvDPeE4E"/>
    <s v="https://www.youtube.com/watch?v=wadBvDPeE4E"/>
    <s v="none"/>
    <n v="1"/>
    <x v="503"/>
    <d v="2020-12-13T17:42:25.000"/>
    <m/>
    <m/>
    <s v=""/>
    <n v="1"/>
    <s v="1"/>
    <s v="1"/>
    <n v="3"/>
    <n v="6.666666666666667"/>
    <n v="1"/>
    <n v="2.2222222222222223"/>
    <n v="0"/>
    <n v="0"/>
    <n v="41"/>
    <n v="91.11111111111111"/>
    <n v="45"/>
  </r>
  <r>
    <s v="UCAkGw6_oazVTvTsoqbp7OiA"/>
    <s v="UCvQECJukTDE2i6aCoMnS-Vg"/>
    <m/>
    <m/>
    <m/>
    <m/>
    <m/>
    <m/>
    <m/>
    <m/>
    <s v="No"/>
    <n v="508"/>
    <m/>
    <m/>
    <s v="Commented Video"/>
    <x v="0"/>
    <s v="I recommend that instead of watching this video you watch &amp;quot;All is lost&amp;quot; with Robert Redford.  You&amp;#39;ll learn much more about life."/>
    <s v="UCAkGw6_oazVTvTsoqbp7OiA"/>
    <s v="Shadow Like"/>
    <s v="http://www.youtube.com/channel/UCAkGw6_oazVTvTsoqbp7OiA"/>
    <m/>
    <s v="wadBvDPeE4E"/>
    <s v="https://www.youtube.com/watch?v=wadBvDPeE4E"/>
    <s v="none"/>
    <n v="1"/>
    <x v="504"/>
    <d v="2021-01-21T17:35:11.000"/>
    <m/>
    <m/>
    <s v=""/>
    <n v="1"/>
    <s v="1"/>
    <s v="1"/>
    <n v="1"/>
    <n v="3.8461538461538463"/>
    <n v="1"/>
    <n v="3.8461538461538463"/>
    <n v="0"/>
    <n v="0"/>
    <n v="24"/>
    <n v="92.3076923076923"/>
    <n v="26"/>
  </r>
  <r>
    <s v="UCfFAasAAdGcptCfutet8Sfw"/>
    <s v="UCvQECJukTDE2i6aCoMnS-Vg"/>
    <m/>
    <m/>
    <m/>
    <m/>
    <m/>
    <m/>
    <m/>
    <m/>
    <s v="No"/>
    <n v="509"/>
    <m/>
    <m/>
    <s v="Commented Video"/>
    <x v="0"/>
    <s v="i dont think these defintions will stand the test of time"/>
    <s v="UCfFAasAAdGcptCfutet8Sfw"/>
    <s v="tom sea"/>
    <s v="http://www.youtube.com/channel/UCfFAasAAdGcptCfutet8Sfw"/>
    <m/>
    <s v="wadBvDPeE4E"/>
    <s v="https://www.youtube.com/watch?v=wadBvDPeE4E"/>
    <s v="none"/>
    <n v="0"/>
    <x v="505"/>
    <d v="2021-01-26T08:24:05.000"/>
    <m/>
    <m/>
    <s v=""/>
    <n v="1"/>
    <s v="1"/>
    <s v="1"/>
    <n v="0"/>
    <n v="0"/>
    <n v="0"/>
    <n v="0"/>
    <n v="0"/>
    <n v="0"/>
    <n v="11"/>
    <n v="100"/>
    <n v="11"/>
  </r>
  <r>
    <s v="UC5OttGzPjtnEhGeYA0maenA"/>
    <s v="UCvQECJukTDE2i6aCoMnS-Vg"/>
    <m/>
    <m/>
    <m/>
    <m/>
    <m/>
    <m/>
    <m/>
    <m/>
    <s v="No"/>
    <n v="510"/>
    <m/>
    <m/>
    <s v="Commented Video"/>
    <x v="0"/>
    <s v="That&amp;#39;s the rail network of Britain. Not England. The mold got that and covered all 3 countries on that island. You covered 1. That  a 3-1 win for the mold."/>
    <s v="UC5OttGzPjtnEhGeYA0maenA"/>
    <s v="Sean Flynn"/>
    <s v="http://www.youtube.com/channel/UC5OttGzPjtnEhGeYA0maenA"/>
    <m/>
    <s v="wadBvDPeE4E"/>
    <s v="https://www.youtube.com/watch?v=wadBvDPeE4E"/>
    <s v="none"/>
    <n v="0"/>
    <x v="506"/>
    <d v="2021-02-16T00:56:54.000"/>
    <m/>
    <m/>
    <s v=""/>
    <n v="1"/>
    <s v="1"/>
    <s v="1"/>
    <n v="1"/>
    <n v="3.0303030303030303"/>
    <n v="1"/>
    <n v="3.0303030303030303"/>
    <n v="0"/>
    <n v="0"/>
    <n v="31"/>
    <n v="93.93939393939394"/>
    <n v="33"/>
  </r>
  <r>
    <s v="UCtykHqniLsvCit_SYfWBWng"/>
    <s v="UCvQECJukTDE2i6aCoMnS-Vg"/>
    <m/>
    <m/>
    <m/>
    <m/>
    <m/>
    <m/>
    <m/>
    <m/>
    <s v="No"/>
    <n v="511"/>
    <m/>
    <m/>
    <s v="Commented Video"/>
    <x v="0"/>
    <s v="The information is insightful, but this guy doesn&amp;#39;t seem human. Forgive me whatever you are...you sound like a robot or something."/>
    <s v="UCtykHqniLsvCit_SYfWBWng"/>
    <s v="david pretiz"/>
    <s v="http://www.youtube.com/channel/UCtykHqniLsvCit_SYfWBWng"/>
    <m/>
    <s v="wadBvDPeE4E"/>
    <s v="https://www.youtube.com/watch?v=wadBvDPeE4E"/>
    <s v="none"/>
    <n v="0"/>
    <x v="507"/>
    <d v="2021-02-16T08:48:25.000"/>
    <m/>
    <m/>
    <s v=""/>
    <n v="2"/>
    <s v="1"/>
    <s v="1"/>
    <n v="2"/>
    <n v="8.333333333333334"/>
    <n v="0"/>
    <n v="0"/>
    <n v="0"/>
    <n v="0"/>
    <n v="22"/>
    <n v="91.66666666666667"/>
    <n v="24"/>
  </r>
  <r>
    <s v="UCtykHqniLsvCit_SYfWBWng"/>
    <s v="UCvQECJukTDE2i6aCoMnS-Vg"/>
    <m/>
    <m/>
    <m/>
    <m/>
    <m/>
    <m/>
    <m/>
    <m/>
    <s v="No"/>
    <n v="512"/>
    <m/>
    <m/>
    <s v="Commented Video"/>
    <x v="0"/>
    <s v="Slow down a bit, add some pause and audience laughter, and this guy could maybe do stand-up comedy :!"/>
    <s v="UCtykHqniLsvCit_SYfWBWng"/>
    <s v="david pretiz"/>
    <s v="http://www.youtube.com/channel/UCtykHqniLsvCit_SYfWBWng"/>
    <m/>
    <s v="wadBvDPeE4E"/>
    <s v="https://www.youtube.com/watch?v=wadBvDPeE4E"/>
    <s v="none"/>
    <n v="1"/>
    <x v="508"/>
    <d v="2021-02-16T09:35:50.000"/>
    <m/>
    <m/>
    <s v=""/>
    <n v="2"/>
    <s v="1"/>
    <s v="1"/>
    <n v="0"/>
    <n v="0"/>
    <n v="1"/>
    <n v="5.2631578947368425"/>
    <n v="0"/>
    <n v="0"/>
    <n v="18"/>
    <n v="94.73684210526316"/>
    <n v="19"/>
  </r>
  <r>
    <s v="UCKhlJF4BnqWxPypLParOYiA"/>
    <s v="UCu7msg_TbTKDd5ilYzbW1Vg"/>
    <m/>
    <m/>
    <m/>
    <m/>
    <m/>
    <m/>
    <m/>
    <m/>
    <s v="No"/>
    <n v="513"/>
    <m/>
    <m/>
    <s v="Replied Comment"/>
    <x v="1"/>
    <s v="O mestre de Yale não foi escutado"/>
    <s v="UCKhlJF4BnqWxPypLParOYiA"/>
    <s v="Vinicius"/>
    <s v="http://www.youtube.com/channel/UCKhlJF4BnqWxPypLParOYiA"/>
    <s v="UgxWy2rNWi9-1Tuqv0N4AaABAg"/>
    <s v="wadBvDPeE4E"/>
    <s v="https://www.youtube.com/watch?v=wadBvDPeE4E"/>
    <s v="none"/>
    <n v="2"/>
    <x v="509"/>
    <d v="2021-03-17T23:00:09.000"/>
    <m/>
    <m/>
    <s v=""/>
    <n v="1"/>
    <s v="15"/>
    <s v="15"/>
    <n v="0"/>
    <n v="0"/>
    <n v="0"/>
    <n v="0"/>
    <n v="0"/>
    <n v="0"/>
    <n v="7"/>
    <n v="100"/>
    <n v="7"/>
  </r>
  <r>
    <s v="UCu7msg_TbTKDd5ilYzbW1Vg"/>
    <s v="UCvQECJukTDE2i6aCoMnS-Vg"/>
    <m/>
    <m/>
    <m/>
    <m/>
    <m/>
    <m/>
    <m/>
    <m/>
    <s v="No"/>
    <n v="514"/>
    <m/>
    <m/>
    <s v="Commented Video"/>
    <x v="0"/>
    <s v="E O CRISTÁKENS?????????????"/>
    <s v="UCu7msg_TbTKDd5ilYzbW1Vg"/>
    <s v="O Wife Tricolor"/>
    <s v="http://www.youtube.com/channel/UCu7msg_TbTKDd5ilYzbW1Vg"/>
    <m/>
    <s v="wadBvDPeE4E"/>
    <s v="https://www.youtube.com/watch?v=wadBvDPeE4E"/>
    <s v="none"/>
    <n v="6"/>
    <x v="510"/>
    <d v="2021-02-18T21:47:37.000"/>
    <m/>
    <m/>
    <s v=""/>
    <n v="1"/>
    <s v="15"/>
    <s v="1"/>
    <n v="0"/>
    <n v="0"/>
    <n v="0"/>
    <n v="0"/>
    <n v="0"/>
    <n v="0"/>
    <n v="3"/>
    <n v="100"/>
    <n v="3"/>
  </r>
  <r>
    <s v="UCQcW4y-soRk-E0ggtcwC9EA"/>
    <s v="UCvQECJukTDE2i6aCoMnS-Vg"/>
    <m/>
    <m/>
    <m/>
    <m/>
    <m/>
    <m/>
    <m/>
    <m/>
    <s v="No"/>
    <n v="515"/>
    <m/>
    <m/>
    <s v="Commented Video"/>
    <x v="0"/>
    <s v="The content of this channel is awesome but the sound effects are really really annoying! Better if there is none of that."/>
    <s v="UCQcW4y-soRk-E0ggtcwC9EA"/>
    <s v="Marcelo Buratto"/>
    <s v="http://www.youtube.com/channel/UCQcW4y-soRk-E0ggtcwC9EA"/>
    <m/>
    <s v="wadBvDPeE4E"/>
    <s v="https://www.youtube.com/watch?v=wadBvDPeE4E"/>
    <s v="none"/>
    <n v="1"/>
    <x v="511"/>
    <d v="2021-02-19T02:12:29.000"/>
    <m/>
    <m/>
    <s v=""/>
    <n v="1"/>
    <s v="1"/>
    <s v="1"/>
    <n v="2"/>
    <n v="9.090909090909092"/>
    <n v="1"/>
    <n v="4.545454545454546"/>
    <n v="0"/>
    <n v="0"/>
    <n v="19"/>
    <n v="86.36363636363636"/>
    <n v="22"/>
  </r>
  <r>
    <s v="UCiqUmhSikatfBMqyTrS3UMQ"/>
    <s v="UCvQECJukTDE2i6aCoMnS-Vg"/>
    <m/>
    <m/>
    <m/>
    <m/>
    <m/>
    <m/>
    <m/>
    <m/>
    <s v="No"/>
    <n v="516"/>
    <m/>
    <m/>
    <s v="Commented Video"/>
    <x v="0"/>
    <s v="&lt;a href=&quot;https://www.youtube.com/watch?v=wadBvDPeE4E&amp;amp;t=10m20s&quot;&gt;10:20&lt;/a&gt; “he instantly realized” because the demon attacking him for yrs fled after the deception worked and the gates of hell thought there was a new reservation. After this demon fled the creature came to himself instantly and realized thus indeed there had been some error. Or con here. Something isent right I change my mind I do not wish to die. But his mind didn’t change anything. The demonic attack finally stopped in that space of time. The creature had their first breath of fresh air in a long time then it registered clearly blatantly emphatically in the back of his mind in his opinion from his subjective “ive been deceived”!!! What do I do now???&lt;br&gt;Hope this helps shalom"/>
    <s v="UCiqUmhSikatfBMqyTrS3UMQ"/>
    <s v="Holy bible live"/>
    <s v="http://www.youtube.com/channel/UCiqUmhSikatfBMqyTrS3UMQ"/>
    <m/>
    <s v="wadBvDPeE4E"/>
    <s v="https://www.youtube.com/watch?v=wadBvDPeE4E"/>
    <s v="none"/>
    <n v="0"/>
    <x v="512"/>
    <d v="2021-02-27T15:06:59.000"/>
    <s v=" https://www.youtube.com/watch?v=wadBvDPeE4E&amp;amp;t=10m20s"/>
    <s v="youtube.com"/>
    <s v=""/>
    <n v="1"/>
    <s v="1"/>
    <s v="1"/>
    <n v="6"/>
    <n v="4.37956204379562"/>
    <n v="10"/>
    <n v="7.299270072992701"/>
    <n v="0"/>
    <n v="0"/>
    <n v="121"/>
    <n v="88.32116788321167"/>
    <n v="137"/>
  </r>
  <r>
    <s v="UCkrkDiKoCo1FS0Gh4QqP-UQ"/>
    <s v="UCvQECJukTDE2i6aCoMnS-Vg"/>
    <m/>
    <m/>
    <m/>
    <m/>
    <m/>
    <m/>
    <m/>
    <m/>
    <s v="No"/>
    <n v="517"/>
    <m/>
    <m/>
    <s v="Commented Video"/>
    <x v="0"/>
    <s v="Thanks!"/>
    <s v="UCkrkDiKoCo1FS0Gh4QqP-UQ"/>
    <s v="Vasco Amaral Grilo"/>
    <s v="http://www.youtube.com/channel/UCkrkDiKoCo1FS0Gh4QqP-UQ"/>
    <m/>
    <s v="wadBvDPeE4E"/>
    <s v="https://www.youtube.com/watch?v=wadBvDPeE4E"/>
    <s v="none"/>
    <n v="0"/>
    <x v="513"/>
    <d v="2021-03-01T11:14:23.000"/>
    <m/>
    <m/>
    <s v=""/>
    <n v="1"/>
    <s v="4"/>
    <s v="1"/>
    <n v="0"/>
    <n v="0"/>
    <n v="0"/>
    <n v="0"/>
    <n v="0"/>
    <n v="0"/>
    <n v="1"/>
    <n v="100"/>
    <n v="1"/>
  </r>
  <r>
    <s v="UCqJ4icbP_lB6SxjqE9vhvEQ"/>
    <s v="UCvQECJukTDE2i6aCoMnS-Vg"/>
    <m/>
    <m/>
    <m/>
    <m/>
    <m/>
    <m/>
    <m/>
    <m/>
    <s v="No"/>
    <n v="518"/>
    <m/>
    <m/>
    <s v="Commented Video"/>
    <x v="0"/>
    <s v="I wonder what professor meant when he said &lt;a href=&quot;https://www.youtube.com/watch?v=wadBvDPeE4E&amp;amp;t=13m00s&quot;&gt;13:00&lt;/a&gt; “suicide barrier doesn’t provide any real help when the board don’t implement toll revenue purpose”&lt;br&gt;WHAT???&lt;br&gt;&lt;br&gt;Does he mean that safety net hasn’t been built at all cause there’s no money??"/>
    <s v="UCqJ4icbP_lB6SxjqE9vhvEQ"/>
    <s v="tokyomilmil"/>
    <s v="http://www.youtube.com/channel/UCqJ4icbP_lB6SxjqE9vhvEQ"/>
    <m/>
    <s v="wadBvDPeE4E"/>
    <s v="https://www.youtube.com/watch?v=wadBvDPeE4E"/>
    <s v="none"/>
    <n v="0"/>
    <x v="514"/>
    <d v="2021-03-18T05:05:09.000"/>
    <s v=" https://www.youtube.com/watch?v=wadBvDPeE4E&amp;amp;t=13m00s"/>
    <s v="youtube.com"/>
    <s v=""/>
    <n v="1"/>
    <s v="3"/>
    <s v="1"/>
    <n v="1"/>
    <n v="1.639344262295082"/>
    <n v="2"/>
    <n v="3.278688524590164"/>
    <n v="0"/>
    <n v="0"/>
    <n v="58"/>
    <n v="95.08196721311475"/>
    <n v="61"/>
  </r>
  <r>
    <s v="UCcZQzbvYvsvOlIx_G6Zz9GQ"/>
    <s v="UCvQECJukTDE2i6aCoMnS-Vg"/>
    <m/>
    <m/>
    <m/>
    <m/>
    <m/>
    <m/>
    <m/>
    <m/>
    <s v="No"/>
    <n v="519"/>
    <m/>
    <m/>
    <s v="Commented Video"/>
    <x v="0"/>
    <s v="Why would you want to strip my agency? I believe in the Japanese way. When shtf, I will buy my own ticket. Got a plan and everything."/>
    <s v="UCcZQzbvYvsvOlIx_G6Zz9GQ"/>
    <s v="William Benson"/>
    <s v="http://www.youtube.com/channel/UCcZQzbvYvsvOlIx_G6Zz9GQ"/>
    <m/>
    <s v="wadBvDPeE4E"/>
    <s v="https://www.youtube.com/watch?v=wadBvDPeE4E"/>
    <s v="none"/>
    <n v="0"/>
    <x v="515"/>
    <d v="2021-03-19T05:38:27.000"/>
    <m/>
    <m/>
    <s v=""/>
    <n v="1"/>
    <s v="1"/>
    <s v="1"/>
    <n v="0"/>
    <n v="0"/>
    <n v="0"/>
    <n v="0"/>
    <n v="0"/>
    <n v="0"/>
    <n v="27"/>
    <n v="100"/>
    <n v="27"/>
  </r>
  <r>
    <s v="UC_tpxB3Xb6X5CEY5cRCiHFQ"/>
    <s v="UCvQECJukTDE2i6aCoMnS-Vg"/>
    <m/>
    <m/>
    <m/>
    <m/>
    <m/>
    <m/>
    <m/>
    <m/>
    <s v="No"/>
    <n v="520"/>
    <m/>
    <m/>
    <s v="Commented Video"/>
    <x v="0"/>
    <s v="&amp;quot;Mas você não ouviu o seu mestre de Yale, o Nicholas Cristákens&amp;quot;"/>
    <s v="UC_tpxB3Xb6X5CEY5cRCiHFQ"/>
    <s v="Rafael Martins"/>
    <s v="http://www.youtube.com/channel/UC_tpxB3Xb6X5CEY5cRCiHFQ"/>
    <m/>
    <s v="wadBvDPeE4E"/>
    <s v="https://www.youtube.com/watch?v=wadBvDPeE4E"/>
    <s v="none"/>
    <n v="7"/>
    <x v="516"/>
    <d v="2021-03-27T17:26:17.000"/>
    <m/>
    <m/>
    <s v=""/>
    <n v="1"/>
    <s v="1"/>
    <s v="1"/>
    <n v="0"/>
    <n v="0"/>
    <n v="0"/>
    <n v="0"/>
    <n v="0"/>
    <n v="0"/>
    <n v="14"/>
    <n v="100"/>
    <n v="14"/>
  </r>
  <r>
    <s v="UCj44qcgUYdNDInFvaLWlZTw"/>
    <s v="UCvQECJukTDE2i6aCoMnS-Vg"/>
    <m/>
    <m/>
    <m/>
    <m/>
    <m/>
    <m/>
    <m/>
    <m/>
    <s v="No"/>
    <n v="521"/>
    <m/>
    <m/>
    <s v="Commented Video"/>
    <x v="0"/>
    <s v="This is one of the best channels on YouTube by far. Keep it up guys!!"/>
    <s v="UCj44qcgUYdNDInFvaLWlZTw"/>
    <s v="Alex"/>
    <s v="http://www.youtube.com/channel/UCj44qcgUYdNDInFvaLWlZTw"/>
    <m/>
    <s v="wadBvDPeE4E"/>
    <s v="https://www.youtube.com/watch?v=wadBvDPeE4E"/>
    <s v="none"/>
    <n v="1"/>
    <x v="517"/>
    <d v="2021-04-21T02:53:17.000"/>
    <m/>
    <m/>
    <s v=""/>
    <n v="1"/>
    <s v="1"/>
    <s v="1"/>
    <n v="1"/>
    <n v="6.666666666666667"/>
    <n v="0"/>
    <n v="0"/>
    <n v="0"/>
    <n v="0"/>
    <n v="14"/>
    <n v="93.33333333333333"/>
    <n v="15"/>
  </r>
  <r>
    <s v="UCntsAjL0yK2lXDl0tJtIbEA"/>
    <s v="UCvQECJukTDE2i6aCoMnS-Vg"/>
    <m/>
    <m/>
    <m/>
    <m/>
    <m/>
    <m/>
    <m/>
    <m/>
    <s v="No"/>
    <n v="522"/>
    <m/>
    <m/>
    <s v="Commented Video"/>
    <x v="0"/>
    <s v="It was a very useful introduction to social networks studies in sociology. Great Job! Thanks."/>
    <s v="UCntsAjL0yK2lXDl0tJtIbEA"/>
    <s v="Arash Shadmanpour"/>
    <s v="http://www.youtube.com/channel/UCntsAjL0yK2lXDl0tJtIbEA"/>
    <m/>
    <s v="wadBvDPeE4E"/>
    <s v="https://www.youtube.com/watch?v=wadBvDPeE4E"/>
    <s v="none"/>
    <n v="1"/>
    <x v="518"/>
    <d v="2021-05-03T12:57:34.000"/>
    <m/>
    <m/>
    <s v=""/>
    <n v="1"/>
    <s v="1"/>
    <s v="1"/>
    <n v="2"/>
    <n v="13.333333333333334"/>
    <n v="0"/>
    <n v="0"/>
    <n v="0"/>
    <n v="0"/>
    <n v="13"/>
    <n v="86.66666666666667"/>
    <n v="15"/>
  </r>
  <r>
    <s v="UCg_03iJSFVf9olqAw89UrtQ"/>
    <s v="UCvQECJukTDE2i6aCoMnS-Vg"/>
    <m/>
    <m/>
    <m/>
    <m/>
    <m/>
    <m/>
    <m/>
    <m/>
    <s v="No"/>
    <n v="523"/>
    <m/>
    <m/>
    <s v="Commented Video"/>
    <x v="0"/>
    <s v="the captions on this video are all sorts of messed up ToT"/>
    <s v="UCg_03iJSFVf9olqAw89UrtQ"/>
    <s v="The Door Man"/>
    <s v="http://www.youtube.com/channel/UCg_03iJSFVf9olqAw89UrtQ"/>
    <m/>
    <s v="wadBvDPeE4E"/>
    <s v="https://www.youtube.com/watch?v=wadBvDPeE4E"/>
    <s v="none"/>
    <n v="0"/>
    <x v="519"/>
    <d v="2021-05-21T00:04:07.000"/>
    <m/>
    <m/>
    <s v=""/>
    <n v="1"/>
    <s v="1"/>
    <s v="1"/>
    <n v="0"/>
    <n v="0"/>
    <n v="1"/>
    <n v="8.333333333333334"/>
    <n v="0"/>
    <n v="0"/>
    <n v="11"/>
    <n v="91.66666666666667"/>
    <n v="12"/>
  </r>
  <r>
    <s v="UCLY5WEJeSbQoZIPD5RGdPgg"/>
    <s v="UCvQECJukTDE2i6aCoMnS-Vg"/>
    <m/>
    <m/>
    <m/>
    <m/>
    <m/>
    <m/>
    <m/>
    <m/>
    <s v="No"/>
    <n v="524"/>
    <m/>
    <m/>
    <s v="Commented Video"/>
    <x v="0"/>
    <s v="Fantastic as always. Loved the pic of the Catalan Castellers"/>
    <s v="UCLY5WEJeSbQoZIPD5RGdPgg"/>
    <s v="Nuria Giralt"/>
    <s v="http://www.youtube.com/channel/UCLY5WEJeSbQoZIPD5RGdPgg"/>
    <m/>
    <s v="wadBvDPeE4E"/>
    <s v="https://www.youtube.com/watch?v=wadBvDPeE4E"/>
    <s v="none"/>
    <n v="0"/>
    <x v="520"/>
    <d v="2021-05-22T19:03:48.000"/>
    <m/>
    <m/>
    <s v=""/>
    <n v="1"/>
    <s v="1"/>
    <s v="1"/>
    <n v="2"/>
    <n v="20"/>
    <n v="0"/>
    <n v="0"/>
    <n v="0"/>
    <n v="0"/>
    <n v="8"/>
    <n v="80"/>
    <n v="10"/>
  </r>
  <r>
    <s v="UCIEXLv6qwXPTqd5t0BSaIhw"/>
    <s v="UCvQECJukTDE2i6aCoMnS-Vg"/>
    <m/>
    <m/>
    <m/>
    <m/>
    <m/>
    <m/>
    <m/>
    <m/>
    <s v="No"/>
    <n v="525"/>
    <m/>
    <m/>
    <s v="Commented Video"/>
    <x v="0"/>
    <s v="There&amp;#39;s an obvious reason for obese people to &amp;quot;cluster&amp;quot;. With the general social disapproval of obesity (inherent in Nicholas Christakis&amp;#39; medicalised framing of the issue) obese people are likely to befriend other obese people as they&amp;#39;re not likely to lecture them or judge them."/>
    <s v="UCIEXLv6qwXPTqd5t0BSaIhw"/>
    <s v="Steve Charman"/>
    <s v="http://www.youtube.com/channel/UCIEXLv6qwXPTqd5t0BSaIhw"/>
    <m/>
    <s v="wadBvDPeE4E"/>
    <s v="https://www.youtube.com/watch?v=wadBvDPeE4E"/>
    <s v="none"/>
    <n v="2"/>
    <x v="521"/>
    <d v="2021-06-09T04:07:55.000"/>
    <m/>
    <m/>
    <s v=""/>
    <n v="1"/>
    <s v="1"/>
    <s v="1"/>
    <n v="0"/>
    <n v="0"/>
    <n v="5"/>
    <n v="9.803921568627452"/>
    <n v="0"/>
    <n v="0"/>
    <n v="46"/>
    <n v="90.19607843137256"/>
    <n v="51"/>
  </r>
  <r>
    <s v="UCBbL0oZ57VlwHVLXsV4Du7A"/>
    <s v="UCvQECJukTDE2i6aCoMnS-Vg"/>
    <m/>
    <m/>
    <m/>
    <m/>
    <m/>
    <m/>
    <m/>
    <m/>
    <s v="No"/>
    <n v="526"/>
    <m/>
    <m/>
    <s v="Commented Video"/>
    <x v="0"/>
    <s v="How much $ did you waste on your ridiculous studies ?&lt;br&gt;Gives you something to do doesn’t it. You sociologists do &lt;br&gt;SO many studies , but so little answers. If any , at all…..&lt;br&gt;FRAUDIAN psychology…."/>
    <s v="UCBbL0oZ57VlwHVLXsV4Du7A"/>
    <s v="jbg54"/>
    <s v="http://www.youtube.com/channel/UCBbL0oZ57VlwHVLXsV4Du7A"/>
    <m/>
    <s v="wadBvDPeE4E"/>
    <s v="https://www.youtube.com/watch?v=wadBvDPeE4E"/>
    <s v="none"/>
    <n v="0"/>
    <x v="522"/>
    <d v="2021-07-08T14:57:40.000"/>
    <m/>
    <m/>
    <s v=""/>
    <n v="1"/>
    <s v="1"/>
    <s v="1"/>
    <n v="0"/>
    <n v="0"/>
    <n v="2"/>
    <n v="5.555555555555555"/>
    <n v="0"/>
    <n v="0"/>
    <n v="34"/>
    <n v="94.44444444444444"/>
    <n v="36"/>
  </r>
  <r>
    <s v="UCGhQcael1605jqEQJQgIUJg"/>
    <s v="UCvQECJukTDE2i6aCoMnS-Vg"/>
    <m/>
    <m/>
    <m/>
    <m/>
    <m/>
    <m/>
    <m/>
    <m/>
    <s v="No"/>
    <n v="527"/>
    <m/>
    <m/>
    <s v="Commented Video"/>
    <x v="0"/>
    <s v="Holographic Modulation Mechanism interference positioning.&lt;br&gt;&lt;br&gt;Obsession with imminent death by Nuclear Weapons and the display of irresponsibility by those who control them could have the result of political disruption, mutual accusations and suppression of facts about the obvious decline of mutual respect and support that characterised Democracy.  The natural predator-prey balance favours those who keep up general fearfulness, and the average person who is under duress compensates by defensive consumption. It&amp;#39;s an incurable disease when the action is irresponsible denialist SILENCE.&lt;br&gt;&lt;br&gt;Who in their own-shared mind does not know this? Sociology is one interpretation of holographic connection cause-effect, much like the mechanism of a string of chemical bonding resonances exhibited by the Slime Mould, defaulting to a state of least energy.., temporal superposition trajectory."/>
    <s v="UCGhQcael1605jqEQJQgIUJg"/>
    <s v="David Wilkie"/>
    <s v="http://www.youtube.com/channel/UCGhQcael1605jqEQJQgIUJg"/>
    <m/>
    <s v="wadBvDPeE4E"/>
    <s v="https://www.youtube.com/watch?v=wadBvDPeE4E"/>
    <s v="none"/>
    <n v="0"/>
    <x v="523"/>
    <d v="2021-07-09T03:24:15.000"/>
    <m/>
    <m/>
    <s v=""/>
    <n v="1"/>
    <s v="1"/>
    <s v="1"/>
    <n v="4"/>
    <n v="3.007518796992481"/>
    <n v="9"/>
    <n v="6.7669172932330826"/>
    <n v="0"/>
    <n v="0"/>
    <n v="120"/>
    <n v="90.22556390977444"/>
    <n v="133"/>
  </r>
  <r>
    <s v="UCOIptuTS78Ihq07rrMqjvyw"/>
    <s v="UCvQECJukTDE2i6aCoMnS-Vg"/>
    <m/>
    <m/>
    <m/>
    <m/>
    <m/>
    <m/>
    <m/>
    <m/>
    <s v="No"/>
    <n v="528"/>
    <m/>
    <m/>
    <s v="Commented Video"/>
    <x v="0"/>
    <s v="The cause of Ron R. Berst&amp;#39;s distress was an unnatural choice of sexual gratification...&lt;br&gt;Aren&amp;#39;t you glad you&amp;#39;re straight...???"/>
    <s v="UCOIptuTS78Ihq07rrMqjvyw"/>
    <s v="Thomas De Lello"/>
    <s v="http://www.youtube.com/channel/UCOIptuTS78Ihq07rrMqjvyw"/>
    <m/>
    <s v="wadBvDPeE4E"/>
    <s v="https://www.youtube.com/watch?v=wadBvDPeE4E"/>
    <s v="none"/>
    <n v="0"/>
    <x v="524"/>
    <d v="2021-07-11T05:30:52.000"/>
    <m/>
    <m/>
    <s v=""/>
    <n v="1"/>
    <s v="1"/>
    <s v="1"/>
    <n v="2"/>
    <n v="7.6923076923076925"/>
    <n v="2"/>
    <n v="7.6923076923076925"/>
    <n v="0"/>
    <n v="0"/>
    <n v="22"/>
    <n v="84.61538461538461"/>
    <n v="26"/>
  </r>
  <r>
    <s v="UCZpj_jBodqeant50BhG2rOg"/>
    <s v="UCvQECJukTDE2i6aCoMnS-Vg"/>
    <m/>
    <m/>
    <m/>
    <m/>
    <m/>
    <m/>
    <m/>
    <m/>
    <s v="No"/>
    <n v="529"/>
    <m/>
    <m/>
    <s v="Commented Video"/>
    <x v="0"/>
    <s v="Excellent"/>
    <s v="UCZpj_jBodqeant50BhG2rOg"/>
    <s v="Rod Fer"/>
    <s v="http://www.youtube.com/channel/UCZpj_jBodqeant50BhG2rOg"/>
    <m/>
    <s v="wadBvDPeE4E"/>
    <s v="https://www.youtube.com/watch?v=wadBvDPeE4E"/>
    <s v="none"/>
    <n v="0"/>
    <x v="525"/>
    <d v="2021-07-20T14:13:11.000"/>
    <m/>
    <m/>
    <s v=""/>
    <n v="1"/>
    <s v="1"/>
    <s v="1"/>
    <n v="1"/>
    <n v="100"/>
    <n v="0"/>
    <n v="0"/>
    <n v="0"/>
    <n v="0"/>
    <n v="0"/>
    <n v="0"/>
    <n v="1"/>
  </r>
  <r>
    <s v="UCPW2UfTjOv9M_f_IOEzOw3g"/>
    <s v="UCvQECJukTDE2i6aCoMnS-Vg"/>
    <m/>
    <m/>
    <m/>
    <m/>
    <m/>
    <m/>
    <m/>
    <m/>
    <s v="No"/>
    <n v="530"/>
    <m/>
    <m/>
    <s v="Commented Video"/>
    <x v="0"/>
    <s v="The whole idea the doctor said: all things with which we commonly confront is closely linked to each other, which is quite interdependently connected being as nature that has a inter-chained network with each factors, regardless of land, sky, and sea. Thereby, I realize that comparing nature to civilization may has a thing that we, humankind, as a part of nature, affect complementarily."/>
    <s v="UCPW2UfTjOv9M_f_IOEzOw3g"/>
    <s v="Jonathan Lee"/>
    <s v="http://www.youtube.com/channel/UCPW2UfTjOv9M_f_IOEzOw3g"/>
    <m/>
    <s v="wadBvDPeE4E"/>
    <s v="https://www.youtube.com/watch?v=wadBvDPeE4E"/>
    <s v="none"/>
    <n v="0"/>
    <x v="526"/>
    <d v="2021-07-21T03:27:20.000"/>
    <m/>
    <m/>
    <s v=""/>
    <n v="1"/>
    <s v="1"/>
    <s v="1"/>
    <n v="0"/>
    <n v="0"/>
    <n v="1"/>
    <n v="1.5625"/>
    <n v="0"/>
    <n v="0"/>
    <n v="63"/>
    <n v="98.4375"/>
    <n v="64"/>
  </r>
  <r>
    <s v="UC32Tq6gmne3zD69PjIcg7Bw"/>
    <s v="UCvQECJukTDE2i6aCoMnS-Vg"/>
    <m/>
    <m/>
    <m/>
    <m/>
    <m/>
    <m/>
    <m/>
    <m/>
    <s v="No"/>
    <n v="531"/>
    <m/>
    <m/>
    <s v="Commented Video"/>
    <x v="0"/>
    <s v="The terms &amp;quot;socio-topological&amp;quot; and &amp;quot;hypersurface&amp;quot; are correct and their meaning is less complicated than it seems. &amp;quot;Socio&amp;quot; is social; &amp;quot;Topological&amp;quot; is means &amp;quot;what is important is how people are connected not where they are&amp;quot; - like our friends on facebook, it doesn&amp;#39;t matter where they are (they might be on a trip) but their connection to us remains fixed. Hypersurface is any surface described by for or more variables - if each person is one variable (body mass index) a surface may be created and it will have 4 or more variables. In the US, Sociology is very much data driven (a positive aspect) but there are other aspects of it that aren&amp;#39;t. Sociology was created by three people and they created three different method of analysis: Èmille Durkheim, Max Weber and Karl Marx. &lt;br&gt;&lt;br&gt;A toroidal surface has no edge ...&lt;br&gt;&lt;br&gt;Look for the Cliff Stol video on Numberphile about the &amp;quot;7 bridges of Konigsberg&amp;quot; problem."/>
    <s v="UC32Tq6gmne3zD69PjIcg7Bw"/>
    <s v="Max Headrom"/>
    <s v="http://www.youtube.com/channel/UC32Tq6gmne3zD69PjIcg7Bw"/>
    <m/>
    <s v="wadBvDPeE4E"/>
    <s v="https://www.youtube.com/watch?v=wadBvDPeE4E"/>
    <s v="none"/>
    <n v="0"/>
    <x v="527"/>
    <d v="2021-07-26T07:07:04.000"/>
    <m/>
    <m/>
    <s v=""/>
    <n v="1"/>
    <s v="1"/>
    <s v="1"/>
    <n v="4"/>
    <n v="2.2988505747126435"/>
    <n v="2"/>
    <n v="1.1494252873563218"/>
    <n v="0"/>
    <n v="0"/>
    <n v="168"/>
    <n v="96.55172413793103"/>
    <n v="174"/>
  </r>
  <r>
    <s v="UC6OFeLsaH1E7H9jW5EFrRsQ"/>
    <s v="UCvQECJukTDE2i6aCoMnS-Vg"/>
    <m/>
    <m/>
    <m/>
    <m/>
    <m/>
    <m/>
    <m/>
    <m/>
    <s v="No"/>
    <n v="532"/>
    <m/>
    <m/>
    <s v="Commented Video"/>
    <x v="0"/>
    <s v="I almost wrote one of those letters"/>
    <s v="UC6OFeLsaH1E7H9jW5EFrRsQ"/>
    <s v="mike bar"/>
    <s v="http://www.youtube.com/channel/UC6OFeLsaH1E7H9jW5EFrRsQ"/>
    <m/>
    <s v="wadBvDPeE4E"/>
    <s v="https://www.youtube.com/watch?v=wadBvDPeE4E"/>
    <s v="none"/>
    <n v="0"/>
    <x v="528"/>
    <d v="2021-07-28T02:19:59.000"/>
    <m/>
    <m/>
    <s v=""/>
    <n v="1"/>
    <s v="1"/>
    <s v="1"/>
    <n v="0"/>
    <n v="0"/>
    <n v="0"/>
    <n v="0"/>
    <n v="0"/>
    <n v="0"/>
    <n v="7"/>
    <n v="100"/>
    <n v="7"/>
  </r>
  <r>
    <s v="UCWDK6irzgVt4AU5X6cyFiWg"/>
    <s v="UCvQECJukTDE2i6aCoMnS-Vg"/>
    <m/>
    <m/>
    <m/>
    <m/>
    <m/>
    <m/>
    <m/>
    <m/>
    <s v="No"/>
    <n v="533"/>
    <m/>
    <m/>
    <s v="Commented Video"/>
    <x v="0"/>
    <s v="Hmm maybe having both parents working and having people living hand to mouth has had a detrimental effect on community society family and health"/>
    <s v="UCWDK6irzgVt4AU5X6cyFiWg"/>
    <s v="loki7389"/>
    <s v="http://www.youtube.com/channel/UCWDK6irzgVt4AU5X6cyFiWg"/>
    <m/>
    <s v="wadBvDPeE4E"/>
    <s v="https://www.youtube.com/watch?v=wadBvDPeE4E"/>
    <s v="none"/>
    <n v="0"/>
    <x v="529"/>
    <d v="2021-08-09T19:32:24.000"/>
    <m/>
    <m/>
    <s v=""/>
    <n v="1"/>
    <s v="1"/>
    <s v="1"/>
    <n v="0"/>
    <n v="0"/>
    <n v="1"/>
    <n v="4.166666666666667"/>
    <n v="0"/>
    <n v="0"/>
    <n v="23"/>
    <n v="95.83333333333333"/>
    <n v="24"/>
  </r>
  <r>
    <s v="UCXpzIvoO2EiojZ32TrcyobQ"/>
    <s v="UCvQECJukTDE2i6aCoMnS-Vg"/>
    <m/>
    <m/>
    <m/>
    <m/>
    <m/>
    <m/>
    <m/>
    <m/>
    <s v="No"/>
    <n v="534"/>
    <m/>
    <m/>
    <s v="Commented Video"/>
    <x v="0"/>
    <s v="I got goosebumps reading those suicide letters. Those are very respectable."/>
    <s v="UCXpzIvoO2EiojZ32TrcyobQ"/>
    <s v="Søren Kierkegaard"/>
    <s v="http://www.youtube.com/channel/UCXpzIvoO2EiojZ32TrcyobQ"/>
    <m/>
    <s v="wadBvDPeE4E"/>
    <s v="https://www.youtube.com/watch?v=wadBvDPeE4E"/>
    <s v="none"/>
    <n v="0"/>
    <x v="530"/>
    <d v="2021-08-10T23:38:07.000"/>
    <m/>
    <m/>
    <s v=""/>
    <n v="2"/>
    <s v="1"/>
    <s v="1"/>
    <n v="1"/>
    <n v="9.090909090909092"/>
    <n v="1"/>
    <n v="9.090909090909092"/>
    <n v="0"/>
    <n v="0"/>
    <n v="9"/>
    <n v="81.81818181818181"/>
    <n v="11"/>
  </r>
  <r>
    <s v="UCXpzIvoO2EiojZ32TrcyobQ"/>
    <s v="UCvQECJukTDE2i6aCoMnS-Vg"/>
    <m/>
    <m/>
    <m/>
    <m/>
    <m/>
    <m/>
    <m/>
    <m/>
    <s v="No"/>
    <n v="535"/>
    <m/>
    <m/>
    <s v="Commented Video"/>
    <x v="0"/>
    <s v="I love these lectures. I need more."/>
    <s v="UCXpzIvoO2EiojZ32TrcyobQ"/>
    <s v="Søren Kierkegaard"/>
    <s v="http://www.youtube.com/channel/UCXpzIvoO2EiojZ32TrcyobQ"/>
    <m/>
    <s v="wadBvDPeE4E"/>
    <s v="https://www.youtube.com/watch?v=wadBvDPeE4E"/>
    <s v="none"/>
    <n v="2"/>
    <x v="531"/>
    <d v="2021-08-12T00:17:21.000"/>
    <m/>
    <m/>
    <s v=""/>
    <n v="2"/>
    <s v="1"/>
    <s v="1"/>
    <n v="1"/>
    <n v="14.285714285714286"/>
    <n v="0"/>
    <n v="0"/>
    <n v="0"/>
    <n v="0"/>
    <n v="6"/>
    <n v="85.71428571428571"/>
    <n v="7"/>
  </r>
  <r>
    <s v="UC68Uy1XyJiUWgmJ0_BmcXBg"/>
    <s v="UCvQECJukTDE2i6aCoMnS-Vg"/>
    <m/>
    <m/>
    <m/>
    <m/>
    <m/>
    <m/>
    <m/>
    <m/>
    <s v="No"/>
    <n v="536"/>
    <m/>
    <m/>
    <s v="Commented Video"/>
    <x v="0"/>
    <s v="Very interesting lecture!  I couldn&amp;#39;t help relating a lot of these concepts to what we&amp;#39;re dealing with now with the pandemic.  Really helps put it in perspective."/>
    <s v="UC68Uy1XyJiUWgmJ0_BmcXBg"/>
    <s v="lifecloud2"/>
    <s v="http://www.youtube.com/channel/UC68Uy1XyJiUWgmJ0_BmcXBg"/>
    <m/>
    <s v="wadBvDPeE4E"/>
    <s v="https://www.youtube.com/watch?v=wadBvDPeE4E"/>
    <s v="none"/>
    <n v="8"/>
    <x v="532"/>
    <d v="2021-08-15T03:29:00.000"/>
    <m/>
    <m/>
    <s v=""/>
    <n v="1"/>
    <s v="1"/>
    <s v="1"/>
    <n v="1"/>
    <n v="3.225806451612903"/>
    <n v="0"/>
    <n v="0"/>
    <n v="0"/>
    <n v="0"/>
    <n v="30"/>
    <n v="96.7741935483871"/>
    <n v="31"/>
  </r>
  <r>
    <s v="UClPH2H2-TDctChogbKv3Ttw"/>
    <s v="UCvQECJukTDE2i6aCoMnS-Vg"/>
    <m/>
    <m/>
    <m/>
    <m/>
    <m/>
    <m/>
    <m/>
    <m/>
    <s v="No"/>
    <n v="537"/>
    <m/>
    <m/>
    <s v="Commented Video"/>
    <x v="0"/>
    <s v="The dead is a negative phenomenon, which, I already made it as in joying matter, so those people’s who jumps, they’re not alive now, otherwise they never jumped from that bloody bridge, and if we makes the people aware of their values and inform them why they are here, and what’s their duties, then they never thought to taken their lives by themselves!"/>
    <s v="UClPH2H2-TDctChogbKv3Ttw"/>
    <s v="Mehdi Baghbadran"/>
    <s v="http://www.youtube.com/channel/UClPH2H2-TDctChogbKv3Ttw"/>
    <m/>
    <s v="wadBvDPeE4E"/>
    <s v="https://www.youtube.com/watch?v=wadBvDPeE4E"/>
    <s v="none"/>
    <n v="0"/>
    <x v="533"/>
    <d v="2021-08-23T02:22:51.000"/>
    <m/>
    <m/>
    <s v=""/>
    <n v="1"/>
    <s v="1"/>
    <s v="1"/>
    <n v="0"/>
    <n v="0"/>
    <n v="3"/>
    <n v="4.545454545454546"/>
    <n v="0"/>
    <n v="0"/>
    <n v="63"/>
    <n v="95.45454545454545"/>
    <n v="66"/>
  </r>
  <r>
    <s v="UCoNNU0wapd3LwNwTKBZdB_Q"/>
    <s v="UCvQECJukTDE2i6aCoMnS-Vg"/>
    <m/>
    <m/>
    <m/>
    <m/>
    <m/>
    <m/>
    <m/>
    <m/>
    <s v="No"/>
    <n v="538"/>
    <m/>
    <m/>
    <s v="Commented Video"/>
    <x v="0"/>
    <s v="We should help them. Some Ppl can&amp;#39;t live with the    anguish life piles on top of the shit deposited previously. Eventually air isn&amp;#39;t able to peneteate the piled shit. Society would be better off if these Ppl were just allowed to be allowed relief. There could doctors who administer &amp;quot;social protecttion&amp;quot; drugs. Then we wouldn&amp;#39;t to worry suicide statistics. It should be viewed as a societal investment opportunity. Sometimes a person wants to make the world a better place by removing a societal cancer before its allowed to spread its wings. Instead of being vilified, we should be celebrated. Addition by subtraction. Instead we are forced to be the social protectors, but considering most of us are failures, the dregs of humanity, it becomes just another thing we do wrongful. We need that guarantee. Help us help you by making the path well lit with ample signs clearly directing the correct path forward..&lt;br&gt;&lt;br&gt;Please. Please. Please. I desperately need you to help me make your lives better. You deserve better! I&amp;#39;m a failure and I&amp;#39;m going to  fuck it up, guaranteed. I desperately need to not n4d a second try.... And not be too painful. Please. I&amp;#39;m thinking of you, please reciprocste that.&lt;br&gt;I can&amp;#39;t breathe anymore. It&amp;#39;s time to go. It shouldn&amp;#39;t be a crime to seek relief. Capitalists should not care anyway. I will burnn for eternity and no longer be e   burden on society. Burden on you. Your unnecessary burden dragging you down, hurting you. Help society cure its csncer"/>
    <s v="UCoNNU0wapd3LwNwTKBZdB_Q"/>
    <s v="Joshua Evans"/>
    <s v="http://www.youtube.com/channel/UCoNNU0wapd3LwNwTKBZdB_Q"/>
    <m/>
    <s v="wadBvDPeE4E"/>
    <s v="https://www.youtube.com/watch?v=wadBvDPeE4E"/>
    <s v="none"/>
    <n v="0"/>
    <x v="534"/>
    <d v="2021-08-26T01:10:50.000"/>
    <m/>
    <m/>
    <s v=""/>
    <n v="1"/>
    <s v="1"/>
    <s v="1"/>
    <n v="14"/>
    <n v="5.072463768115942"/>
    <n v="20"/>
    <n v="7.246376811594203"/>
    <n v="0"/>
    <n v="0"/>
    <n v="242"/>
    <n v="87.68115942028986"/>
    <n v="276"/>
  </r>
  <r>
    <s v="UCFx4Vj3k47wH_d_pe_TLI9Q"/>
    <s v="UCvQECJukTDE2i6aCoMnS-Vg"/>
    <m/>
    <m/>
    <m/>
    <m/>
    <m/>
    <m/>
    <m/>
    <m/>
    <s v="No"/>
    <n v="539"/>
    <m/>
    <m/>
    <s v="Commented Video"/>
    <x v="0"/>
    <s v="First part on social network, holism, emergence and social life as superior order being was perfect ! Thanks you Nicholas Christakis and Big Think ! BUT, as you know, in complexe network, new propriety appears were some others disappears, and that affect the concept of &amp;quot;capital&amp;quot; you talk in your second part. With that in mind, it&amp;#39;s seem capital make you more productive on certain points and less on others.  As exemple, violon can make music but it can&amp;#39;t be a home for life like a tree. Same type of things happen for humans and social relations."/>
    <s v="UCFx4Vj3k47wH_d_pe_TLI9Q"/>
    <s v="Erwan Moreau"/>
    <s v="http://www.youtube.com/channel/UCFx4Vj3k47wH_d_pe_TLI9Q"/>
    <m/>
    <s v="wadBvDPeE4E"/>
    <s v="https://www.youtube.com/watch?v=wadBvDPeE4E"/>
    <s v="none"/>
    <n v="1"/>
    <x v="535"/>
    <d v="2021-08-27T11:12:17.000"/>
    <m/>
    <m/>
    <s v=""/>
    <n v="1"/>
    <s v="1"/>
    <s v="1"/>
    <n v="4"/>
    <n v="3.9603960396039604"/>
    <n v="0"/>
    <n v="0"/>
    <n v="0"/>
    <n v="0"/>
    <n v="97"/>
    <n v="96.03960396039604"/>
    <n v="101"/>
  </r>
  <r>
    <s v="UCY8PskpvUgWJY5uByBB2-9A"/>
    <s v="UCvQECJukTDE2i6aCoMnS-Vg"/>
    <m/>
    <m/>
    <m/>
    <m/>
    <m/>
    <m/>
    <m/>
    <m/>
    <s v="No"/>
    <n v="540"/>
    <m/>
    <m/>
    <s v="Commented Video"/>
    <x v="0"/>
    <s v="This guy&amp;#39;s intellectually honest. Awesome!&lt;br&gt;He&amp;#39;s apparently just honest, based on his personal story.&lt;br&gt;Remarkable.&lt;br&gt;More intellectually honest folks, please."/>
    <s v="UCY8PskpvUgWJY5uByBB2-9A"/>
    <s v="Christopher Bachman"/>
    <s v="http://www.youtube.com/channel/UCY8PskpvUgWJY5uByBB2-9A"/>
    <m/>
    <s v="wadBvDPeE4E"/>
    <s v="https://www.youtube.com/watch?v=wadBvDPeE4E"/>
    <s v="none"/>
    <n v="3"/>
    <x v="536"/>
    <d v="2021-08-28T04:45:36.000"/>
    <m/>
    <m/>
    <s v=""/>
    <n v="3"/>
    <s v="1"/>
    <s v="1"/>
    <n v="5"/>
    <n v="18.51851851851852"/>
    <n v="0"/>
    <n v="0"/>
    <n v="0"/>
    <n v="0"/>
    <n v="22"/>
    <n v="81.48148148148148"/>
    <n v="27"/>
  </r>
  <r>
    <s v="UCY8PskpvUgWJY5uByBB2-9A"/>
    <s v="UCvQECJukTDE2i6aCoMnS-Vg"/>
    <m/>
    <m/>
    <m/>
    <m/>
    <m/>
    <m/>
    <m/>
    <m/>
    <s v="No"/>
    <n v="541"/>
    <m/>
    <m/>
    <s v="Commented Video"/>
    <x v="0"/>
    <s v="Finally, truly Big Thinking!&lt;br&gt;I&amp;#39;m so impressed!!!!"/>
    <s v="UCY8PskpvUgWJY5uByBB2-9A"/>
    <s v="Christopher Bachman"/>
    <s v="http://www.youtube.com/channel/UCY8PskpvUgWJY5uByBB2-9A"/>
    <m/>
    <s v="wadBvDPeE4E"/>
    <s v="https://www.youtube.com/watch?v=wadBvDPeE4E"/>
    <s v="none"/>
    <n v="0"/>
    <x v="537"/>
    <d v="2021-08-28T04:56:32.000"/>
    <m/>
    <m/>
    <s v=""/>
    <n v="3"/>
    <s v="1"/>
    <s v="1"/>
    <n v="1"/>
    <n v="10"/>
    <n v="0"/>
    <n v="0"/>
    <n v="0"/>
    <n v="0"/>
    <n v="9"/>
    <n v="90"/>
    <n v="10"/>
  </r>
  <r>
    <s v="UCY8PskpvUgWJY5uByBB2-9A"/>
    <s v="UCvQECJukTDE2i6aCoMnS-Vg"/>
    <m/>
    <m/>
    <m/>
    <m/>
    <m/>
    <m/>
    <m/>
    <m/>
    <s v="No"/>
    <n v="542"/>
    <m/>
    <m/>
    <s v="Commented Video"/>
    <x v="0"/>
    <s v="Very enlightening.&lt;br&gt;Very clear.&lt;br&gt;Well organized and complete."/>
    <s v="UCY8PskpvUgWJY5uByBB2-9A"/>
    <s v="Christopher Bachman"/>
    <s v="http://www.youtube.com/channel/UCY8PskpvUgWJY5uByBB2-9A"/>
    <m/>
    <s v="wadBvDPeE4E"/>
    <s v="https://www.youtube.com/watch?v=wadBvDPeE4E"/>
    <s v="none"/>
    <n v="0"/>
    <x v="538"/>
    <d v="2021-08-28T05:18:22.000"/>
    <m/>
    <m/>
    <s v=""/>
    <n v="3"/>
    <s v="1"/>
    <s v="1"/>
    <n v="2"/>
    <n v="20"/>
    <n v="0"/>
    <n v="0"/>
    <n v="0"/>
    <n v="0"/>
    <n v="8"/>
    <n v="80"/>
    <n v="10"/>
  </r>
  <r>
    <s v="UC8Suwp8U1iIsPF_pMGNdDzg"/>
    <s v="UCyqRPzzVpb3nxouv8ngDnrA"/>
    <m/>
    <m/>
    <m/>
    <m/>
    <m/>
    <m/>
    <m/>
    <m/>
    <s v="No"/>
    <n v="543"/>
    <m/>
    <m/>
    <s v="Replied Comment"/>
    <x v="1"/>
    <s v="I used to feel the same way. I know you mean well and operate in good faith. But I am confident that you are wrong all around. I am happy to talk this out if you would like"/>
    <s v="UC8Suwp8U1iIsPF_pMGNdDzg"/>
    <s v="George Carlin"/>
    <s v="http://www.youtube.com/channel/UC8Suwp8U1iIsPF_pMGNdDzg"/>
    <s v="UgzrbLpolvtyhEgNQqJ4AaABAg"/>
    <s v="wadBvDPeE4E"/>
    <s v="https://www.youtube.com/watch?v=wadBvDPeE4E"/>
    <s v="none"/>
    <n v="0"/>
    <x v="539"/>
    <d v="2022-02-22T15:09:04.000"/>
    <m/>
    <m/>
    <s v=""/>
    <n v="1"/>
    <s v="3"/>
    <s v="3"/>
    <n v="6"/>
    <n v="15.789473684210526"/>
    <n v="1"/>
    <n v="2.6315789473684212"/>
    <n v="0"/>
    <n v="0"/>
    <n v="31"/>
    <n v="81.57894736842105"/>
    <n v="38"/>
  </r>
  <r>
    <s v="UCPZ_r5jgass9cv38X7Hrc2w"/>
    <s v="UCyqRPzzVpb3nxouv8ngDnrA"/>
    <m/>
    <m/>
    <m/>
    <m/>
    <m/>
    <m/>
    <m/>
    <m/>
    <s v="No"/>
    <n v="544"/>
    <m/>
    <m/>
    <s v="Replied Comment"/>
    <x v="1"/>
    <s v="What alternative idea?"/>
    <s v="UCPZ_r5jgass9cv38X7Hrc2w"/>
    <s v="mathxnoob"/>
    <s v="http://www.youtube.com/channel/UCPZ_r5jgass9cv38X7Hrc2w"/>
    <s v="UgzrbLpolvtyhEgNQqJ4AaABAg"/>
    <s v="wadBvDPeE4E"/>
    <s v="https://www.youtube.com/watch?v=wadBvDPeE4E"/>
    <s v="none"/>
    <n v="0"/>
    <x v="540"/>
    <d v="2022-03-31T07:45:56.000"/>
    <m/>
    <m/>
    <s v=""/>
    <n v="1"/>
    <s v="3"/>
    <s v="3"/>
    <n v="0"/>
    <n v="0"/>
    <n v="0"/>
    <n v="0"/>
    <n v="0"/>
    <n v="0"/>
    <n v="3"/>
    <n v="100"/>
    <n v="3"/>
  </r>
  <r>
    <s v="UCyqRPzzVpb3nxouv8ngDnrA"/>
    <s v="UCvQECJukTDE2i6aCoMnS-Vg"/>
    <m/>
    <m/>
    <m/>
    <m/>
    <m/>
    <m/>
    <m/>
    <m/>
    <s v="No"/>
    <n v="545"/>
    <m/>
    <m/>
    <s v="Commented Video"/>
    <x v="0"/>
    <s v="By understanding this concept,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And yes, I do have an idea for an alternative system."/>
    <s v="UCyqRPzzVpb3nxouv8ngDnrA"/>
    <s v="verZatile _bmotp"/>
    <s v="http://www.youtube.com/channel/UCyqRPzzVpb3nxouv8ngDnrA"/>
    <m/>
    <s v="wadBvDPeE4E"/>
    <s v="https://www.youtube.com/watch?v=wadBvDPeE4E"/>
    <s v="none"/>
    <n v="2"/>
    <x v="541"/>
    <d v="2021-08-31T22:28:33.000"/>
    <m/>
    <m/>
    <s v=""/>
    <n v="1"/>
    <s v="3"/>
    <s v="1"/>
    <n v="2"/>
    <n v="0.8771929824561403"/>
    <n v="5"/>
    <n v="2.192982456140351"/>
    <n v="0"/>
    <n v="0"/>
    <n v="221"/>
    <n v="96.9298245614035"/>
    <n v="228"/>
  </r>
  <r>
    <s v="UCpEvHal_hW3x5fYeHPXKpcw"/>
    <s v="UCvQECJukTDE2i6aCoMnS-Vg"/>
    <m/>
    <m/>
    <m/>
    <m/>
    <m/>
    <m/>
    <m/>
    <m/>
    <s v="No"/>
    <n v="546"/>
    <m/>
    <m/>
    <s v="Commented Video"/>
    <x v="0"/>
    <s v="This theme is interesting but your explanation runs so fast.  Wkwkwk"/>
    <s v="UCpEvHal_hW3x5fYeHPXKpcw"/>
    <s v="Th. Suryadinata"/>
    <s v="http://www.youtube.com/channel/UCpEvHal_hW3x5fYeHPXKpcw"/>
    <m/>
    <s v="wadBvDPeE4E"/>
    <s v="https://www.youtube.com/watch?v=wadBvDPeE4E"/>
    <s v="none"/>
    <n v="0"/>
    <x v="542"/>
    <d v="2021-09-01T02:55:06.000"/>
    <m/>
    <m/>
    <s v=""/>
    <n v="1"/>
    <s v="1"/>
    <s v="1"/>
    <n v="2"/>
    <n v="18.181818181818183"/>
    <n v="0"/>
    <n v="0"/>
    <n v="0"/>
    <n v="0"/>
    <n v="9"/>
    <n v="81.81818181818181"/>
    <n v="11"/>
  </r>
  <r>
    <s v="UCBqByZPmDZMizpc5U_y-dDA"/>
    <s v="UCvQECJukTDE2i6aCoMnS-Vg"/>
    <m/>
    <m/>
    <m/>
    <m/>
    <m/>
    <m/>
    <m/>
    <m/>
    <s v="No"/>
    <n v="547"/>
    <m/>
    <m/>
    <s v="Commented Video"/>
    <x v="0"/>
    <s v="Great teacher"/>
    <s v="UCBqByZPmDZMizpc5U_y-dDA"/>
    <s v="yo yo"/>
    <s v="http://www.youtube.com/channel/UCBqByZPmDZMizpc5U_y-dDA"/>
    <m/>
    <s v="wadBvDPeE4E"/>
    <s v="https://www.youtube.com/watch?v=wadBvDPeE4E"/>
    <s v="none"/>
    <n v="0"/>
    <x v="543"/>
    <d v="2021-09-03T22:07:30.000"/>
    <m/>
    <m/>
    <s v=""/>
    <n v="1"/>
    <s v="1"/>
    <s v="1"/>
    <n v="1"/>
    <n v="50"/>
    <n v="0"/>
    <n v="0"/>
    <n v="0"/>
    <n v="0"/>
    <n v="1"/>
    <n v="50"/>
    <n v="2"/>
  </r>
  <r>
    <s v="UCfmrm0tJ4Wvbwh0Qc8S0vZw"/>
    <s v="UCfmrm0tJ4Wvbwh0Qc8S0vZw"/>
    <m/>
    <m/>
    <m/>
    <m/>
    <m/>
    <m/>
    <m/>
    <m/>
    <s v="No"/>
    <n v="548"/>
    <m/>
    <m/>
    <s v="Replied Comment"/>
    <x v="1"/>
    <s v="So clicky sounding!"/>
    <s v="UCfmrm0tJ4Wvbwh0Qc8S0vZw"/>
    <s v="Michael Bierek"/>
    <s v="http://www.youtube.com/channel/UCfmrm0tJ4Wvbwh0Qc8S0vZw"/>
    <s v="UgyCaQk3fGGbRSy7mkd4AaABAg"/>
    <s v="wadBvDPeE4E"/>
    <s v="https://www.youtube.com/watch?v=wadBvDPeE4E"/>
    <s v="none"/>
    <n v="0"/>
    <x v="544"/>
    <d v="2021-09-10T19:06:43.000"/>
    <m/>
    <m/>
    <s v=""/>
    <n v="1"/>
    <s v="1"/>
    <s v="1"/>
    <n v="0"/>
    <n v="0"/>
    <n v="0"/>
    <n v="0"/>
    <n v="0"/>
    <n v="0"/>
    <n v="3"/>
    <n v="100"/>
    <n v="3"/>
  </r>
  <r>
    <s v="UCfmrm0tJ4Wvbwh0Qc8S0vZw"/>
    <s v="UCvQECJukTDE2i6aCoMnS-Vg"/>
    <m/>
    <m/>
    <m/>
    <m/>
    <m/>
    <m/>
    <m/>
    <m/>
    <s v="No"/>
    <n v="549"/>
    <m/>
    <m/>
    <s v="Commented Video"/>
    <x v="0"/>
    <s v="Ugh! the sound effects on these videos… are not great!"/>
    <s v="UCfmrm0tJ4Wvbwh0Qc8S0vZw"/>
    <s v="Michael Bierek"/>
    <s v="http://www.youtube.com/channel/UCfmrm0tJ4Wvbwh0Qc8S0vZw"/>
    <m/>
    <s v="wadBvDPeE4E"/>
    <s v="https://www.youtube.com/watch?v=wadBvDPeE4E"/>
    <s v="none"/>
    <n v="0"/>
    <x v="545"/>
    <d v="2021-09-10T04:33:15.000"/>
    <m/>
    <m/>
    <s v=""/>
    <n v="1"/>
    <s v="1"/>
    <s v="1"/>
    <n v="1"/>
    <n v="10"/>
    <n v="1"/>
    <n v="10"/>
    <n v="0"/>
    <n v="0"/>
    <n v="8"/>
    <n v="80"/>
    <n v="10"/>
  </r>
  <r>
    <s v="UC_juy4yO45-xTlCvVGADnag"/>
    <s v="UCvQECJukTDE2i6aCoMnS-Vg"/>
    <m/>
    <m/>
    <m/>
    <m/>
    <m/>
    <m/>
    <m/>
    <m/>
    <s v="No"/>
    <n v="550"/>
    <m/>
    <m/>
    <s v="Commented Video"/>
    <x v="0"/>
    <s v="Então esse é o mestre de Yale Cristákens"/>
    <s v="UC_juy4yO45-xTlCvVGADnag"/>
    <s v="Hyghor Paes L. Azevedo"/>
    <s v="http://www.youtube.com/channel/UC_juy4yO45-xTlCvVGADnag"/>
    <m/>
    <s v="wadBvDPeE4E"/>
    <s v="https://www.youtube.com/watch?v=wadBvDPeE4E"/>
    <s v="none"/>
    <n v="2"/>
    <x v="546"/>
    <d v="2021-09-10T15:19:02.000"/>
    <m/>
    <m/>
    <s v=""/>
    <n v="1"/>
    <s v="1"/>
    <s v="1"/>
    <n v="0"/>
    <n v="0"/>
    <n v="0"/>
    <n v="0"/>
    <n v="0"/>
    <n v="0"/>
    <n v="8"/>
    <n v="100"/>
    <n v="8"/>
  </r>
  <r>
    <s v="UCKUuFKvoUfcgc48a5eiy0iA"/>
    <s v="UCvQECJukTDE2i6aCoMnS-Vg"/>
    <m/>
    <m/>
    <m/>
    <m/>
    <m/>
    <m/>
    <m/>
    <m/>
    <s v="No"/>
    <n v="551"/>
    <m/>
    <m/>
    <s v="Commented Video"/>
    <x v="0"/>
    <s v="Suicide is an individual act, and has nothing to do with society. You can not link these two together, society is fragmented and this is the real problem. You are blaming the individual but it is the fault of society, government and the multinational corporations which is the true evil in our culture. I am fortune I do not believe very little of what these corporate minions or the media preach as fact. The reality tells us quite a different story."/>
    <s v="UCKUuFKvoUfcgc48a5eiy0iA"/>
    <s v="Vincent"/>
    <s v="http://www.youtube.com/channel/UCKUuFKvoUfcgc48a5eiy0iA"/>
    <m/>
    <s v="wadBvDPeE4E"/>
    <s v="https://www.youtube.com/watch?v=wadBvDPeE4E"/>
    <s v="none"/>
    <n v="0"/>
    <x v="547"/>
    <d v="2021-09-15T19:48:44.000"/>
    <m/>
    <m/>
    <s v=""/>
    <n v="1"/>
    <s v="1"/>
    <s v="1"/>
    <n v="1"/>
    <n v="1.2345679012345678"/>
    <n v="5"/>
    <n v="6.172839506172839"/>
    <n v="0"/>
    <n v="0"/>
    <n v="75"/>
    <n v="92.5925925925926"/>
    <n v="81"/>
  </r>
  <r>
    <s v="UCQUO6eNYTAvVIa2XoaQjRwQ"/>
    <s v="UCvQECJukTDE2i6aCoMnS-Vg"/>
    <m/>
    <m/>
    <m/>
    <m/>
    <m/>
    <m/>
    <m/>
    <m/>
    <s v="No"/>
    <n v="552"/>
    <m/>
    <m/>
    <s v="Commented Video"/>
    <x v="0"/>
    <s v="Lol, when he said &amp;quot;Facebook and MySpace&amp;quot;, I had to check out the upload date of the video :D"/>
    <s v="UCQUO6eNYTAvVIa2XoaQjRwQ"/>
    <s v="Manuel Popp"/>
    <s v="http://www.youtube.com/channel/UCQUO6eNYTAvVIa2XoaQjRwQ"/>
    <m/>
    <s v="wadBvDPeE4E"/>
    <s v="https://www.youtube.com/watch?v=wadBvDPeE4E"/>
    <s v="none"/>
    <n v="0"/>
    <x v="548"/>
    <d v="2021-09-17T21:06:57.000"/>
    <m/>
    <m/>
    <s v=""/>
    <n v="2"/>
    <s v="1"/>
    <s v="1"/>
    <n v="0"/>
    <n v="0"/>
    <n v="0"/>
    <n v="0"/>
    <n v="0"/>
    <n v="0"/>
    <n v="21"/>
    <n v="100"/>
    <n v="21"/>
  </r>
  <r>
    <s v="UCQUO6eNYTAvVIa2XoaQjRwQ"/>
    <s v="UCvQECJukTDE2i6aCoMnS-Vg"/>
    <m/>
    <m/>
    <m/>
    <m/>
    <m/>
    <m/>
    <m/>
    <m/>
    <s v="No"/>
    <n v="553"/>
    <m/>
    <m/>
    <s v="Commented Video"/>
    <x v="0"/>
    <s v="This guy is obviously not a friend of trees..."/>
    <s v="UCQUO6eNYTAvVIa2XoaQjRwQ"/>
    <s v="Manuel Popp"/>
    <s v="http://www.youtube.com/channel/UCQUO6eNYTAvVIa2XoaQjRwQ"/>
    <m/>
    <s v="wadBvDPeE4E"/>
    <s v="https://www.youtube.com/watch?v=wadBvDPeE4E"/>
    <s v="none"/>
    <n v="0"/>
    <x v="549"/>
    <d v="2021-09-17T21:31:12.000"/>
    <m/>
    <m/>
    <s v=""/>
    <n v="2"/>
    <s v="1"/>
    <s v="1"/>
    <n v="0"/>
    <n v="0"/>
    <n v="0"/>
    <n v="0"/>
    <n v="0"/>
    <n v="0"/>
    <n v="9"/>
    <n v="100"/>
    <n v="9"/>
  </r>
  <r>
    <s v="UC1DjQgoKxKaWdL_hrR4nI-Q"/>
    <s v="UCvQECJukTDE2i6aCoMnS-Vg"/>
    <m/>
    <m/>
    <m/>
    <m/>
    <m/>
    <m/>
    <m/>
    <m/>
    <s v="No"/>
    <n v="554"/>
    <m/>
    <m/>
    <s v="Commented Video"/>
    <x v="0"/>
    <s v="&lt;a href=&quot;https://www.youtube.com/watch?v=wadBvDPeE4E&amp;amp;t=0m31s&quot;&gt;0:31&lt;/a&gt;"/>
    <s v="UC1DjQgoKxKaWdL_hrR4nI-Q"/>
    <s v="Stephvon Dames"/>
    <s v="http://www.youtube.com/channel/UC1DjQgoKxKaWdL_hrR4nI-Q"/>
    <m/>
    <s v="wadBvDPeE4E"/>
    <s v="https://www.youtube.com/watch?v=wadBvDPeE4E"/>
    <s v="none"/>
    <n v="0"/>
    <x v="550"/>
    <d v="2021-09-22T02:33:05.000"/>
    <s v=" https://www.youtube.com/watch?v=wadBvDPeE4E&amp;amp;t=0m31s"/>
    <s v="youtube.com"/>
    <s v=""/>
    <n v="5"/>
    <s v="1"/>
    <s v="1"/>
    <n v="0"/>
    <n v="0"/>
    <n v="0"/>
    <n v="0"/>
    <n v="0"/>
    <n v="0"/>
    <n v="15"/>
    <n v="100"/>
    <n v="15"/>
  </r>
  <r>
    <s v="UC1DjQgoKxKaWdL_hrR4nI-Q"/>
    <s v="UCvQECJukTDE2i6aCoMnS-Vg"/>
    <m/>
    <m/>
    <m/>
    <m/>
    <m/>
    <m/>
    <m/>
    <m/>
    <s v="No"/>
    <n v="555"/>
    <m/>
    <m/>
    <s v="Commented Video"/>
    <x v="0"/>
    <s v="&lt;a href=&quot;https://www.youtube.com/watch?v=wadBvDPeE4E&amp;amp;t=1m59s&quot;&gt;1:59&lt;/a&gt;"/>
    <s v="UC1DjQgoKxKaWdL_hrR4nI-Q"/>
    <s v="Stephvon Dames"/>
    <s v="http://www.youtube.com/channel/UC1DjQgoKxKaWdL_hrR4nI-Q"/>
    <m/>
    <s v="wadBvDPeE4E"/>
    <s v="https://www.youtube.com/watch?v=wadBvDPeE4E"/>
    <s v="none"/>
    <n v="0"/>
    <x v="551"/>
    <d v="2021-09-22T02:40:50.000"/>
    <s v=" https://www.youtube.com/watch?v=wadBvDPeE4E&amp;amp;t=1m59s"/>
    <s v="youtube.com"/>
    <s v=""/>
    <n v="5"/>
    <s v="1"/>
    <s v="1"/>
    <n v="0"/>
    <n v="0"/>
    <n v="0"/>
    <n v="0"/>
    <n v="0"/>
    <n v="0"/>
    <n v="15"/>
    <n v="100"/>
    <n v="15"/>
  </r>
  <r>
    <s v="UC1DjQgoKxKaWdL_hrR4nI-Q"/>
    <s v="UCvQECJukTDE2i6aCoMnS-Vg"/>
    <m/>
    <m/>
    <m/>
    <m/>
    <m/>
    <m/>
    <m/>
    <m/>
    <s v="No"/>
    <n v="556"/>
    <m/>
    <m/>
    <s v="Commented Video"/>
    <x v="0"/>
    <s v="&lt;a href=&quot;https://www.youtube.com/watch?v=wadBvDPeE4E&amp;amp;t=10m08s&quot;&gt;10:08&lt;/a&gt;"/>
    <s v="UC1DjQgoKxKaWdL_hrR4nI-Q"/>
    <s v="Stephvon Dames"/>
    <s v="http://www.youtube.com/channel/UC1DjQgoKxKaWdL_hrR4nI-Q"/>
    <m/>
    <s v="wadBvDPeE4E"/>
    <s v="https://www.youtube.com/watch?v=wadBvDPeE4E"/>
    <s v="none"/>
    <n v="0"/>
    <x v="552"/>
    <d v="2021-09-22T03:54:28.000"/>
    <s v=" https://www.youtube.com/watch?v=wadBvDPeE4E&amp;amp;t=10m08s"/>
    <s v="youtube.com"/>
    <s v=""/>
    <n v="5"/>
    <s v="1"/>
    <s v="1"/>
    <n v="0"/>
    <n v="0"/>
    <n v="0"/>
    <n v="0"/>
    <n v="0"/>
    <n v="0"/>
    <n v="15"/>
    <n v="100"/>
    <n v="15"/>
  </r>
  <r>
    <s v="UC1DjQgoKxKaWdL_hrR4nI-Q"/>
    <s v="UCvQECJukTDE2i6aCoMnS-Vg"/>
    <m/>
    <m/>
    <m/>
    <m/>
    <m/>
    <m/>
    <m/>
    <m/>
    <s v="No"/>
    <n v="557"/>
    <m/>
    <m/>
    <s v="Commented Video"/>
    <x v="0"/>
    <s v="&lt;a href=&quot;https://www.youtube.com/watch?v=wadBvDPeE4E&amp;amp;t=16m03s&quot;&gt;16:03&lt;/a&gt;"/>
    <s v="UC1DjQgoKxKaWdL_hrR4nI-Q"/>
    <s v="Stephvon Dames"/>
    <s v="http://www.youtube.com/channel/UC1DjQgoKxKaWdL_hrR4nI-Q"/>
    <m/>
    <s v="wadBvDPeE4E"/>
    <s v="https://www.youtube.com/watch?v=wadBvDPeE4E"/>
    <s v="none"/>
    <n v="0"/>
    <x v="553"/>
    <d v="2021-09-22T15:09:42.000"/>
    <s v=" https://www.youtube.com/watch?v=wadBvDPeE4E&amp;amp;t=16m03s"/>
    <s v="youtube.com"/>
    <s v=""/>
    <n v="5"/>
    <s v="1"/>
    <s v="1"/>
    <n v="0"/>
    <n v="0"/>
    <n v="0"/>
    <n v="0"/>
    <n v="0"/>
    <n v="0"/>
    <n v="15"/>
    <n v="100"/>
    <n v="15"/>
  </r>
  <r>
    <s v="UC1DjQgoKxKaWdL_hrR4nI-Q"/>
    <s v="UCvQECJukTDE2i6aCoMnS-Vg"/>
    <m/>
    <m/>
    <m/>
    <m/>
    <m/>
    <m/>
    <m/>
    <m/>
    <s v="No"/>
    <n v="558"/>
    <m/>
    <m/>
    <s v="Commented Video"/>
    <x v="0"/>
    <s v="&lt;a href=&quot;https://www.youtube.com/watch?v=wadBvDPeE4E&amp;amp;t=24m16s&quot;&gt;24:16&lt;/a&gt;"/>
    <s v="UC1DjQgoKxKaWdL_hrR4nI-Q"/>
    <s v="Stephvon Dames"/>
    <s v="http://www.youtube.com/channel/UC1DjQgoKxKaWdL_hrR4nI-Q"/>
    <m/>
    <s v="wadBvDPeE4E"/>
    <s v="https://www.youtube.com/watch?v=wadBvDPeE4E"/>
    <s v="none"/>
    <n v="0"/>
    <x v="554"/>
    <d v="2021-09-22T16:10:57.000"/>
    <s v=" https://www.youtube.com/watch?v=wadBvDPeE4E&amp;amp;t=24m16s"/>
    <s v="youtube.com"/>
    <s v=""/>
    <n v="5"/>
    <s v="1"/>
    <s v="1"/>
    <n v="0"/>
    <n v="0"/>
    <n v="0"/>
    <n v="0"/>
    <n v="0"/>
    <n v="0"/>
    <n v="15"/>
    <n v="100"/>
    <n v="15"/>
  </r>
  <r>
    <s v="UCT5ynWTl9RcNmQaVmx64yCg"/>
    <s v="UCvQECJukTDE2i6aCoMnS-Vg"/>
    <m/>
    <m/>
    <m/>
    <m/>
    <m/>
    <m/>
    <m/>
    <m/>
    <s v="No"/>
    <n v="559"/>
    <m/>
    <m/>
    <s v="Commented Video"/>
    <x v="0"/>
    <s v="Failed probability and statistics."/>
    <s v="UCT5ynWTl9RcNmQaVmx64yCg"/>
    <s v="Hollywood Clark"/>
    <s v="http://www.youtube.com/channel/UCT5ynWTl9RcNmQaVmx64yCg"/>
    <m/>
    <s v="wadBvDPeE4E"/>
    <s v="https://www.youtube.com/watch?v=wadBvDPeE4E"/>
    <s v="none"/>
    <n v="0"/>
    <x v="555"/>
    <d v="2021-09-28T05:24:31.000"/>
    <m/>
    <m/>
    <s v=""/>
    <n v="1"/>
    <s v="1"/>
    <s v="1"/>
    <n v="0"/>
    <n v="0"/>
    <n v="1"/>
    <n v="25"/>
    <n v="0"/>
    <n v="0"/>
    <n v="3"/>
    <n v="75"/>
    <n v="4"/>
  </r>
  <r>
    <s v="UCjW6K5mG_h--dfOZgjmySNg"/>
    <s v="UCvQECJukTDE2i6aCoMnS-Vg"/>
    <m/>
    <m/>
    <m/>
    <m/>
    <m/>
    <m/>
    <m/>
    <m/>
    <s v="No"/>
    <n v="560"/>
    <m/>
    <m/>
    <s v="Commented Video"/>
    <x v="0"/>
    <s v="Brilliant"/>
    <s v="UCjW6K5mG_h--dfOZgjmySNg"/>
    <s v="Kamp Gallery"/>
    <s v="http://www.youtube.com/channel/UCjW6K5mG_h--dfOZgjmySNg"/>
    <m/>
    <s v="wadBvDPeE4E"/>
    <s v="https://www.youtube.com/watch?v=wadBvDPeE4E"/>
    <s v="none"/>
    <n v="0"/>
    <x v="556"/>
    <d v="2021-10-11T04:43:45.000"/>
    <m/>
    <m/>
    <s v=""/>
    <n v="1"/>
    <s v="1"/>
    <s v="1"/>
    <n v="1"/>
    <n v="100"/>
    <n v="0"/>
    <n v="0"/>
    <n v="0"/>
    <n v="0"/>
    <n v="0"/>
    <n v="0"/>
    <n v="1"/>
  </r>
  <r>
    <s v="UC5PuRhzgB1QSEi5KtDzQjbA"/>
    <s v="UCvQECJukTDE2i6aCoMnS-Vg"/>
    <m/>
    <m/>
    <m/>
    <m/>
    <m/>
    <m/>
    <m/>
    <m/>
    <s v="No"/>
    <n v="561"/>
    <m/>
    <m/>
    <s v="Commented Video"/>
    <x v="0"/>
    <s v="How did I not see this awesome video for 8 years!!"/>
    <s v="UC5PuRhzgB1QSEi5KtDzQjbA"/>
    <s v="Tom Liu"/>
    <s v="http://www.youtube.com/channel/UC5PuRhzgB1QSEi5KtDzQjbA"/>
    <m/>
    <s v="wadBvDPeE4E"/>
    <s v="https://www.youtube.com/watch?v=wadBvDPeE4E"/>
    <s v="none"/>
    <n v="0"/>
    <x v="557"/>
    <d v="2021-10-15T14:49:57.000"/>
    <m/>
    <m/>
    <s v=""/>
    <n v="1"/>
    <s v="1"/>
    <s v="1"/>
    <n v="1"/>
    <n v="9.090909090909092"/>
    <n v="0"/>
    <n v="0"/>
    <n v="0"/>
    <n v="0"/>
    <n v="10"/>
    <n v="90.9090909090909"/>
    <n v="11"/>
  </r>
  <r>
    <s v="UCSf7v8KmsdJjHjUJmIR3fDA"/>
    <s v="UCvQECJukTDE2i6aCoMnS-Vg"/>
    <m/>
    <m/>
    <m/>
    <m/>
    <m/>
    <m/>
    <m/>
    <m/>
    <s v="No"/>
    <n v="562"/>
    <m/>
    <m/>
    <s v="Commented Video"/>
    <x v="0"/>
    <s v="What books to read after this lecture?? Any recommendations"/>
    <s v="UCSf7v8KmsdJjHjUJmIR3fDA"/>
    <s v="Avinash Prasad 2"/>
    <s v="http://www.youtube.com/channel/UCSf7v8KmsdJjHjUJmIR3fDA"/>
    <m/>
    <s v="wadBvDPeE4E"/>
    <s v="https://www.youtube.com/watch?v=wadBvDPeE4E"/>
    <s v="none"/>
    <n v="0"/>
    <x v="558"/>
    <d v="2021-10-19T09:46:26.000"/>
    <m/>
    <m/>
    <s v=""/>
    <n v="1"/>
    <s v="1"/>
    <s v="1"/>
    <n v="1"/>
    <n v="11.11111111111111"/>
    <n v="0"/>
    <n v="0"/>
    <n v="0"/>
    <n v="0"/>
    <n v="8"/>
    <n v="88.88888888888889"/>
    <n v="9"/>
  </r>
  <r>
    <s v="UCsWRzD0bdvJVfzr1bMhgNTQ"/>
    <s v="UCvQECJukTDE2i6aCoMnS-Vg"/>
    <m/>
    <m/>
    <m/>
    <m/>
    <m/>
    <m/>
    <m/>
    <m/>
    <s v="No"/>
    <n v="563"/>
    <m/>
    <m/>
    <s v="Commented Video"/>
    <x v="0"/>
    <s v="He should be perfect for helping to stop disinformation. I read his book back then. He should write another."/>
    <s v="UCsWRzD0bdvJVfzr1bMhgNTQ"/>
    <s v="Jennifer Cuddy"/>
    <s v="http://www.youtube.com/channel/UCsWRzD0bdvJVfzr1bMhgNTQ"/>
    <m/>
    <s v="wadBvDPeE4E"/>
    <s v="https://www.youtube.com/watch?v=wadBvDPeE4E"/>
    <s v="none"/>
    <n v="0"/>
    <x v="559"/>
    <d v="2021-10-22T17:28:10.000"/>
    <m/>
    <m/>
    <s v=""/>
    <n v="1"/>
    <s v="1"/>
    <s v="1"/>
    <n v="2"/>
    <n v="10.526315789473685"/>
    <n v="0"/>
    <n v="0"/>
    <n v="0"/>
    <n v="0"/>
    <n v="17"/>
    <n v="89.47368421052632"/>
    <n v="19"/>
  </r>
  <r>
    <s v="UCteADJPEuqioxpPwU2sVT9w"/>
    <s v="UCvQECJukTDE2i6aCoMnS-Vg"/>
    <m/>
    <m/>
    <m/>
    <m/>
    <m/>
    <m/>
    <m/>
    <m/>
    <s v="No"/>
    <n v="564"/>
    <m/>
    <m/>
    <s v="Commented Video"/>
    <x v="0"/>
    <s v="Omg the sound effects are so annoying!"/>
    <s v="UCteADJPEuqioxpPwU2sVT9w"/>
    <s v="Michele Ramos"/>
    <s v="http://www.youtube.com/channel/UCteADJPEuqioxpPwU2sVT9w"/>
    <m/>
    <s v="wadBvDPeE4E"/>
    <s v="https://www.youtube.com/watch?v=wadBvDPeE4E"/>
    <s v="none"/>
    <n v="1"/>
    <x v="560"/>
    <d v="2021-11-08T07:20:49.000"/>
    <m/>
    <m/>
    <s v=""/>
    <n v="1"/>
    <s v="1"/>
    <s v="1"/>
    <n v="0"/>
    <n v="0"/>
    <n v="1"/>
    <n v="14.285714285714286"/>
    <n v="0"/>
    <n v="0"/>
    <n v="6"/>
    <n v="85.71428571428571"/>
    <n v="7"/>
  </r>
  <r>
    <s v="UCb4RV6A9q46EVE4854627_Q"/>
    <s v="UCvQECJukTDE2i6aCoMnS-Vg"/>
    <m/>
    <m/>
    <m/>
    <m/>
    <m/>
    <m/>
    <m/>
    <m/>
    <s v="No"/>
    <n v="565"/>
    <m/>
    <m/>
    <s v="Commented Video"/>
    <x v="0"/>
    <s v="Nice"/>
    <s v="UCb4RV6A9q46EVE4854627_Q"/>
    <s v="Sean Brogan"/>
    <s v="http://www.youtube.com/channel/UCb4RV6A9q46EVE4854627_Q"/>
    <m/>
    <s v="wadBvDPeE4E"/>
    <s v="https://www.youtube.com/watch?v=wadBvDPeE4E"/>
    <s v="none"/>
    <n v="0"/>
    <x v="561"/>
    <d v="2021-11-12T05:37:05.000"/>
    <m/>
    <m/>
    <s v=""/>
    <n v="1"/>
    <s v="1"/>
    <s v="1"/>
    <n v="1"/>
    <n v="100"/>
    <n v="0"/>
    <n v="0"/>
    <n v="0"/>
    <n v="0"/>
    <n v="0"/>
    <n v="0"/>
    <n v="1"/>
  </r>
  <r>
    <s v="UCNTI4xMuiS9JbJapWjUOkVA"/>
    <s v="UCvQECJukTDE2i6aCoMnS-Vg"/>
    <m/>
    <m/>
    <m/>
    <m/>
    <m/>
    <m/>
    <m/>
    <m/>
    <s v="No"/>
    <n v="566"/>
    <m/>
    <m/>
    <s v="Commented Video"/>
    <x v="0"/>
    <s v="Amazing"/>
    <s v="UCNTI4xMuiS9JbJapWjUOkVA"/>
    <s v="Jordan Carter"/>
    <s v="http://www.youtube.com/channel/UCNTI4xMuiS9JbJapWjUOkVA"/>
    <m/>
    <s v="wadBvDPeE4E"/>
    <s v="https://www.youtube.com/watch?v=wadBvDPeE4E"/>
    <s v="none"/>
    <n v="0"/>
    <x v="562"/>
    <d v="2021-11-16T20:11:06.000"/>
    <m/>
    <m/>
    <s v=""/>
    <n v="1"/>
    <s v="1"/>
    <s v="1"/>
    <n v="1"/>
    <n v="100"/>
    <n v="0"/>
    <n v="0"/>
    <n v="0"/>
    <n v="0"/>
    <n v="0"/>
    <n v="0"/>
    <n v="1"/>
  </r>
  <r>
    <s v="UC4Rxk3TPz-LBIzfmH75zT6A"/>
    <s v="UCvQECJukTDE2i6aCoMnS-Vg"/>
    <m/>
    <m/>
    <m/>
    <m/>
    <m/>
    <m/>
    <m/>
    <m/>
    <s v="No"/>
    <n v="567"/>
    <m/>
    <m/>
    <s v="Commented Video"/>
    <x v="0"/>
    <s v="not impressed"/>
    <s v="UC4Rxk3TPz-LBIzfmH75zT6A"/>
    <s v="alyssa young"/>
    <s v="http://www.youtube.com/channel/UC4Rxk3TPz-LBIzfmH75zT6A"/>
    <m/>
    <s v="wadBvDPeE4E"/>
    <s v="https://www.youtube.com/watch?v=wadBvDPeE4E"/>
    <s v="none"/>
    <n v="0"/>
    <x v="563"/>
    <d v="2021-11-20T23:56:36.000"/>
    <m/>
    <m/>
    <s v=""/>
    <n v="1"/>
    <s v="1"/>
    <s v="1"/>
    <n v="1"/>
    <n v="50"/>
    <n v="0"/>
    <n v="0"/>
    <n v="0"/>
    <n v="0"/>
    <n v="1"/>
    <n v="50"/>
    <n v="2"/>
  </r>
  <r>
    <s v="UC5Mb8CQE6Hbqb-CjsAh5wLw"/>
    <s v="UCvQECJukTDE2i6aCoMnS-Vg"/>
    <m/>
    <m/>
    <m/>
    <m/>
    <m/>
    <m/>
    <m/>
    <m/>
    <s v="No"/>
    <n v="568"/>
    <m/>
    <m/>
    <s v="Commented Video"/>
    <x v="0"/>
    <s v="🐦"/>
    <s v="UC5Mb8CQE6Hbqb-CjsAh5wLw"/>
    <s v="canelita_tv"/>
    <s v="http://www.youtube.com/channel/UC5Mb8CQE6Hbqb-CjsAh5wLw"/>
    <m/>
    <s v="wadBvDPeE4E"/>
    <s v="https://www.youtube.com/watch?v=wadBvDPeE4E"/>
    <s v="none"/>
    <n v="0"/>
    <x v="564"/>
    <d v="2021-11-23T20:51:47.000"/>
    <m/>
    <m/>
    <s v=""/>
    <n v="1"/>
    <s v="1"/>
    <s v="1"/>
    <n v="0"/>
    <n v="0"/>
    <n v="0"/>
    <n v="0"/>
    <n v="0"/>
    <n v="0"/>
    <n v="0"/>
    <n v="0"/>
    <n v="0"/>
  </r>
  <r>
    <s v="UCO0p5e6aM71m1xF4ObyN3wA"/>
    <s v="UCvQECJukTDE2i6aCoMnS-Vg"/>
    <m/>
    <m/>
    <m/>
    <m/>
    <m/>
    <m/>
    <m/>
    <m/>
    <s v="No"/>
    <n v="569"/>
    <m/>
    <m/>
    <s v="Commented Video"/>
    <x v="0"/>
    <s v="sorry man, but muffins goes pretty good with lagger beer :) . Nice video :)"/>
    <s v="UCO0p5e6aM71m1xF4ObyN3wA"/>
    <s v="ivan kirachen"/>
    <s v="http://www.youtube.com/channel/UCO0p5e6aM71m1xF4ObyN3wA"/>
    <m/>
    <s v="wadBvDPeE4E"/>
    <s v="https://www.youtube.com/watch?v=wadBvDPeE4E"/>
    <s v="none"/>
    <n v="0"/>
    <x v="565"/>
    <d v="2021-11-27T10:03:57.000"/>
    <m/>
    <m/>
    <s v=""/>
    <n v="1"/>
    <s v="1"/>
    <s v="1"/>
    <n v="3"/>
    <n v="25"/>
    <n v="1"/>
    <n v="8.333333333333334"/>
    <n v="0"/>
    <n v="0"/>
    <n v="8"/>
    <n v="66.66666666666667"/>
    <n v="12"/>
  </r>
  <r>
    <s v="UCNHAVAWLKzMRnAlgvEt53kQ"/>
    <s v="UCvQECJukTDE2i6aCoMnS-Vg"/>
    <m/>
    <m/>
    <m/>
    <m/>
    <m/>
    <m/>
    <m/>
    <m/>
    <s v="No"/>
    <n v="570"/>
    <m/>
    <m/>
    <s v="Commented Video"/>
    <x v="0"/>
    <s v="Big Think is the best channel ever."/>
    <s v="UCNHAVAWLKzMRnAlgvEt53kQ"/>
    <s v="Yha Lou"/>
    <s v="http://www.youtube.com/channel/UCNHAVAWLKzMRnAlgvEt53kQ"/>
    <m/>
    <s v="wadBvDPeE4E"/>
    <s v="https://www.youtube.com/watch?v=wadBvDPeE4E"/>
    <s v="none"/>
    <n v="0"/>
    <x v="566"/>
    <d v="2021-12-10T03:01:34.000"/>
    <m/>
    <m/>
    <s v=""/>
    <n v="1"/>
    <s v="1"/>
    <s v="1"/>
    <n v="1"/>
    <n v="14.285714285714286"/>
    <n v="0"/>
    <n v="0"/>
    <n v="0"/>
    <n v="0"/>
    <n v="6"/>
    <n v="85.71428571428571"/>
    <n v="7"/>
  </r>
  <r>
    <s v="UCGfQTQX1BvX8-IyeCahPtBg"/>
    <s v="UCvQECJukTDE2i6aCoMnS-Vg"/>
    <m/>
    <m/>
    <m/>
    <m/>
    <m/>
    <m/>
    <m/>
    <m/>
    <s v="No"/>
    <n v="571"/>
    <m/>
    <m/>
    <s v="Commented Video"/>
    <x v="0"/>
    <s v="So, perhaps if suicide were legal there would be more social restraints in place for individuals contemplating it, and more lives would be saved?"/>
    <s v="UCGfQTQX1BvX8-IyeCahPtBg"/>
    <s v="Michael Therrien"/>
    <s v="http://www.youtube.com/channel/UCGfQTQX1BvX8-IyeCahPtBg"/>
    <m/>
    <s v="wadBvDPeE4E"/>
    <s v="https://www.youtube.com/watch?v=wadBvDPeE4E"/>
    <s v="none"/>
    <n v="0"/>
    <x v="567"/>
    <d v="2021-12-11T15:59:09.000"/>
    <m/>
    <m/>
    <s v=""/>
    <n v="1"/>
    <s v="1"/>
    <s v="1"/>
    <n v="0"/>
    <n v="0"/>
    <n v="1"/>
    <n v="4.166666666666667"/>
    <n v="0"/>
    <n v="0"/>
    <n v="23"/>
    <n v="95.83333333333333"/>
    <n v="24"/>
  </r>
  <r>
    <s v="UCN36iUXww9jexWYqBgaHoUg"/>
    <s v="UCvQECJukTDE2i6aCoMnS-Vg"/>
    <m/>
    <m/>
    <m/>
    <m/>
    <m/>
    <m/>
    <m/>
    <m/>
    <s v="No"/>
    <n v="572"/>
    <m/>
    <m/>
    <s v="Commented Video"/>
    <x v="0"/>
    <s v="She was 75 years old when she took her life. Amazingly she had already been dead 20 years."/>
    <s v="UCN36iUXww9jexWYqBgaHoUg"/>
    <s v="Julebstube"/>
    <s v="http://www.youtube.com/channel/UCN36iUXww9jexWYqBgaHoUg"/>
    <m/>
    <s v="wadBvDPeE4E"/>
    <s v="https://www.youtube.com/watch?v=wadBvDPeE4E"/>
    <s v="none"/>
    <n v="0"/>
    <x v="568"/>
    <d v="2021-12-16T13:02:08.000"/>
    <m/>
    <m/>
    <s v=""/>
    <n v="1"/>
    <s v="1"/>
    <s v="1"/>
    <n v="1"/>
    <n v="5.555555555555555"/>
    <n v="1"/>
    <n v="5.555555555555555"/>
    <n v="0"/>
    <n v="0"/>
    <n v="16"/>
    <n v="88.88888888888889"/>
    <n v="18"/>
  </r>
  <r>
    <s v="UCeCxGyTDldOY5LhiL42uT8A"/>
    <s v="UCvQECJukTDE2i6aCoMnS-Vg"/>
    <m/>
    <m/>
    <m/>
    <m/>
    <m/>
    <m/>
    <m/>
    <m/>
    <s v="No"/>
    <n v="573"/>
    <m/>
    <m/>
    <s v="Commented Video"/>
    <x v="0"/>
    <s v="“God is dead, because we killed him”&lt;br&gt;Nietzsche&lt;br&gt;“Nietzsche is dead, because God killed him” &lt;br&gt;God &lt;br&gt;🤣"/>
    <s v="UCeCxGyTDldOY5LhiL42uT8A"/>
    <s v="Carlos Penalver"/>
    <s v="http://www.youtube.com/channel/UCeCxGyTDldOY5LhiL42uT8A"/>
    <m/>
    <s v="wadBvDPeE4E"/>
    <s v="https://www.youtube.com/watch?v=wadBvDPeE4E"/>
    <s v="none"/>
    <n v="0"/>
    <x v="569"/>
    <d v="2021-12-18T03:52:23.000"/>
    <m/>
    <m/>
    <s v=""/>
    <n v="1"/>
    <s v="1"/>
    <s v="1"/>
    <n v="0"/>
    <n v="0"/>
    <n v="4"/>
    <n v="20"/>
    <n v="0"/>
    <n v="0"/>
    <n v="16"/>
    <n v="80"/>
    <n v="20"/>
  </r>
  <r>
    <s v="UCdPSS_W6YNaDo19-3iVE7Og"/>
    <s v="UCvQECJukTDE2i6aCoMnS-Vg"/>
    <m/>
    <m/>
    <m/>
    <m/>
    <m/>
    <m/>
    <m/>
    <m/>
    <s v="No"/>
    <n v="574"/>
    <m/>
    <m/>
    <s v="Commented Video"/>
    <x v="0"/>
    <s v="Still waiting to hear something on private and public , fantasy and reality, and they ways these aspects of the person have now blured in our pursuite of data. This lecture is based on the theory for these system, there&amp;#39;s nothing on the study of errors in this area. Practice is just assumed to match theory. Data is always assumed to reflect a world ordered on truth, where in reality data can and will be manipulated, falsely attributed. Data reflects our nature and can and will be deceptive. GIGO. Pity those on the other end of our drones."/>
    <s v="UCdPSS_W6YNaDo19-3iVE7Og"/>
    <s v="Chris Liddiard"/>
    <s v="http://www.youtube.com/channel/UCdPSS_W6YNaDo19-3iVE7Og"/>
    <m/>
    <s v="wadBvDPeE4E"/>
    <s v="https://www.youtube.com/watch?v=wadBvDPeE4E"/>
    <s v="none"/>
    <n v="0"/>
    <x v="570"/>
    <d v="2021-12-18T14:57:56.000"/>
    <m/>
    <m/>
    <s v=""/>
    <n v="1"/>
    <s v="1"/>
    <s v="1"/>
    <n v="0"/>
    <n v="0"/>
    <n v="5"/>
    <n v="5.05050505050505"/>
    <n v="0"/>
    <n v="0"/>
    <n v="94"/>
    <n v="94.94949494949495"/>
    <n v="99"/>
  </r>
  <r>
    <s v="UCuA3G-mWkyY3NsZ7bgy4Xyw"/>
    <s v="UCvQECJukTDE2i6aCoMnS-Vg"/>
    <m/>
    <m/>
    <m/>
    <m/>
    <m/>
    <m/>
    <m/>
    <m/>
    <s v="No"/>
    <n v="575"/>
    <m/>
    <m/>
    <s v="Commented Video"/>
    <x v="0"/>
    <s v="Dando Boura"/>
    <s v="UCuA3G-mWkyY3NsZ7bgy4Xyw"/>
    <s v="Tobias Kadachi"/>
    <s v="http://www.youtube.com/channel/UCuA3G-mWkyY3NsZ7bgy4Xyw"/>
    <m/>
    <s v="wadBvDPeE4E"/>
    <s v="https://www.youtube.com/watch?v=wadBvDPeE4E"/>
    <s v="none"/>
    <n v="2"/>
    <x v="571"/>
    <d v="2021-12-20T04:25:24.000"/>
    <m/>
    <m/>
    <s v=""/>
    <n v="1"/>
    <s v="1"/>
    <s v="1"/>
    <n v="0"/>
    <n v="0"/>
    <n v="0"/>
    <n v="0"/>
    <n v="0"/>
    <n v="0"/>
    <n v="2"/>
    <n v="100"/>
    <n v="2"/>
  </r>
  <r>
    <s v="UC7X7qkzqQNmra-HB0KrMQXA"/>
    <s v="UCvQECJukTDE2i6aCoMnS-Vg"/>
    <m/>
    <m/>
    <m/>
    <m/>
    <m/>
    <m/>
    <m/>
    <m/>
    <s v="No"/>
    <n v="576"/>
    <m/>
    <m/>
    <s v="Commented Video"/>
    <x v="0"/>
    <s v="Wow, this is really needed now in the time of Covid….&lt;br&gt;And how sad that no one cares enough to check on a man standing on a bridge, we are a callous bunch."/>
    <s v="UC7X7qkzqQNmra-HB0KrMQXA"/>
    <s v="HELENE"/>
    <s v="http://www.youtube.com/channel/UC7X7qkzqQNmra-HB0KrMQXA"/>
    <m/>
    <s v="wadBvDPeE4E"/>
    <s v="https://www.youtube.com/watch?v=wadBvDPeE4E"/>
    <s v="none"/>
    <n v="1"/>
    <x v="572"/>
    <d v="2021-12-20T05:29:47.000"/>
    <m/>
    <m/>
    <s v=""/>
    <n v="1"/>
    <s v="1"/>
    <s v="1"/>
    <n v="2"/>
    <n v="5.882352941176471"/>
    <n v="2"/>
    <n v="5.882352941176471"/>
    <n v="0"/>
    <n v="0"/>
    <n v="30"/>
    <n v="88.23529411764706"/>
    <n v="34"/>
  </r>
  <r>
    <s v="UCwPCR2Yp2n12JPO8lNKPX2w"/>
    <s v="UCvQECJukTDE2i6aCoMnS-Vg"/>
    <m/>
    <m/>
    <m/>
    <m/>
    <m/>
    <m/>
    <m/>
    <m/>
    <s v="No"/>
    <n v="577"/>
    <m/>
    <m/>
    <s v="Commented Video"/>
    <x v="0"/>
    <s v="To whoever came up with the idea of these talk, I thank you. These are amazing, knowledge filled videos on youtube for free, for anyone to see.  That&amp;#39;s absolutley amazing. Thank you for posting them."/>
    <s v="UCwPCR2Yp2n12JPO8lNKPX2w"/>
    <s v="Aubrey Stout"/>
    <s v="http://www.youtube.com/channel/UCwPCR2Yp2n12JPO8lNKPX2w"/>
    <m/>
    <s v="wadBvDPeE4E"/>
    <s v="https://www.youtube.com/watch?v=wadBvDPeE4E"/>
    <s v="none"/>
    <n v="2"/>
    <x v="573"/>
    <d v="2021-12-21T22:48:45.000"/>
    <m/>
    <m/>
    <s v=""/>
    <n v="1"/>
    <s v="1"/>
    <s v="1"/>
    <n v="5"/>
    <n v="13.513513513513514"/>
    <n v="0"/>
    <n v="0"/>
    <n v="0"/>
    <n v="0"/>
    <n v="32"/>
    <n v="86.48648648648648"/>
    <n v="37"/>
  </r>
  <r>
    <s v="UCPpFfdMH_Os5UBrLJPfL50w"/>
    <s v="UCvQECJukTDE2i6aCoMnS-Vg"/>
    <m/>
    <m/>
    <m/>
    <m/>
    <m/>
    <m/>
    <m/>
    <m/>
    <s v="No"/>
    <n v="578"/>
    <m/>
    <m/>
    <s v="Commented Video"/>
    <x v="0"/>
    <s v="retired surgeon, I only killed one person at a time this guy sounds like MAO  how did that work out Change on a colossal scale who are you MERLIN? No. Then do not apply your delusion is lethal."/>
    <s v="UCPpFfdMH_Os5UBrLJPfL50w"/>
    <s v="CPHSDC"/>
    <s v="http://www.youtube.com/channel/UCPpFfdMH_Os5UBrLJPfL50w"/>
    <m/>
    <s v="wadBvDPeE4E"/>
    <s v="https://www.youtube.com/watch?v=wadBvDPeE4E"/>
    <s v="none"/>
    <n v="0"/>
    <x v="574"/>
    <d v="2021-12-24T14:32:03.000"/>
    <m/>
    <m/>
    <s v=""/>
    <n v="1"/>
    <s v="1"/>
    <s v="1"/>
    <n v="2"/>
    <n v="5.2631578947368425"/>
    <n v="3"/>
    <n v="7.894736842105263"/>
    <n v="0"/>
    <n v="0"/>
    <n v="33"/>
    <n v="86.84210526315789"/>
    <n v="38"/>
  </r>
  <r>
    <s v="UCpfYPqoVlTEwB0O3zBgPvuQ"/>
    <s v="UCvQECJukTDE2i6aCoMnS-Vg"/>
    <m/>
    <m/>
    <m/>
    <m/>
    <m/>
    <m/>
    <m/>
    <m/>
    <s v="No"/>
    <n v="579"/>
    <m/>
    <m/>
    <s v="Commented Video"/>
    <x v="0"/>
    <s v="“I would cut class and go do surgery at the children’s hospital” &lt;br&gt;&lt;br&gt;Um that’s unsettling LOL"/>
    <s v="UCpfYPqoVlTEwB0O3zBgPvuQ"/>
    <s v="Rochelle Eldredge"/>
    <s v="http://www.youtube.com/channel/UCpfYPqoVlTEwB0O3zBgPvuQ"/>
    <m/>
    <s v="wadBvDPeE4E"/>
    <s v="https://www.youtube.com/watch?v=wadBvDPeE4E"/>
    <s v="none"/>
    <n v="0"/>
    <x v="575"/>
    <d v="2021-12-28T13:34:22.000"/>
    <m/>
    <m/>
    <s v=""/>
    <n v="1"/>
    <s v="1"/>
    <s v="1"/>
    <n v="0"/>
    <n v="0"/>
    <n v="1"/>
    <n v="5"/>
    <n v="0"/>
    <n v="0"/>
    <n v="19"/>
    <n v="95"/>
    <n v="20"/>
  </r>
  <r>
    <s v="UCuLu-c3l1tEUguLA5EnzGbQ"/>
    <s v="UCvQECJukTDE2i6aCoMnS-Vg"/>
    <m/>
    <m/>
    <m/>
    <m/>
    <m/>
    <m/>
    <m/>
    <m/>
    <s v="No"/>
    <n v="580"/>
    <m/>
    <m/>
    <s v="Commented Video"/>
    <x v="0"/>
    <s v="I hope this helps me build my own social network line, for the history books 📚 within mind."/>
    <s v="UCuLu-c3l1tEUguLA5EnzGbQ"/>
    <s v="MyBiPolarExperience"/>
    <s v="http://www.youtube.com/channel/UCuLu-c3l1tEUguLA5EnzGbQ"/>
    <m/>
    <s v="wadBvDPeE4E"/>
    <s v="https://www.youtube.com/watch?v=wadBvDPeE4E"/>
    <s v="none"/>
    <n v="0"/>
    <x v="576"/>
    <d v="2021-12-28T23:01:00.000"/>
    <m/>
    <m/>
    <s v=""/>
    <n v="1"/>
    <s v="1"/>
    <s v="1"/>
    <n v="0"/>
    <n v="0"/>
    <n v="0"/>
    <n v="0"/>
    <n v="0"/>
    <n v="0"/>
    <n v="17"/>
    <n v="100"/>
    <n v="17"/>
  </r>
  <r>
    <s v="UCstLkHpFmLnMF1gg8R1Cwgw"/>
    <s v="UCvQECJukTDE2i6aCoMnS-Vg"/>
    <m/>
    <m/>
    <m/>
    <m/>
    <m/>
    <m/>
    <m/>
    <m/>
    <s v="No"/>
    <n v="581"/>
    <m/>
    <m/>
    <s v="Commented Video"/>
    <x v="0"/>
    <s v="Yea people need to learn this"/>
    <s v="UCstLkHpFmLnMF1gg8R1Cwgw"/>
    <s v="Jonathan Jollimore"/>
    <s v="http://www.youtube.com/channel/UCstLkHpFmLnMF1gg8R1Cwgw"/>
    <m/>
    <s v="wadBvDPeE4E"/>
    <s v="https://www.youtube.com/watch?v=wadBvDPeE4E"/>
    <s v="none"/>
    <n v="0"/>
    <x v="577"/>
    <d v="2021-12-29T03:12:19.000"/>
    <m/>
    <m/>
    <s v=""/>
    <n v="1"/>
    <s v="1"/>
    <s v="1"/>
    <n v="0"/>
    <n v="0"/>
    <n v="0"/>
    <n v="0"/>
    <n v="0"/>
    <n v="0"/>
    <n v="6"/>
    <n v="100"/>
    <n v="6"/>
  </r>
  <r>
    <s v="UCDIE4nObtn_nqJ6AnSAOijg"/>
    <s v="UCvQECJukTDE2i6aCoMnS-Vg"/>
    <m/>
    <m/>
    <m/>
    <m/>
    <m/>
    <m/>
    <m/>
    <m/>
    <s v="No"/>
    <n v="582"/>
    <m/>
    <m/>
    <s v="Commented Video"/>
    <x v="0"/>
    <s v="1/1/2022, For obesity, Plot amounts of all forms of sugar in US food, starting with Richard Milhouse Nixon. Your obesity over time graph might make far more sense if you focused on a metabolic causal factor like blood glucose and insulin causing the body to store fat. See work by Dr. Lustig, UCSF.&lt;br&gt;A tree is not dead until you kill it. A forest with its mycelial undergrowth may be more sentient than you believe and far more valuable alive removing atmospheric CO2, than as cheap lumber.&lt;br&gt;What did Trumpism do to social capital from 2014 to 1/6/2020?&lt;br&gt;Public Good is hardly ever an accident. Most Public Good was intentional in its fabrication and took a grea deal of work to actualize.&lt;br&gt;Your social monitoring helicopters developed into the social tyranny of cell phones and 24/7/365 monitoring destroying personal privacy and agency because no ethics were ever applied, just like the absence of saftey nets on the Golden Gate Bridge.&lt;br&gt;What people need to understand is how greed and pervasive capitalism are destroying ecosystems all over the planet and threatening all life on it. &lt;br&gt;Natural resources have inherent value in their own existance prior to their destruction or modification for capital gains.&lt;br&gt;Nicholas, you are a very bright man but some of your core assumptions shock me."/>
    <s v="UCDIE4nObtn_nqJ6AnSAOijg"/>
    <s v="Marjohn's Musings"/>
    <s v="http://www.youtube.com/channel/UCDIE4nObtn_nqJ6AnSAOijg"/>
    <m/>
    <s v="wadBvDPeE4E"/>
    <s v="https://www.youtube.com/watch?v=wadBvDPeE4E"/>
    <s v="none"/>
    <n v="0"/>
    <x v="578"/>
    <d v="2022-01-02T00:47:44.000"/>
    <m/>
    <m/>
    <s v=""/>
    <n v="1"/>
    <s v="1"/>
    <s v="1"/>
    <n v="10"/>
    <n v="4.3478260869565215"/>
    <n v="13"/>
    <n v="5.6521739130434785"/>
    <n v="0"/>
    <n v="0"/>
    <n v="207"/>
    <n v="90"/>
    <n v="230"/>
  </r>
  <r>
    <s v="UCpd5AQ6E9NR3G4EfHRyaB9w"/>
    <s v="UCvQECJukTDE2i6aCoMnS-Vg"/>
    <m/>
    <m/>
    <m/>
    <m/>
    <m/>
    <m/>
    <m/>
    <m/>
    <s v="No"/>
    <n v="583"/>
    <m/>
    <m/>
    <s v="Commented Video"/>
    <x v="0"/>
    <s v="Damn"/>
    <s v="UCpd5AQ6E9NR3G4EfHRyaB9w"/>
    <s v="Polymorphic Doombooger"/>
    <s v="http://www.youtube.com/channel/UCpd5AQ6E9NR3G4EfHRyaB9w"/>
    <m/>
    <s v="wadBvDPeE4E"/>
    <s v="https://www.youtube.com/watch?v=wadBvDPeE4E"/>
    <s v="none"/>
    <n v="0"/>
    <x v="579"/>
    <d v="2022-01-02T02:49:26.000"/>
    <m/>
    <m/>
    <s v=""/>
    <n v="1"/>
    <s v="1"/>
    <s v="1"/>
    <n v="0"/>
    <n v="0"/>
    <n v="1"/>
    <n v="100"/>
    <n v="0"/>
    <n v="0"/>
    <n v="0"/>
    <n v="0"/>
    <n v="1"/>
  </r>
  <r>
    <s v="UCwkW3Xy5eamGPKnyIdSyEMg"/>
    <s v="UCvQECJukTDE2i6aCoMnS-Vg"/>
    <m/>
    <m/>
    <m/>
    <m/>
    <m/>
    <m/>
    <m/>
    <m/>
    <s v="No"/>
    <n v="584"/>
    <m/>
    <m/>
    <s v="Commented Video"/>
    <x v="0"/>
    <s v="If there is any right at all in this world,it is the right to take your own life away.society or government have no right to prevent you from exercising your fundamental right to own your own life.and if there is God,still that is between you and him,and if there is no God than it is ultimatelly your own making..neverthless, it is not government job to tell you what should you do with your own life..right for life,liberty and property..does anybody remember that this days?"/>
    <s v="UCwkW3Xy5eamGPKnyIdSyEMg"/>
    <s v="Luka Radojevic"/>
    <s v="http://www.youtube.com/channel/UCwkW3Xy5eamGPKnyIdSyEMg"/>
    <m/>
    <s v="wadBvDPeE4E"/>
    <s v="https://www.youtube.com/watch?v=wadBvDPeE4E"/>
    <s v="none"/>
    <n v="0"/>
    <x v="580"/>
    <d v="2022-01-02T17:29:33.000"/>
    <m/>
    <m/>
    <s v=""/>
    <n v="1"/>
    <s v="1"/>
    <s v="1"/>
    <n v="6"/>
    <n v="6.451612903225806"/>
    <n v="0"/>
    <n v="0"/>
    <n v="0"/>
    <n v="0"/>
    <n v="87"/>
    <n v="93.54838709677419"/>
    <n v="93"/>
  </r>
  <r>
    <s v="UCRcd6UqY4rydW00AIWLX8SA"/>
    <s v="UCvQECJukTDE2i6aCoMnS-Vg"/>
    <m/>
    <m/>
    <m/>
    <m/>
    <m/>
    <m/>
    <m/>
    <m/>
    <s v="No"/>
    <n v="585"/>
    <m/>
    <m/>
    <s v="Commented Video"/>
    <x v="0"/>
    <s v="Thanks for only fans guys. They wouldn&amp;#39;t have made it without you."/>
    <s v="UCRcd6UqY4rydW00AIWLX8SA"/>
    <s v="Senzu Bean"/>
    <s v="http://www.youtube.com/channel/UCRcd6UqY4rydW00AIWLX8SA"/>
    <m/>
    <s v="wadBvDPeE4E"/>
    <s v="https://www.youtube.com/watch?v=wadBvDPeE4E"/>
    <s v="none"/>
    <n v="0"/>
    <x v="581"/>
    <d v="2022-01-03T16:19:59.000"/>
    <m/>
    <m/>
    <s v=""/>
    <n v="1"/>
    <s v="1"/>
    <s v="1"/>
    <n v="1"/>
    <n v="7.142857142857143"/>
    <n v="0"/>
    <n v="0"/>
    <n v="0"/>
    <n v="0"/>
    <n v="13"/>
    <n v="92.85714285714286"/>
    <n v="14"/>
  </r>
  <r>
    <s v="UCX0bE8mKUvuaeANFHT3oTzg"/>
    <s v="UCvQECJukTDE2i6aCoMnS-Vg"/>
    <m/>
    <m/>
    <m/>
    <m/>
    <m/>
    <m/>
    <m/>
    <m/>
    <s v="No"/>
    <n v="586"/>
    <m/>
    <m/>
    <s v="Commented Video"/>
    <x v="0"/>
    <s v="I&amp;#39;m surprised there aren&amp;#39;t more comments. It makes me think we have a long way to go. Social responsibility takes a lot of extra energy when you think about it. I constantly  make decisions on who to connect with and who to ignore ."/>
    <s v="UCX0bE8mKUvuaeANFHT3oTzg"/>
    <s v="A_Greg"/>
    <s v="http://www.youtube.com/channel/UCX0bE8mKUvuaeANFHT3oTzg"/>
    <m/>
    <s v="wadBvDPeE4E"/>
    <s v="https://www.youtube.com/watch?v=wadBvDPeE4E"/>
    <s v="none"/>
    <n v="0"/>
    <x v="582"/>
    <d v="2022-01-19T15:02:38.000"/>
    <m/>
    <m/>
    <s v=""/>
    <n v="1"/>
    <s v="1"/>
    <s v="1"/>
    <n v="0"/>
    <n v="0"/>
    <n v="1"/>
    <n v="2.127659574468085"/>
    <n v="0"/>
    <n v="0"/>
    <n v="46"/>
    <n v="97.87234042553192"/>
    <n v="47"/>
  </r>
  <r>
    <s v="UC5-EFY8q_zKzSqK_ENoEI7g"/>
    <s v="UCvQECJukTDE2i6aCoMnS-Vg"/>
    <m/>
    <m/>
    <m/>
    <m/>
    <m/>
    <m/>
    <m/>
    <m/>
    <s v="No"/>
    <n v="587"/>
    <m/>
    <m/>
    <s v="Commented Video"/>
    <x v="0"/>
    <s v="I would say this is a great topic, most individuals if they had someone to talk to and just cared at that acute time I believe might be enough."/>
    <s v="UC5-EFY8q_zKzSqK_ENoEI7g"/>
    <s v="🔅♥️ups ty"/>
    <s v="http://www.youtube.com/channel/UC5-EFY8q_zKzSqK_ENoEI7g"/>
    <m/>
    <s v="wadBvDPeE4E"/>
    <s v="https://www.youtube.com/watch?v=wadBvDPeE4E"/>
    <s v="none"/>
    <n v="0"/>
    <x v="583"/>
    <d v="2022-01-23T06:11:33.000"/>
    <m/>
    <m/>
    <s v=""/>
    <n v="1"/>
    <s v="1"/>
    <s v="1"/>
    <n v="2"/>
    <n v="6.896551724137931"/>
    <n v="0"/>
    <n v="0"/>
    <n v="0"/>
    <n v="0"/>
    <n v="27"/>
    <n v="93.10344827586206"/>
    <n v="29"/>
  </r>
  <r>
    <s v="UC1yYSZzrlCEPm3mH74t3H6g"/>
    <s v="UCvQECJukTDE2i6aCoMnS-Vg"/>
    <m/>
    <m/>
    <m/>
    <m/>
    <m/>
    <m/>
    <m/>
    <m/>
    <s v="No"/>
    <n v="588"/>
    <m/>
    <m/>
    <s v="Commented Video"/>
    <x v="0"/>
    <s v="💎"/>
    <s v="UC1yYSZzrlCEPm3mH74t3H6g"/>
    <s v="Johan Claure C."/>
    <s v="http://www.youtube.com/channel/UC1yYSZzrlCEPm3mH74t3H6g"/>
    <m/>
    <s v="wadBvDPeE4E"/>
    <s v="https://www.youtube.com/watch?v=wadBvDPeE4E"/>
    <s v="none"/>
    <n v="0"/>
    <x v="584"/>
    <d v="2022-01-26T05:15:22.000"/>
    <m/>
    <m/>
    <s v=""/>
    <n v="1"/>
    <s v="1"/>
    <s v="1"/>
    <n v="0"/>
    <n v="0"/>
    <n v="0"/>
    <n v="0"/>
    <n v="0"/>
    <n v="0"/>
    <n v="0"/>
    <n v="0"/>
    <n v="0"/>
  </r>
  <r>
    <s v="UCeByvlHB4vBprM5D_4oAt3A"/>
    <s v="UCjt77vzlNNBTd3CoLx-gyOg"/>
    <m/>
    <m/>
    <m/>
    <m/>
    <m/>
    <m/>
    <m/>
    <m/>
    <s v="No"/>
    <n v="589"/>
    <m/>
    <m/>
    <s v="Replied Comment"/>
    <x v="1"/>
    <s v="That&amp;#39;s literally what the scientific method is. You start with your idea and then you seek to conduct research and collect evidence that would hopefully prove you right, but sometimes it doesn&amp;#39;t. He admits that their initial hypothesis was incorrect once they analyzed the data, that&amp;#39;s not assuming a predetermined reality."/>
    <s v="UCeByvlHB4vBprM5D_4oAt3A"/>
    <s v="James Powers"/>
    <s v="http://www.youtube.com/channel/UCeByvlHB4vBprM5D_4oAt3A"/>
    <s v="UgyV0Q63gnmeluZDGOp4AaABAg"/>
    <s v="wadBvDPeE4E"/>
    <s v="https://www.youtube.com/watch?v=wadBvDPeE4E"/>
    <s v="none"/>
    <n v="0"/>
    <x v="585"/>
    <d v="2022-05-02T17:18:28.000"/>
    <m/>
    <m/>
    <s v=""/>
    <n v="1"/>
    <s v="14"/>
    <s v="14"/>
    <n v="1"/>
    <n v="1.7543859649122806"/>
    <n v="1"/>
    <n v="1.7543859649122806"/>
    <n v="0"/>
    <n v="0"/>
    <n v="55"/>
    <n v="96.49122807017544"/>
    <n v="57"/>
  </r>
  <r>
    <s v="UCjt77vzlNNBTd3CoLx-gyOg"/>
    <s v="UCvQECJukTDE2i6aCoMnS-Vg"/>
    <m/>
    <m/>
    <m/>
    <m/>
    <m/>
    <m/>
    <m/>
    <m/>
    <s v="No"/>
    <n v="590"/>
    <m/>
    <m/>
    <s v="Commented Video"/>
    <x v="0"/>
    <s v="Can you explain to us how this does not include significant P-Hacking?"/>
    <s v="UCjt77vzlNNBTd3CoLx-gyOg"/>
    <s v="Michael Gustavson"/>
    <s v="http://www.youtube.com/channel/UCjt77vzlNNBTd3CoLx-gyOg"/>
    <m/>
    <s v="wadBvDPeE4E"/>
    <s v="https://www.youtube.com/watch?v=wadBvDPeE4E"/>
    <s v="none"/>
    <n v="0"/>
    <x v="586"/>
    <d v="2022-01-28T00:36:44.000"/>
    <m/>
    <m/>
    <s v=""/>
    <n v="2"/>
    <s v="14"/>
    <s v="1"/>
    <n v="1"/>
    <n v="7.6923076923076925"/>
    <n v="0"/>
    <n v="0"/>
    <n v="0"/>
    <n v="0"/>
    <n v="12"/>
    <n v="92.3076923076923"/>
    <n v="13"/>
  </r>
  <r>
    <s v="UCjt77vzlNNBTd3CoLx-gyOg"/>
    <s v="UCjt77vzlNNBTd3CoLx-gyOg"/>
    <m/>
    <m/>
    <m/>
    <m/>
    <m/>
    <m/>
    <m/>
    <m/>
    <s v="No"/>
    <n v="591"/>
    <m/>
    <m/>
    <s v="Replied Comment"/>
    <x v="1"/>
    <s v="@James Powers I think science is more like observation, measurement, pattern recognition, repeat...  If you start getting &amp;quot;ideas,&amp;quot; then you are off into science fiction rather than science."/>
    <s v="UCjt77vzlNNBTd3CoLx-gyOg"/>
    <s v="Michael Gustavson"/>
    <s v="http://www.youtube.com/channel/UCjt77vzlNNBTd3CoLx-gyOg"/>
    <s v="UgyV0Q63gnmeluZDGOp4AaABAg"/>
    <s v="wadBvDPeE4E"/>
    <s v="https://www.youtube.com/watch?v=wadBvDPeE4E"/>
    <s v="none"/>
    <n v="0"/>
    <x v="587"/>
    <d v="2022-05-05T22:55:25.000"/>
    <m/>
    <m/>
    <s v=""/>
    <n v="1"/>
    <s v="14"/>
    <s v="14"/>
    <n v="1"/>
    <n v="3.3333333333333335"/>
    <n v="1"/>
    <n v="3.3333333333333335"/>
    <n v="0"/>
    <n v="0"/>
    <n v="28"/>
    <n v="93.33333333333333"/>
    <n v="30"/>
  </r>
  <r>
    <s v="UCjt77vzlNNBTd3CoLx-gyOg"/>
    <s v="UCvQECJukTDE2i6aCoMnS-Vg"/>
    <m/>
    <m/>
    <m/>
    <m/>
    <m/>
    <m/>
    <m/>
    <m/>
    <s v="No"/>
    <n v="592"/>
    <m/>
    <m/>
    <s v="Commented Video"/>
    <x v="0"/>
    <s v="This started out with a statement that they were &amp;quot;searching for evidence that would prove...&amp;quot;  &amp;quot;Searching for evidence of something&amp;quot; doesn&amp;#39;t sound like the scientific method.  It seems to have a motive.  I agree with Americans losing weight for health reasons, but explain how this follows the scientific method and does not assume a pre-determined reality."/>
    <s v="UCjt77vzlNNBTd3CoLx-gyOg"/>
    <s v="Michael Gustavson"/>
    <s v="http://www.youtube.com/channel/UCjt77vzlNNBTd3CoLx-gyOg"/>
    <m/>
    <s v="wadBvDPeE4E"/>
    <s v="https://www.youtube.com/watch?v=wadBvDPeE4E"/>
    <s v="none"/>
    <n v="0"/>
    <x v="588"/>
    <d v="2022-01-28T00:43:03.000"/>
    <m/>
    <m/>
    <s v=""/>
    <n v="2"/>
    <s v="14"/>
    <s v="1"/>
    <n v="1"/>
    <n v="1.5873015873015872"/>
    <n v="1"/>
    <n v="1.5873015873015872"/>
    <n v="0"/>
    <n v="0"/>
    <n v="61"/>
    <n v="96.82539682539682"/>
    <n v="63"/>
  </r>
  <r>
    <s v="UCH4RfcM_vm4NN8BjeBgXCrg"/>
    <s v="UCvQECJukTDE2i6aCoMnS-Vg"/>
    <m/>
    <m/>
    <m/>
    <m/>
    <m/>
    <m/>
    <m/>
    <m/>
    <s v="No"/>
    <n v="593"/>
    <m/>
    <m/>
    <s v="Commented Video"/>
    <x v="0"/>
    <s v="&lt;a href=&quot;https://www.youtube.com/watch?v=wadBvDPeE4E&amp;amp;t=39m15s&quot;&gt;39:15&lt;/a&gt; how to use slime mold to determine the best routing for railways in England."/>
    <s v="UCH4RfcM_vm4NN8BjeBgXCrg"/>
    <s v="John Wasinger"/>
    <s v="http://www.youtube.com/channel/UCH4RfcM_vm4NN8BjeBgXCrg"/>
    <m/>
    <s v="wadBvDPeE4E"/>
    <s v="https://www.youtube.com/watch?v=wadBvDPeE4E"/>
    <s v="none"/>
    <n v="0"/>
    <x v="589"/>
    <d v="2022-01-29T23:51:45.000"/>
    <s v=" https://www.youtube.com/watch?v=wadBvDPeE4E&amp;amp;t=39m15s"/>
    <s v="youtube.com"/>
    <s v=""/>
    <n v="1"/>
    <s v="1"/>
    <s v="1"/>
    <n v="1"/>
    <n v="3.4482758620689653"/>
    <n v="1"/>
    <n v="3.4482758620689653"/>
    <n v="0"/>
    <n v="0"/>
    <n v="27"/>
    <n v="93.10344827586206"/>
    <n v="29"/>
  </r>
  <r>
    <s v="UCWIyHlLDLM7SLBKwmVcRK9w"/>
    <s v="UCvQECJukTDE2i6aCoMnS-Vg"/>
    <m/>
    <m/>
    <m/>
    <m/>
    <m/>
    <m/>
    <m/>
    <m/>
    <s v="No"/>
    <n v="594"/>
    <m/>
    <m/>
    <s v="Commented Video"/>
    <x v="0"/>
    <s v="Apt for COVID times"/>
    <s v="UCWIyHlLDLM7SLBKwmVcRK9w"/>
    <s v="TheHashian"/>
    <s v="http://www.youtube.com/channel/UCWIyHlLDLM7SLBKwmVcRK9w"/>
    <m/>
    <s v="wadBvDPeE4E"/>
    <s v="https://www.youtube.com/watch?v=wadBvDPeE4E"/>
    <s v="none"/>
    <n v="0"/>
    <x v="590"/>
    <d v="2022-02-08T12:05:16.000"/>
    <m/>
    <m/>
    <s v=""/>
    <n v="1"/>
    <s v="1"/>
    <s v="1"/>
    <n v="0"/>
    <n v="0"/>
    <n v="0"/>
    <n v="0"/>
    <n v="0"/>
    <n v="0"/>
    <n v="4"/>
    <n v="100"/>
    <n v="4"/>
  </r>
  <r>
    <s v="UC66x2x2MlwIWi_wI4429K8g"/>
    <s v="UCvQECJukTDE2i6aCoMnS-Vg"/>
    <m/>
    <m/>
    <m/>
    <m/>
    <m/>
    <m/>
    <m/>
    <m/>
    <s v="No"/>
    <n v="595"/>
    <m/>
    <m/>
    <s v="Commented Video"/>
    <x v="0"/>
    <s v="the way he reads those suicide notes is eerie"/>
    <s v="UC66x2x2MlwIWi_wI4429K8g"/>
    <s v="enter."/>
    <s v="http://www.youtube.com/channel/UC66x2x2MlwIWi_wI4429K8g"/>
    <m/>
    <s v="wadBvDPeE4E"/>
    <s v="https://www.youtube.com/watch?v=wadBvDPeE4E"/>
    <s v="none"/>
    <n v="0"/>
    <x v="591"/>
    <d v="2022-02-08T16:04:53.000"/>
    <m/>
    <m/>
    <s v=""/>
    <n v="1"/>
    <s v="1"/>
    <s v="1"/>
    <n v="0"/>
    <n v="0"/>
    <n v="1"/>
    <n v="11.11111111111111"/>
    <n v="0"/>
    <n v="0"/>
    <n v="8"/>
    <n v="88.88888888888889"/>
    <n v="9"/>
  </r>
  <r>
    <s v="UCHA9J_ssmzA2G3eSrDCZ3MQ"/>
    <s v="UCvQECJukTDE2i6aCoMnS-Vg"/>
    <m/>
    <m/>
    <m/>
    <m/>
    <m/>
    <m/>
    <m/>
    <m/>
    <s v="No"/>
    <n v="596"/>
    <m/>
    <m/>
    <s v="Commented Video"/>
    <x v="0"/>
    <s v="YOU ARE BRILLIANT. THANK YOU FOR SHARING."/>
    <s v="UCHA9J_ssmzA2G3eSrDCZ3MQ"/>
    <s v="Amazing Hero Art"/>
    <s v="http://www.youtube.com/channel/UCHA9J_ssmzA2G3eSrDCZ3MQ"/>
    <m/>
    <s v="wadBvDPeE4E"/>
    <s v="https://www.youtube.com/watch?v=wadBvDPeE4E"/>
    <s v="none"/>
    <n v="0"/>
    <x v="592"/>
    <d v="2022-02-09T14:21:40.000"/>
    <m/>
    <m/>
    <s v=""/>
    <n v="1"/>
    <s v="1"/>
    <s v="1"/>
    <n v="2"/>
    <n v="28.571428571428573"/>
    <n v="0"/>
    <n v="0"/>
    <n v="0"/>
    <n v="0"/>
    <n v="5"/>
    <n v="71.42857142857143"/>
    <n v="7"/>
  </r>
  <r>
    <s v="UCPVkkumCndZboahNYXKfMiA"/>
    <s v="UCvQECJukTDE2i6aCoMnS-Vg"/>
    <m/>
    <m/>
    <m/>
    <m/>
    <m/>
    <m/>
    <m/>
    <m/>
    <s v="No"/>
    <n v="597"/>
    <m/>
    <m/>
    <s v="Commented Video"/>
    <x v="0"/>
    <s v="Video start at &lt;a href=&quot;https://www.youtube.com/watch?v=wadBvDPeE4E&amp;amp;t=16m00s&quot;&gt;16:00&lt;/a&gt;"/>
    <s v="UCPVkkumCndZboahNYXKfMiA"/>
    <s v="Fadhly El-Shirazy"/>
    <s v="http://www.youtube.com/channel/UCPVkkumCndZboahNYXKfMiA"/>
    <m/>
    <s v="wadBvDPeE4E"/>
    <s v="https://www.youtube.com/watch?v=wadBvDPeE4E"/>
    <s v="none"/>
    <n v="0"/>
    <x v="593"/>
    <d v="2022-02-10T19:16:52.000"/>
    <s v=" https://www.youtube.com/watch?v=wadBvDPeE4E&amp;amp;t=16m00s"/>
    <s v="youtube.com"/>
    <s v=""/>
    <n v="1"/>
    <s v="1"/>
    <s v="1"/>
    <n v="0"/>
    <n v="0"/>
    <n v="0"/>
    <n v="0"/>
    <n v="0"/>
    <n v="0"/>
    <n v="18"/>
    <n v="100"/>
    <n v="18"/>
  </r>
  <r>
    <s v="UCNMedR2qj7QNsV6Ofy6fqLQ"/>
    <s v="UCvQECJukTDE2i6aCoMnS-Vg"/>
    <m/>
    <m/>
    <m/>
    <m/>
    <m/>
    <m/>
    <m/>
    <m/>
    <s v="No"/>
    <n v="598"/>
    <m/>
    <m/>
    <s v="Commented Video"/>
    <x v="0"/>
    <s v="I should&amp;#39;ve studied sociology"/>
    <s v="UCNMedR2qj7QNsV6Ofy6fqLQ"/>
    <s v="well. . ."/>
    <s v="http://www.youtube.com/channel/UCNMedR2qj7QNsV6Ofy6fqLQ"/>
    <m/>
    <s v="wadBvDPeE4E"/>
    <s v="https://www.youtube.com/watch?v=wadBvDPeE4E"/>
    <s v="none"/>
    <n v="0"/>
    <x v="594"/>
    <d v="2022-03-03T10:05:13.000"/>
    <m/>
    <m/>
    <s v=""/>
    <n v="1"/>
    <s v="1"/>
    <s v="1"/>
    <n v="0"/>
    <n v="0"/>
    <n v="0"/>
    <n v="0"/>
    <n v="0"/>
    <n v="0"/>
    <n v="6"/>
    <n v="100"/>
    <n v="6"/>
  </r>
  <r>
    <s v="UCp2NneZubdLqDXKhxJar7_Q"/>
    <s v="UCvQECJukTDE2i6aCoMnS-Vg"/>
    <m/>
    <m/>
    <m/>
    <m/>
    <m/>
    <m/>
    <m/>
    <m/>
    <s v="No"/>
    <n v="599"/>
    <m/>
    <m/>
    <s v="Commented Video"/>
    <x v="0"/>
    <s v="I can’t stand this evil taboo on suicide. If someone’s life is so hellish that they choose to end it:stuff your judgement. In Religion, they told us God forgives every other evil, Hitler, satan, whoever, BUtT NOT a suicide… because you can be forgiven for anything BEFORE you die, but, 0.00001 seconds later it’s too late to be forgiven; even thought you are the exact same person AFTeR you die l for all eternity&lt;br&gt;Also, you can drink and drive, join the army, eat til you’re obese, BUTT, it’s not suicide unless life has been so unbearable that you jump off a bridge&lt;br&gt;LEAVE THE BRIDGE ALONE! Suicide prevention should be preventative! Not evil and authoritarian &lt;br&gt;I.E. / E. G. : Outlaw Alcohol and Prescription Heroin products . All lives Improve/ suicide rates drop…"/>
    <s v="UCp2NneZubdLqDXKhxJar7_Q"/>
    <s v="Peter Welsh"/>
    <s v="http://www.youtube.com/channel/UCp2NneZubdLqDXKhxJar7_Q"/>
    <m/>
    <s v="wadBvDPeE4E"/>
    <s v="https://www.youtube.com/watch?v=wadBvDPeE4E"/>
    <s v="none"/>
    <n v="0"/>
    <x v="595"/>
    <d v="2022-03-18T01:05:03.000"/>
    <m/>
    <m/>
    <s v=""/>
    <n v="1"/>
    <s v="1"/>
    <s v="1"/>
    <n v="1"/>
    <n v="0.704225352112676"/>
    <n v="15"/>
    <n v="10.56338028169014"/>
    <n v="0"/>
    <n v="0"/>
    <n v="126"/>
    <n v="88.73239436619718"/>
    <n v="142"/>
  </r>
  <r>
    <s v="UC9GSZMvA8kMBn__1GNk8JTA"/>
    <s v="UCvQECJukTDE2i6aCoMnS-Vg"/>
    <m/>
    <m/>
    <m/>
    <m/>
    <m/>
    <m/>
    <m/>
    <m/>
    <s v="No"/>
    <n v="600"/>
    <m/>
    <m/>
    <s v="Commented Video"/>
    <x v="0"/>
    <s v="memes"/>
    <s v="UC9GSZMvA8kMBn__1GNk8JTA"/>
    <s v="William Lewis"/>
    <s v="http://www.youtube.com/channel/UC9GSZMvA8kMBn__1GNk8JTA"/>
    <m/>
    <s v="wadBvDPeE4E"/>
    <s v="https://www.youtube.com/watch?v=wadBvDPeE4E"/>
    <s v="none"/>
    <n v="0"/>
    <x v="596"/>
    <d v="2022-04-06T10:25:14.000"/>
    <m/>
    <m/>
    <s v=""/>
    <n v="4"/>
    <s v="1"/>
    <s v="1"/>
    <n v="0"/>
    <n v="0"/>
    <n v="0"/>
    <n v="0"/>
    <n v="0"/>
    <n v="0"/>
    <n v="1"/>
    <n v="100"/>
    <n v="1"/>
  </r>
  <r>
    <s v="UC9GSZMvA8kMBn__1GNk8JTA"/>
    <s v="UCvQECJukTDE2i6aCoMnS-Vg"/>
    <m/>
    <m/>
    <m/>
    <m/>
    <m/>
    <m/>
    <m/>
    <m/>
    <s v="No"/>
    <n v="601"/>
    <m/>
    <m/>
    <s v="Commented Video"/>
    <x v="0"/>
    <s v="good lecture , well presented research"/>
    <s v="UC9GSZMvA8kMBn__1GNk8JTA"/>
    <s v="William Lewis"/>
    <s v="http://www.youtube.com/channel/UC9GSZMvA8kMBn__1GNk8JTA"/>
    <m/>
    <s v="wadBvDPeE4E"/>
    <s v="https://www.youtube.com/watch?v=wadBvDPeE4E"/>
    <s v="none"/>
    <n v="0"/>
    <x v="597"/>
    <d v="2022-04-06T10:26:55.000"/>
    <m/>
    <m/>
    <s v=""/>
    <n v="4"/>
    <s v="1"/>
    <s v="1"/>
    <n v="2"/>
    <n v="40"/>
    <n v="0"/>
    <n v="0"/>
    <n v="0"/>
    <n v="0"/>
    <n v="3"/>
    <n v="60"/>
    <n v="5"/>
  </r>
  <r>
    <s v="UC9GSZMvA8kMBn__1GNk8JTA"/>
    <s v="UCvQECJukTDE2i6aCoMnS-Vg"/>
    <m/>
    <m/>
    <m/>
    <m/>
    <m/>
    <m/>
    <m/>
    <m/>
    <s v="No"/>
    <n v="602"/>
    <m/>
    <m/>
    <s v="Commented Video"/>
    <x v="0"/>
    <s v="That is not what &amp;quot;transitivity&amp;quot; is ."/>
    <s v="UC9GSZMvA8kMBn__1GNk8JTA"/>
    <s v="William Lewis"/>
    <s v="http://www.youtube.com/channel/UC9GSZMvA8kMBn__1GNk8JTA"/>
    <m/>
    <s v="wadBvDPeE4E"/>
    <s v="https://www.youtube.com/watch?v=wadBvDPeE4E"/>
    <s v="none"/>
    <n v="0"/>
    <x v="598"/>
    <d v="2022-04-06T10:30:21.000"/>
    <m/>
    <m/>
    <s v=""/>
    <n v="4"/>
    <s v="1"/>
    <s v="1"/>
    <n v="0"/>
    <n v="0"/>
    <n v="0"/>
    <n v="0"/>
    <n v="0"/>
    <n v="0"/>
    <n v="8"/>
    <n v="100"/>
    <n v="8"/>
  </r>
  <r>
    <s v="UC9GSZMvA8kMBn__1GNk8JTA"/>
    <s v="UCvQECJukTDE2i6aCoMnS-Vg"/>
    <m/>
    <m/>
    <m/>
    <m/>
    <m/>
    <m/>
    <m/>
    <m/>
    <s v="No"/>
    <n v="603"/>
    <m/>
    <m/>
    <s v="Commented Video"/>
    <x v="0"/>
    <s v="I was wrong ; this was not fully researched . You have not learned the proper denotative definitions of the vocabulary words used by the mathematicians and sociologists who originated those definitions ."/>
    <s v="UC9GSZMvA8kMBn__1GNk8JTA"/>
    <s v="William Lewis"/>
    <s v="http://www.youtube.com/channel/UC9GSZMvA8kMBn__1GNk8JTA"/>
    <m/>
    <s v="wadBvDPeE4E"/>
    <s v="https://www.youtube.com/watch?v=wadBvDPeE4E"/>
    <s v="none"/>
    <n v="0"/>
    <x v="599"/>
    <d v="2022-04-06T10:54:47.000"/>
    <m/>
    <m/>
    <s v=""/>
    <n v="4"/>
    <s v="1"/>
    <s v="1"/>
    <n v="1"/>
    <n v="3.3333333333333335"/>
    <n v="1"/>
    <n v="3.3333333333333335"/>
    <n v="0"/>
    <n v="0"/>
    <n v="28"/>
    <n v="93.33333333333333"/>
    <n v="30"/>
  </r>
  <r>
    <s v="UClaqWbGvrbzjoGbt2qlvk-g"/>
    <s v="UCvQECJukTDE2i6aCoMnS-Vg"/>
    <m/>
    <m/>
    <m/>
    <m/>
    <m/>
    <m/>
    <m/>
    <m/>
    <s v="No"/>
    <n v="604"/>
    <m/>
    <m/>
    <s v="Commented Video"/>
    <x v="0"/>
    <s v="That&amp;#39;s not England that&amp;#39;s Great Britain."/>
    <s v="UClaqWbGvrbzjoGbt2qlvk-g"/>
    <s v="Brigit Pimm"/>
    <s v="http://www.youtube.com/channel/UClaqWbGvrbzjoGbt2qlvk-g"/>
    <m/>
    <s v="wadBvDPeE4E"/>
    <s v="https://www.youtube.com/watch?v=wadBvDPeE4E"/>
    <s v="none"/>
    <n v="0"/>
    <x v="600"/>
    <d v="2022-04-14T12:58:05.000"/>
    <m/>
    <m/>
    <s v=""/>
    <n v="1"/>
    <s v="1"/>
    <s v="1"/>
    <n v="1"/>
    <n v="10"/>
    <n v="0"/>
    <n v="0"/>
    <n v="0"/>
    <n v="0"/>
    <n v="9"/>
    <n v="90"/>
    <n v="10"/>
  </r>
  <r>
    <s v="UCr3JXuoyBMQ6MqbtXojBJeQ"/>
    <s v="UCvQECJukTDE2i6aCoMnS-Vg"/>
    <m/>
    <m/>
    <m/>
    <m/>
    <m/>
    <m/>
    <m/>
    <m/>
    <s v="No"/>
    <n v="605"/>
    <m/>
    <m/>
    <s v="Commented Video"/>
    <x v="0"/>
    <s v="Interesting"/>
    <s v="UCr3JXuoyBMQ6MqbtXojBJeQ"/>
    <s v="Martin Aranda"/>
    <s v="http://www.youtube.com/channel/UCr3JXuoyBMQ6MqbtXojBJeQ"/>
    <m/>
    <s v="wadBvDPeE4E"/>
    <s v="https://www.youtube.com/watch?v=wadBvDPeE4E"/>
    <s v="none"/>
    <n v="0"/>
    <x v="601"/>
    <d v="2022-04-24T02:11:17.000"/>
    <m/>
    <m/>
    <s v=""/>
    <n v="1"/>
    <s v="1"/>
    <s v="1"/>
    <n v="1"/>
    <n v="100"/>
    <n v="0"/>
    <n v="0"/>
    <n v="0"/>
    <n v="0"/>
    <n v="0"/>
    <n v="0"/>
    <n v="1"/>
  </r>
  <r>
    <s v="UCacB5Aq-7GT6MlxP_u729vA"/>
    <s v="UCvQECJukTDE2i6aCoMnS-Vg"/>
    <m/>
    <m/>
    <m/>
    <m/>
    <m/>
    <m/>
    <m/>
    <m/>
    <s v="No"/>
    <n v="606"/>
    <m/>
    <m/>
    <s v="Commented Video"/>
    <x v="0"/>
    <s v="Sheep all wear ripped jeans and now everyone has tattoos 🤣😂🤣😂&lt;br&gt;And the feel cool and rebellious.🤣😂🤣"/>
    <s v="UCacB5Aq-7GT6MlxP_u729vA"/>
    <s v="Carlo Jones"/>
    <s v="http://www.youtube.com/channel/UCacB5Aq-7GT6MlxP_u729vA"/>
    <m/>
    <s v="wadBvDPeE4E"/>
    <s v="https://www.youtube.com/watch?v=wadBvDPeE4E"/>
    <s v="none"/>
    <n v="0"/>
    <x v="602"/>
    <d v="2022-04-24T10:22:08.000"/>
    <m/>
    <m/>
    <s v=""/>
    <n v="1"/>
    <s v="1"/>
    <s v="1"/>
    <n v="1"/>
    <n v="5.882352941176471"/>
    <n v="2"/>
    <n v="11.764705882352942"/>
    <n v="0"/>
    <n v="0"/>
    <n v="14"/>
    <n v="82.3529411764706"/>
    <n v="17"/>
  </r>
  <r>
    <s v="UCrUzUaPoH6NYbxsttzmGq-g"/>
    <s v="UCvQECJukTDE2i6aCoMnS-Vg"/>
    <m/>
    <m/>
    <m/>
    <m/>
    <m/>
    <m/>
    <m/>
    <m/>
    <s v="No"/>
    <n v="607"/>
    <m/>
    <m/>
    <s v="Commented Video"/>
    <x v="0"/>
    <s v="You need to study why those that do Yoga over time almost never join your obesity network"/>
    <s v="UCrUzUaPoH6NYbxsttzmGq-g"/>
    <s v="Ron Jaenisch"/>
    <s v="http://www.youtube.com/channel/UCrUzUaPoH6NYbxsttzmGq-g"/>
    <m/>
    <s v="wadBvDPeE4E"/>
    <s v="https://www.youtube.com/watch?v=wadBvDPeE4E"/>
    <s v="none"/>
    <n v="0"/>
    <x v="603"/>
    <d v="2022-04-26T18:21:55.000"/>
    <m/>
    <m/>
    <s v=""/>
    <n v="1"/>
    <s v="1"/>
    <s v="1"/>
    <n v="0"/>
    <n v="0"/>
    <n v="0"/>
    <n v="0"/>
    <n v="0"/>
    <n v="0"/>
    <n v="17"/>
    <n v="100"/>
    <n v="17"/>
  </r>
  <r>
    <s v="UCUZ4fVlYrIDI1K6lX3N0spw"/>
    <s v="UCvQECJukTDE2i6aCoMnS-Vg"/>
    <m/>
    <m/>
    <m/>
    <m/>
    <m/>
    <m/>
    <m/>
    <m/>
    <s v="No"/>
    <n v="608"/>
    <m/>
    <m/>
    <s v="Commented Video"/>
    <x v="0"/>
    <s v="How hasn&amp;#39;t the government put the nets yet? It&amp;#39;s a sizable port city"/>
    <s v="UCUZ4fVlYrIDI1K6lX3N0spw"/>
    <s v="hernandezjopa"/>
    <s v="http://www.youtube.com/channel/UCUZ4fVlYrIDI1K6lX3N0spw"/>
    <m/>
    <s v="wadBvDPeE4E"/>
    <s v="https://www.youtube.com/watch?v=wadBvDPeE4E"/>
    <s v="none"/>
    <n v="0"/>
    <x v="604"/>
    <d v="2022-05-01T08:21:44.000"/>
    <m/>
    <m/>
    <s v=""/>
    <n v="1"/>
    <s v="1"/>
    <s v="1"/>
    <n v="0"/>
    <n v="0"/>
    <n v="0"/>
    <n v="0"/>
    <n v="0"/>
    <n v="0"/>
    <n v="17"/>
    <n v="100"/>
    <n v="17"/>
  </r>
  <r>
    <s v="UC6KN3OhZPDh-RnGnKoHCzqw"/>
    <s v="UCvQECJukTDE2i6aCoMnS-Vg"/>
    <m/>
    <m/>
    <m/>
    <m/>
    <m/>
    <m/>
    <m/>
    <m/>
    <s v="No"/>
    <n v="609"/>
    <m/>
    <m/>
    <s v="Commented Video"/>
    <x v="0"/>
    <s v="Encouragement? 🤔"/>
    <s v="UC6KN3OhZPDh-RnGnKoHCzqw"/>
    <s v="Apparatus 101"/>
    <s v="http://www.youtube.com/channel/UC6KN3OhZPDh-RnGnKoHCzqw"/>
    <m/>
    <s v="wadBvDPeE4E"/>
    <s v="https://www.youtube.com/watch?v=wadBvDPeE4E"/>
    <s v="none"/>
    <n v="0"/>
    <x v="605"/>
    <d v="2022-05-06T02:41:38.000"/>
    <m/>
    <m/>
    <s v=""/>
    <n v="1"/>
    <s v="1"/>
    <s v="1"/>
    <n v="1"/>
    <n v="100"/>
    <n v="0"/>
    <n v="0"/>
    <n v="0"/>
    <n v="0"/>
    <n v="0"/>
    <n v="0"/>
    <n v="1"/>
  </r>
  <r>
    <s v="UCkvHP60Akt1kfF3FUMD45lQ"/>
    <s v="UCvQECJukTDE2i6aCoMnS-Vg"/>
    <m/>
    <m/>
    <m/>
    <m/>
    <m/>
    <m/>
    <m/>
    <m/>
    <s v="No"/>
    <n v="610"/>
    <m/>
    <m/>
    <s v="Commented Video"/>
    <x v="0"/>
    <s v="The dike analogy is perfect! That’s how I switched from psychology to sociology"/>
    <s v="UCkvHP60Akt1kfF3FUMD45lQ"/>
    <s v="Anna Turquoise"/>
    <s v="http://www.youtube.com/channel/UCkvHP60Akt1kfF3FUMD45lQ"/>
    <m/>
    <s v="wadBvDPeE4E"/>
    <s v="https://www.youtube.com/watch?v=wadBvDPeE4E"/>
    <s v="none"/>
    <n v="0"/>
    <x v="606"/>
    <d v="2022-05-06T08:09:21.000"/>
    <m/>
    <m/>
    <s v=""/>
    <n v="1"/>
    <s v="1"/>
    <s v="1"/>
    <n v="1"/>
    <n v="7.142857142857143"/>
    <n v="0"/>
    <n v="0"/>
    <n v="0"/>
    <n v="0"/>
    <n v="13"/>
    <n v="92.85714285714286"/>
    <n v="14"/>
  </r>
  <r>
    <s v="UCNG_yvMeAfS9RbCPkvthc7g"/>
    <s v="UCvQECJukTDE2i6aCoMnS-Vg"/>
    <m/>
    <m/>
    <m/>
    <m/>
    <m/>
    <m/>
    <m/>
    <m/>
    <s v="No"/>
    <n v="611"/>
    <m/>
    <m/>
    <s v="Commented Video"/>
    <x v="0"/>
    <s v="Man it&amp;#39;s insane! Are you in Matrix?"/>
    <s v="UCNG_yvMeAfS9RbCPkvthc7g"/>
    <s v="Andrew Pleshakov"/>
    <s v="http://www.youtube.com/channel/UCNG_yvMeAfS9RbCPkvthc7g"/>
    <m/>
    <s v="wadBvDPeE4E"/>
    <s v="https://www.youtube.com/watch?v=wadBvDPeE4E"/>
    <s v="none"/>
    <n v="0"/>
    <x v="607"/>
    <d v="2022-05-11T01:07:44.000"/>
    <m/>
    <m/>
    <s v=""/>
    <n v="1"/>
    <s v="1"/>
    <s v="1"/>
    <n v="0"/>
    <n v="0"/>
    <n v="1"/>
    <n v="11.11111111111111"/>
    <n v="0"/>
    <n v="0"/>
    <n v="8"/>
    <n v="88.88888888888889"/>
    <n v="9"/>
  </r>
  <r>
    <s v="UCxiVHhU6qu2lNb5a8pafrzg"/>
    <s v="UCvQECJukTDE2i6aCoMnS-Vg"/>
    <m/>
    <m/>
    <m/>
    <m/>
    <m/>
    <m/>
    <m/>
    <m/>
    <s v="No"/>
    <n v="612"/>
    <m/>
    <m/>
    <s v="Commented Video"/>
    <x v="0"/>
    <s v="Omg. If you&amp;#39;re having trouble sleeping, put this on."/>
    <s v="UCxiVHhU6qu2lNb5a8pafrzg"/>
    <s v="S J Elliott"/>
    <s v="http://www.youtube.com/channel/UCxiVHhU6qu2lNb5a8pafrzg"/>
    <m/>
    <s v="wadBvDPeE4E"/>
    <s v="https://www.youtube.com/watch?v=wadBvDPeE4E"/>
    <s v="none"/>
    <n v="0"/>
    <x v="608"/>
    <d v="2022-05-12T04:09:52.000"/>
    <m/>
    <m/>
    <s v=""/>
    <n v="1"/>
    <s v="1"/>
    <s v="1"/>
    <n v="0"/>
    <n v="0"/>
    <n v="1"/>
    <n v="9.090909090909092"/>
    <n v="0"/>
    <n v="0"/>
    <n v="10"/>
    <n v="90.9090909090909"/>
    <n v="11"/>
  </r>
  <r>
    <s v="UC_-FIxHPBnhLkE9cGbL2ZiQ"/>
    <s v="UCvQECJukTDE2i6aCoMnS-Vg"/>
    <m/>
    <m/>
    <m/>
    <m/>
    <m/>
    <m/>
    <m/>
    <m/>
    <s v="No"/>
    <n v="613"/>
    <m/>
    <m/>
    <s v="Commented Video"/>
    <x v="0"/>
    <s v="Christakis is a great social scientist who communicates esoteric concepts clearly.    &lt;br&gt;I retired from 20 years of jail and prison mental health services.  Trust me, these places are sociological factories for changing people (mostly in negative ways.... some people for the better).  To survive in prison, you better learn to allow a &amp;quot;molding&amp;quot; process to take place so that you can &amp;quot;fit in&amp;quot; to particular sociological niches within prison.  Yes, go to prison, expect to come out different than you went in.... seems obvious?  Yeah, but many immature minds ( kids) don&amp;#39;t realize how important it is to avoid becoming a prison inmate."/>
    <s v="UC_-FIxHPBnhLkE9cGbL2ZiQ"/>
    <s v="USA Latino"/>
    <s v="http://www.youtube.com/channel/UC_-FIxHPBnhLkE9cGbL2ZiQ"/>
    <m/>
    <s v="wadBvDPeE4E"/>
    <s v="https://www.youtube.com/watch?v=wadBvDPeE4E"/>
    <s v="none"/>
    <n v="0"/>
    <x v="609"/>
    <d v="2022-05-12T16:56:24.000"/>
    <m/>
    <m/>
    <s v=""/>
    <n v="1"/>
    <s v="7"/>
    <s v="1"/>
    <n v="6"/>
    <n v="5.504587155963303"/>
    <n v="7"/>
    <n v="6.422018348623853"/>
    <n v="0"/>
    <n v="0"/>
    <n v="96"/>
    <n v="88.07339449541284"/>
    <n v="109"/>
  </r>
  <r>
    <s v="UCaYpMdJFIL6MXMucIr83k4A"/>
    <s v="UCvQECJukTDE2i6aCoMnS-Vg"/>
    <m/>
    <m/>
    <m/>
    <m/>
    <m/>
    <m/>
    <m/>
    <m/>
    <s v="No"/>
    <n v="614"/>
    <m/>
    <m/>
    <s v="Commented Video"/>
    <x v="0"/>
    <s v="Amazing lectures but the sound effects are so silly makes it feel like someone used all the sounds effects available in their microsoft powerpoint software."/>
    <s v="UCaYpMdJFIL6MXMucIr83k4A"/>
    <s v="Paradox Pictures"/>
    <s v="http://www.youtube.com/channel/UCaYpMdJFIL6MXMucIr83k4A"/>
    <m/>
    <s v="wadBvDPeE4E"/>
    <s v="https://www.youtube.com/watch?v=wadBvDPeE4E"/>
    <s v="none"/>
    <n v="0"/>
    <x v="610"/>
    <d v="2022-05-23T14:21:03.000"/>
    <m/>
    <m/>
    <s v=""/>
    <n v="1"/>
    <s v="1"/>
    <s v="1"/>
    <n v="3"/>
    <n v="12"/>
    <n v="1"/>
    <n v="4"/>
    <n v="0"/>
    <n v="0"/>
    <n v="21"/>
    <n v="84"/>
    <n v="25"/>
  </r>
  <r>
    <s v="UCGp1Z_UT_OJhADsa5J4jXAQ"/>
    <s v="UCvQECJukTDE2i6aCoMnS-Vg"/>
    <m/>
    <m/>
    <m/>
    <m/>
    <m/>
    <m/>
    <m/>
    <m/>
    <s v="No"/>
    <n v="615"/>
    <m/>
    <m/>
    <s v="Commented Video"/>
    <x v="0"/>
    <s v="Amazing video, blew my mind away and gave me a lot to think about. I also love that some of these concepts are very useful for personal growth."/>
    <s v="UCGp1Z_UT_OJhADsa5J4jXAQ"/>
    <s v="Chiraz BenAbdelkader"/>
    <s v="http://www.youtube.com/channel/UCGp1Z_UT_OJhADsa5J4jXAQ"/>
    <m/>
    <s v="wadBvDPeE4E"/>
    <s v="https://www.youtube.com/watch?v=wadBvDPeE4E"/>
    <s v="none"/>
    <n v="0"/>
    <x v="611"/>
    <d v="2022-05-28T02:58:08.000"/>
    <m/>
    <m/>
    <s v=""/>
    <n v="1"/>
    <s v="1"/>
    <s v="1"/>
    <n v="3"/>
    <n v="10.714285714285714"/>
    <n v="0"/>
    <n v="0"/>
    <n v="0"/>
    <n v="0"/>
    <n v="25"/>
    <n v="89.28571428571429"/>
    <n v="28"/>
  </r>
  <r>
    <s v="UCpVhi8jELmdakJmWHgVhr8A"/>
    <s v="UCvQECJukTDE2i6aCoMnS-Vg"/>
    <m/>
    <m/>
    <m/>
    <m/>
    <m/>
    <m/>
    <m/>
    <m/>
    <s v="No"/>
    <n v="616"/>
    <m/>
    <m/>
    <s v="Commented Video"/>
    <x v="0"/>
    <s v="Sociology, History, Psicology  are not sciences like Biology or Chemistry...  they have not the tools to be scientifics.... they are moralistics not scientifics... when human phenomena accept the help of Biological Sciences  maybe we can talk about their scientific status...."/>
    <s v="UCpVhi8jELmdakJmWHgVhr8A"/>
    <s v="Jorge García Robles"/>
    <s v="http://www.youtube.com/channel/UCpVhi8jELmdakJmWHgVhr8A"/>
    <m/>
    <s v="wadBvDPeE4E"/>
    <s v="https://www.youtube.com/watch?v=wadBvDPeE4E"/>
    <s v="none"/>
    <n v="0"/>
    <x v="612"/>
    <d v="2022-05-28T06:38:29.000"/>
    <m/>
    <m/>
    <s v=""/>
    <n v="1"/>
    <s v="1"/>
    <s v="1"/>
    <n v="1"/>
    <n v="2.5"/>
    <n v="0"/>
    <n v="0"/>
    <n v="0"/>
    <n v="0"/>
    <n v="39"/>
    <n v="97.5"/>
    <n v="40"/>
  </r>
  <r>
    <s v="UCpe5begzqU9FTXLhDN0ON0Q"/>
    <s v="UCvQECJukTDE2i6aCoMnS-Vg"/>
    <m/>
    <m/>
    <m/>
    <m/>
    <m/>
    <m/>
    <m/>
    <m/>
    <s v="No"/>
    <n v="617"/>
    <m/>
    <m/>
    <s v="Commented Video"/>
    <x v="0"/>
    <s v="Why the silly, distracting noises that have been added as some kind of &amp;quot;decoration&amp;quot;?  Great content but why make me filter out that noise? Honestly, editor ..  you&amp;#39;ve pretty much destroyed a good video."/>
    <s v="UCpe5begzqU9FTXLhDN0ON0Q"/>
    <s v="Sean O'Sullivan"/>
    <s v="http://www.youtube.com/channel/UCpe5begzqU9FTXLhDN0ON0Q"/>
    <m/>
    <s v="wadBvDPeE4E"/>
    <s v="https://www.youtube.com/watch?v=wadBvDPeE4E"/>
    <s v="none"/>
    <n v="0"/>
    <x v="613"/>
    <d v="2022-05-31T20:28:27.000"/>
    <m/>
    <m/>
    <s v=""/>
    <n v="1"/>
    <s v="1"/>
    <s v="1"/>
    <n v="3"/>
    <n v="8.108108108108109"/>
    <n v="4"/>
    <n v="10.81081081081081"/>
    <n v="0"/>
    <n v="0"/>
    <n v="30"/>
    <n v="81.08108108108108"/>
    <n v="37"/>
  </r>
  <r>
    <s v="UCoPpqgCvTEHh4pgk-7CIOkw"/>
    <s v="UCvQECJukTDE2i6aCoMnS-Vg"/>
    <m/>
    <m/>
    <m/>
    <m/>
    <m/>
    <m/>
    <m/>
    <m/>
    <s v="No"/>
    <n v="618"/>
    <m/>
    <m/>
    <s v="Commented Video"/>
    <x v="0"/>
    <s v="Thank you for this golden insight"/>
    <s v="UCoPpqgCvTEHh4pgk-7CIOkw"/>
    <s v="RAYAN THEORY"/>
    <s v="http://www.youtube.com/channel/UCoPpqgCvTEHh4pgk-7CIOkw"/>
    <m/>
    <s v="wadBvDPeE4E"/>
    <s v="https://www.youtube.com/watch?v=wadBvDPeE4E"/>
    <s v="none"/>
    <n v="0"/>
    <x v="614"/>
    <d v="2022-06-05T17:00:21.000"/>
    <m/>
    <m/>
    <s v=""/>
    <n v="1"/>
    <s v="1"/>
    <s v="1"/>
    <n v="2"/>
    <n v="33.333333333333336"/>
    <n v="0"/>
    <n v="0"/>
    <n v="0"/>
    <n v="0"/>
    <n v="4"/>
    <n v="66.66666666666667"/>
    <n v="6"/>
  </r>
  <r>
    <s v="UClufkJO37uSkOzyoMIIlsGw"/>
    <s v="UCvQECJukTDE2i6aCoMnS-Vg"/>
    <m/>
    <m/>
    <m/>
    <m/>
    <m/>
    <m/>
    <m/>
    <m/>
    <s v="No"/>
    <n v="619"/>
    <m/>
    <m/>
    <s v="Commented Video"/>
    <x v="0"/>
    <s v="This video could be game changer for everyone who understand the idea of groups. Not that facts and ideas here are revolutionary, but the way Mr. Christakis explained them is a brilliant and  inspirational. Thanks a lot!"/>
    <s v="UClufkJO37uSkOzyoMIIlsGw"/>
    <s v="Mikhail Kalatchev"/>
    <s v="http://www.youtube.com/channel/UClufkJO37uSkOzyoMIIlsGw"/>
    <m/>
    <s v="wadBvDPeE4E"/>
    <s v="https://www.youtube.com/watch?v=wadBvDPeE4E"/>
    <s v="none"/>
    <n v="0"/>
    <x v="615"/>
    <d v="2022-06-07T02:22:10.000"/>
    <m/>
    <m/>
    <s v=""/>
    <n v="1"/>
    <s v="1"/>
    <s v="1"/>
    <n v="3"/>
    <n v="8.108108108108109"/>
    <n v="0"/>
    <n v="0"/>
    <n v="0"/>
    <n v="0"/>
    <n v="34"/>
    <n v="91.89189189189189"/>
    <n v="37"/>
  </r>
  <r>
    <s v="UCCiErXs1bCwpM6jMLTYHrrg"/>
    <s v="UCCiErXs1bCwpM6jMLTYHrrg"/>
    <m/>
    <m/>
    <m/>
    <m/>
    <m/>
    <m/>
    <m/>
    <m/>
    <s v="No"/>
    <n v="620"/>
    <m/>
    <m/>
    <s v="Replied Comment"/>
    <x v="1"/>
    <s v="It also seems their social life has a huge affect on their decision"/>
    <s v="UCCiErXs1bCwpM6jMLTYHrrg"/>
    <s v="Nicolas Schaffer"/>
    <s v="http://www.youtube.com/channel/UCCiErXs1bCwpM6jMLTYHrrg"/>
    <s v="UgyHYacoMDUr_t2CixN4AaABAg"/>
    <s v="wadBvDPeE4E"/>
    <s v="https://www.youtube.com/watch?v=wadBvDPeE4E"/>
    <s v="none"/>
    <n v="0"/>
    <x v="616"/>
    <d v="2022-06-10T22:53:08.000"/>
    <m/>
    <m/>
    <s v=""/>
    <n v="1"/>
    <s v="1"/>
    <s v="1"/>
    <n v="0"/>
    <n v="0"/>
    <n v="0"/>
    <n v="0"/>
    <n v="0"/>
    <n v="0"/>
    <n v="13"/>
    <n v="100"/>
    <n v="13"/>
  </r>
  <r>
    <s v="UCCiErXs1bCwpM6jMLTYHrrg"/>
    <s v="UCvQECJukTDE2i6aCoMnS-Vg"/>
    <m/>
    <m/>
    <m/>
    <m/>
    <m/>
    <m/>
    <m/>
    <m/>
    <s v="No"/>
    <n v="621"/>
    <m/>
    <m/>
    <s v="Commented Video"/>
    <x v="0"/>
    <s v="Maybe if someone feels like they want to kill themselves they should go skydiving perhaps it has something to do with the rush of endorphins and adrenaline that brings them out of depression at least for that moment almost immediately, perhaps I could be wrong."/>
    <s v="UCCiErXs1bCwpM6jMLTYHrrg"/>
    <s v="Nicolas Schaffer"/>
    <s v="http://www.youtube.com/channel/UCCiErXs1bCwpM6jMLTYHrrg"/>
    <m/>
    <s v="wadBvDPeE4E"/>
    <s v="https://www.youtube.com/watch?v=wadBvDPeE4E"/>
    <s v="none"/>
    <n v="0"/>
    <x v="617"/>
    <d v="2022-06-10T22:51:00.000"/>
    <m/>
    <m/>
    <s v=""/>
    <n v="1"/>
    <s v="1"/>
    <s v="1"/>
    <n v="1"/>
    <n v="2.2222222222222223"/>
    <n v="3"/>
    <n v="6.666666666666667"/>
    <n v="0"/>
    <n v="0"/>
    <n v="41"/>
    <n v="91.11111111111111"/>
    <n v="45"/>
  </r>
  <r>
    <s v="UCvQECJukTDE2i6aCoMnS-Vg"/>
    <s v="UCvQECJukTDE2i6aCoMnS-Vg"/>
    <m/>
    <m/>
    <m/>
    <m/>
    <m/>
    <m/>
    <m/>
    <m/>
    <s v="No"/>
    <n v="622"/>
    <m/>
    <m/>
    <s v="Commented Video"/>
    <x v="0"/>
    <s v="Want to get Smarter, Faster? _x000d_&lt;br&gt;Subscribe for DAILY videos: &lt;a href=&quot;https://bigth.ink/GetSmarter&quot;&gt;https://bigth.ink/GetSmarter&lt;/a&gt;"/>
    <s v="UCvQECJukTDE2i6aCoMnS-Vg"/>
    <s v="Big Think"/>
    <s v="http://www.youtube.com/channel/UCvQECJukTDE2i6aCoMnS-Vg"/>
    <m/>
    <s v="wadBvDPeE4E"/>
    <s v="https://www.youtube.com/watch?v=wadBvDPeE4E"/>
    <s v="none"/>
    <n v="12"/>
    <x v="618"/>
    <d v="2020-06-28T18:50:01.000"/>
    <s v=" https://bigth.ink/GetSmarter https://bigth.ink/GetSmarter"/>
    <s v="bigth.ink bigth.ink"/>
    <s v=""/>
    <n v="2"/>
    <s v="1"/>
    <s v="1"/>
    <n v="2"/>
    <n v="9.523809523809524"/>
    <n v="0"/>
    <n v="0"/>
    <n v="0"/>
    <n v="0"/>
    <n v="19"/>
    <n v="90.47619047619048"/>
    <n v="21"/>
  </r>
  <r>
    <s v="UCvQECJukTDE2i6aCoMnS-Vg"/>
    <s v="UCvQECJukTDE2i6aCoMnS-Vg"/>
    <m/>
    <m/>
    <m/>
    <m/>
    <m/>
    <m/>
    <m/>
    <m/>
    <s v="No"/>
    <n v="623"/>
    <m/>
    <m/>
    <s v="Posted Video"/>
    <x v="2"/>
    <m/>
    <m/>
    <m/>
    <m/>
    <m/>
    <s v="wadBvDPeE4E"/>
    <s v="https://www.youtube.com/watch?v=wadBvDPeE4E"/>
    <m/>
    <m/>
    <x v="619"/>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22"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3">
    <field x="43"/>
    <field x="42"/>
    <field x="25"/>
  </rowFields>
  <rowItems count="397">
    <i>
      <x v="1"/>
    </i>
    <i r="1">
      <x v="10"/>
    </i>
    <i r="2">
      <x v="294"/>
    </i>
    <i r="2">
      <x v="295"/>
    </i>
    <i r="2">
      <x v="296"/>
    </i>
    <i r="2">
      <x v="297"/>
    </i>
    <i r="2">
      <x v="298"/>
    </i>
    <i r="2">
      <x v="299"/>
    </i>
    <i r="2">
      <x v="300"/>
    </i>
    <i r="2">
      <x v="301"/>
    </i>
    <i r="2">
      <x v="302"/>
    </i>
    <i r="2">
      <x v="303"/>
    </i>
    <i r="1">
      <x v="11"/>
    </i>
    <i r="2">
      <x v="306"/>
    </i>
    <i r="2">
      <x v="307"/>
    </i>
    <i r="2">
      <x v="309"/>
    </i>
    <i r="2">
      <x v="312"/>
    </i>
    <i r="2">
      <x v="313"/>
    </i>
    <i r="2">
      <x v="314"/>
    </i>
    <i r="2">
      <x v="315"/>
    </i>
    <i r="2">
      <x v="316"/>
    </i>
    <i r="2">
      <x v="318"/>
    </i>
    <i r="2">
      <x v="319"/>
    </i>
    <i r="2">
      <x v="320"/>
    </i>
    <i r="2">
      <x v="324"/>
    </i>
    <i r="1">
      <x v="12"/>
    </i>
    <i r="2">
      <x v="340"/>
    </i>
    <i r="2">
      <x v="341"/>
    </i>
    <i r="2">
      <x v="345"/>
    </i>
    <i r="2">
      <x v="347"/>
    </i>
    <i r="2">
      <x v="352"/>
    </i>
    <i r="2">
      <x v="358"/>
    </i>
    <i r="2">
      <x v="364"/>
    </i>
    <i r="2">
      <x v="366"/>
    </i>
    <i>
      <x v="2"/>
    </i>
    <i r="1">
      <x v="1"/>
    </i>
    <i r="2">
      <x v="7"/>
    </i>
    <i r="2">
      <x v="16"/>
    </i>
    <i r="2">
      <x v="21"/>
    </i>
    <i r="2">
      <x v="30"/>
    </i>
    <i r="1">
      <x v="2"/>
    </i>
    <i r="2">
      <x v="33"/>
    </i>
    <i r="2">
      <x v="37"/>
    </i>
    <i r="2">
      <x v="38"/>
    </i>
    <i r="2">
      <x v="39"/>
    </i>
    <i r="2">
      <x v="46"/>
    </i>
    <i r="1">
      <x v="3"/>
    </i>
    <i r="2">
      <x v="70"/>
    </i>
    <i r="2">
      <x v="73"/>
    </i>
    <i r="2">
      <x v="74"/>
    </i>
    <i r="2">
      <x v="75"/>
    </i>
    <i r="2">
      <x v="77"/>
    </i>
    <i r="2">
      <x v="80"/>
    </i>
    <i r="1">
      <x v="4"/>
    </i>
    <i r="2">
      <x v="93"/>
    </i>
    <i r="2">
      <x v="94"/>
    </i>
    <i r="2">
      <x v="99"/>
    </i>
    <i r="2">
      <x v="100"/>
    </i>
    <i r="2">
      <x v="106"/>
    </i>
    <i r="2">
      <x v="107"/>
    </i>
    <i r="2">
      <x v="108"/>
    </i>
    <i r="2">
      <x v="113"/>
    </i>
    <i r="2">
      <x v="119"/>
    </i>
    <i r="2">
      <x v="120"/>
    </i>
    <i r="1">
      <x v="5"/>
    </i>
    <i r="2">
      <x v="130"/>
    </i>
    <i r="2">
      <x v="136"/>
    </i>
    <i r="2">
      <x v="140"/>
    </i>
    <i r="2">
      <x v="146"/>
    </i>
    <i r="2">
      <x v="152"/>
    </i>
    <i r="1">
      <x v="6"/>
    </i>
    <i r="2">
      <x v="170"/>
    </i>
    <i r="2">
      <x v="174"/>
    </i>
    <i r="2">
      <x v="177"/>
    </i>
    <i r="2">
      <x v="179"/>
    </i>
    <i r="2">
      <x v="180"/>
    </i>
    <i r="2">
      <x v="181"/>
    </i>
    <i r="1">
      <x v="7"/>
    </i>
    <i r="2">
      <x v="199"/>
    </i>
    <i r="2">
      <x v="204"/>
    </i>
    <i r="2">
      <x v="209"/>
    </i>
    <i r="1">
      <x v="9"/>
    </i>
    <i r="2">
      <x v="250"/>
    </i>
    <i r="2">
      <x v="252"/>
    </i>
    <i r="2">
      <x v="263"/>
    </i>
    <i r="2">
      <x v="264"/>
    </i>
    <i r="1">
      <x v="10"/>
    </i>
    <i r="2">
      <x v="278"/>
    </i>
    <i r="2">
      <x v="282"/>
    </i>
    <i r="2">
      <x v="299"/>
    </i>
    <i r="2">
      <x v="302"/>
    </i>
    <i r="2">
      <x v="304"/>
    </i>
    <i r="1">
      <x v="11"/>
    </i>
    <i r="2">
      <x v="307"/>
    </i>
    <i>
      <x v="3"/>
    </i>
    <i r="1">
      <x v="1"/>
    </i>
    <i r="2">
      <x v="3"/>
    </i>
    <i r="1">
      <x v="2"/>
    </i>
    <i r="2">
      <x v="32"/>
    </i>
    <i r="2">
      <x v="39"/>
    </i>
    <i r="1">
      <x v="3"/>
    </i>
    <i r="2">
      <x v="65"/>
    </i>
    <i r="2">
      <x v="75"/>
    </i>
    <i r="2">
      <x v="79"/>
    </i>
    <i r="2">
      <x v="87"/>
    </i>
    <i r="2">
      <x v="89"/>
    </i>
    <i r="1">
      <x v="5"/>
    </i>
    <i r="2">
      <x v="143"/>
    </i>
    <i r="1">
      <x v="6"/>
    </i>
    <i r="2">
      <x v="168"/>
    </i>
    <i r="2">
      <x v="172"/>
    </i>
    <i r="2">
      <x v="176"/>
    </i>
    <i r="1">
      <x v="7"/>
    </i>
    <i r="2">
      <x v="191"/>
    </i>
    <i r="2">
      <x v="196"/>
    </i>
    <i r="1">
      <x v="8"/>
    </i>
    <i r="2">
      <x v="214"/>
    </i>
    <i r="2">
      <x v="243"/>
    </i>
    <i r="1">
      <x v="10"/>
    </i>
    <i r="2">
      <x v="282"/>
    </i>
    <i r="2">
      <x v="291"/>
    </i>
    <i r="1">
      <x v="11"/>
    </i>
    <i r="2">
      <x v="318"/>
    </i>
    <i r="2">
      <x v="321"/>
    </i>
    <i r="2">
      <x v="333"/>
    </i>
    <i r="2">
      <x v="335"/>
    </i>
    <i r="1">
      <x v="12"/>
    </i>
    <i r="2">
      <x v="354"/>
    </i>
    <i>
      <x v="4"/>
    </i>
    <i r="1">
      <x v="2"/>
    </i>
    <i r="2">
      <x v="55"/>
    </i>
    <i r="2">
      <x v="56"/>
    </i>
    <i r="1">
      <x v="3"/>
    </i>
    <i r="2">
      <x v="69"/>
    </i>
    <i r="2">
      <x v="84"/>
    </i>
    <i r="2">
      <x v="87"/>
    </i>
    <i r="2">
      <x v="91"/>
    </i>
    <i r="1">
      <x v="4"/>
    </i>
    <i r="2">
      <x v="111"/>
    </i>
    <i r="1">
      <x v="5"/>
    </i>
    <i r="2">
      <x v="134"/>
    </i>
    <i r="1">
      <x v="6"/>
    </i>
    <i r="2">
      <x v="154"/>
    </i>
    <i r="2">
      <x v="157"/>
    </i>
    <i r="1">
      <x v="8"/>
    </i>
    <i r="2">
      <x v="215"/>
    </i>
    <i r="1">
      <x v="9"/>
    </i>
    <i r="2">
      <x v="245"/>
    </i>
    <i r="2">
      <x v="250"/>
    </i>
    <i r="2">
      <x v="262"/>
    </i>
    <i r="2">
      <x v="274"/>
    </i>
    <i r="1">
      <x v="10"/>
    </i>
    <i r="2">
      <x v="280"/>
    </i>
    <i r="1">
      <x v="11"/>
    </i>
    <i r="2">
      <x v="313"/>
    </i>
    <i r="2">
      <x v="315"/>
    </i>
    <i r="2">
      <x v="316"/>
    </i>
    <i r="2">
      <x v="317"/>
    </i>
    <i r="2">
      <x v="335"/>
    </i>
    <i r="1">
      <x v="12"/>
    </i>
    <i r="2">
      <x v="336"/>
    </i>
    <i>
      <x v="5"/>
    </i>
    <i r="1">
      <x v="1"/>
    </i>
    <i r="2">
      <x v="9"/>
    </i>
    <i r="2">
      <x v="19"/>
    </i>
    <i r="1">
      <x v="2"/>
    </i>
    <i r="2">
      <x v="40"/>
    </i>
    <i r="2">
      <x v="41"/>
    </i>
    <i r="1">
      <x v="3"/>
    </i>
    <i r="2">
      <x v="88"/>
    </i>
    <i r="1">
      <x v="5"/>
    </i>
    <i r="2">
      <x v="137"/>
    </i>
    <i r="2">
      <x v="147"/>
    </i>
    <i r="2">
      <x v="152"/>
    </i>
    <i r="1">
      <x v="6"/>
    </i>
    <i r="2">
      <x v="157"/>
    </i>
    <i r="2">
      <x v="172"/>
    </i>
    <i r="1">
      <x v="7"/>
    </i>
    <i r="2">
      <x v="210"/>
    </i>
    <i r="1">
      <x v="8"/>
    </i>
    <i r="2">
      <x v="227"/>
    </i>
    <i r="2">
      <x v="229"/>
    </i>
    <i r="2">
      <x v="231"/>
    </i>
    <i r="2">
      <x v="234"/>
    </i>
    <i r="2">
      <x v="240"/>
    </i>
    <i r="1">
      <x v="9"/>
    </i>
    <i r="2">
      <x v="250"/>
    </i>
    <i r="2">
      <x v="252"/>
    </i>
    <i r="2">
      <x v="262"/>
    </i>
    <i r="1">
      <x v="10"/>
    </i>
    <i r="2">
      <x v="287"/>
    </i>
    <i r="1">
      <x v="11"/>
    </i>
    <i r="2">
      <x v="306"/>
    </i>
    <i>
      <x v="6"/>
    </i>
    <i r="1">
      <x v="1"/>
    </i>
    <i r="2">
      <x v="8"/>
    </i>
    <i r="2">
      <x v="10"/>
    </i>
    <i r="2">
      <x v="23"/>
    </i>
    <i r="1">
      <x v="2"/>
    </i>
    <i r="2">
      <x v="50"/>
    </i>
    <i r="1">
      <x v="3"/>
    </i>
    <i r="2">
      <x v="67"/>
    </i>
    <i r="2">
      <x v="85"/>
    </i>
    <i r="1">
      <x v="4"/>
    </i>
    <i r="2">
      <x v="116"/>
    </i>
    <i r="1">
      <x v="5"/>
    </i>
    <i r="2">
      <x v="122"/>
    </i>
    <i r="2">
      <x v="148"/>
    </i>
    <i r="1">
      <x v="6"/>
    </i>
    <i r="2">
      <x v="174"/>
    </i>
    <i r="1">
      <x v="10"/>
    </i>
    <i r="2">
      <x v="282"/>
    </i>
    <i r="2">
      <x v="283"/>
    </i>
    <i r="2">
      <x v="288"/>
    </i>
    <i r="2">
      <x v="289"/>
    </i>
    <i r="2">
      <x v="293"/>
    </i>
    <i r="2">
      <x v="296"/>
    </i>
    <i r="2">
      <x v="300"/>
    </i>
    <i r="1">
      <x v="11"/>
    </i>
    <i r="2">
      <x v="327"/>
    </i>
    <i>
      <x v="7"/>
    </i>
    <i r="1">
      <x v="2"/>
    </i>
    <i r="2">
      <x v="38"/>
    </i>
    <i r="1">
      <x v="3"/>
    </i>
    <i r="2">
      <x v="66"/>
    </i>
    <i r="2">
      <x v="76"/>
    </i>
    <i r="1">
      <x v="4"/>
    </i>
    <i r="2">
      <x v="100"/>
    </i>
    <i r="2">
      <x v="107"/>
    </i>
    <i r="1">
      <x v="5"/>
    </i>
    <i r="2">
      <x v="127"/>
    </i>
    <i r="2">
      <x v="140"/>
    </i>
    <i r="1">
      <x v="6"/>
    </i>
    <i r="2">
      <x v="153"/>
    </i>
    <i r="2">
      <x v="165"/>
    </i>
    <i r="1">
      <x v="8"/>
    </i>
    <i r="2">
      <x v="226"/>
    </i>
    <i r="2">
      <x v="227"/>
    </i>
    <i r="2">
      <x v="236"/>
    </i>
    <i>
      <x v="8"/>
    </i>
    <i r="1">
      <x v="1"/>
    </i>
    <i r="2">
      <x v="22"/>
    </i>
    <i r="1">
      <x v="2"/>
    </i>
    <i r="2">
      <x v="58"/>
    </i>
    <i r="1">
      <x v="3"/>
    </i>
    <i r="2">
      <x v="71"/>
    </i>
    <i r="2">
      <x v="78"/>
    </i>
    <i r="1">
      <x v="5"/>
    </i>
    <i r="2">
      <x v="134"/>
    </i>
    <i r="1">
      <x v="9"/>
    </i>
    <i r="2">
      <x v="255"/>
    </i>
    <i>
      <x v="9"/>
    </i>
    <i r="1">
      <x v="2"/>
    </i>
    <i r="2">
      <x v="48"/>
    </i>
    <i r="1">
      <x v="3"/>
    </i>
    <i r="2">
      <x v="74"/>
    </i>
    <i r="1">
      <x v="5"/>
    </i>
    <i r="2">
      <x v="147"/>
    </i>
    <i r="2">
      <x v="152"/>
    </i>
    <i r="1">
      <x v="6"/>
    </i>
    <i r="2">
      <x v="179"/>
    </i>
    <i r="2">
      <x v="180"/>
    </i>
    <i r="1">
      <x v="7"/>
    </i>
    <i r="2">
      <x v="191"/>
    </i>
    <i r="2">
      <x v="201"/>
    </i>
    <i r="1">
      <x v="9"/>
    </i>
    <i r="2">
      <x v="262"/>
    </i>
    <i r="1">
      <x v="10"/>
    </i>
    <i r="2">
      <x v="299"/>
    </i>
    <i r="2">
      <x v="305"/>
    </i>
    <i r="1">
      <x v="12"/>
    </i>
    <i r="2">
      <x v="338"/>
    </i>
    <i r="2">
      <x v="348"/>
    </i>
    <i>
      <x v="10"/>
    </i>
    <i r="1">
      <x v="1"/>
    </i>
    <i r="2">
      <x v="21"/>
    </i>
    <i r="2">
      <x v="26"/>
    </i>
    <i r="1">
      <x v="2"/>
    </i>
    <i r="2">
      <x v="47"/>
    </i>
    <i r="2">
      <x v="49"/>
    </i>
    <i r="2">
      <x v="50"/>
    </i>
    <i r="2">
      <x v="58"/>
    </i>
    <i r="1">
      <x v="3"/>
    </i>
    <i r="2">
      <x v="61"/>
    </i>
    <i r="2">
      <x v="77"/>
    </i>
    <i r="2">
      <x v="78"/>
    </i>
    <i r="2">
      <x v="79"/>
    </i>
    <i r="2">
      <x v="87"/>
    </i>
    <i r="1">
      <x v="4"/>
    </i>
    <i r="2">
      <x v="100"/>
    </i>
    <i r="2">
      <x v="112"/>
    </i>
    <i r="1">
      <x v="5"/>
    </i>
    <i r="2">
      <x v="124"/>
    </i>
    <i r="2">
      <x v="142"/>
    </i>
    <i r="2">
      <x v="143"/>
    </i>
    <i r="2">
      <x v="148"/>
    </i>
    <i r="1">
      <x v="6"/>
    </i>
    <i r="2">
      <x v="160"/>
    </i>
    <i r="2">
      <x v="161"/>
    </i>
    <i r="2">
      <x v="182"/>
    </i>
    <i r="1">
      <x v="7"/>
    </i>
    <i r="2">
      <x v="190"/>
    </i>
    <i r="2">
      <x v="191"/>
    </i>
    <i r="2">
      <x v="193"/>
    </i>
    <i r="2">
      <x v="202"/>
    </i>
    <i r="2">
      <x v="203"/>
    </i>
    <i r="2">
      <x v="206"/>
    </i>
    <i r="2">
      <x v="208"/>
    </i>
    <i r="2">
      <x v="210"/>
    </i>
    <i r="1">
      <x v="8"/>
    </i>
    <i r="2">
      <x v="220"/>
    </i>
    <i r="2">
      <x v="222"/>
    </i>
    <i r="2">
      <x v="223"/>
    </i>
    <i r="2">
      <x v="225"/>
    </i>
    <i r="2">
      <x v="228"/>
    </i>
    <i r="2">
      <x v="236"/>
    </i>
    <i r="2">
      <x v="239"/>
    </i>
    <i r="2">
      <x v="240"/>
    </i>
    <i r="2">
      <x v="241"/>
    </i>
    <i r="2">
      <x v="244"/>
    </i>
    <i r="1">
      <x v="9"/>
    </i>
    <i r="2">
      <x v="245"/>
    </i>
    <i r="2">
      <x v="247"/>
    </i>
    <i r="2">
      <x v="254"/>
    </i>
    <i r="2">
      <x v="259"/>
    </i>
    <i r="2">
      <x v="261"/>
    </i>
    <i r="2">
      <x v="264"/>
    </i>
    <i r="2">
      <x v="266"/>
    </i>
    <i r="2">
      <x v="272"/>
    </i>
    <i r="1">
      <x v="10"/>
    </i>
    <i r="2">
      <x v="285"/>
    </i>
    <i r="2">
      <x v="289"/>
    </i>
    <i r="2">
      <x v="293"/>
    </i>
    <i r="2">
      <x v="296"/>
    </i>
    <i r="1">
      <x v="11"/>
    </i>
    <i r="2">
      <x v="313"/>
    </i>
    <i r="2">
      <x v="317"/>
    </i>
    <i r="2">
      <x v="320"/>
    </i>
    <i r="2">
      <x v="321"/>
    </i>
    <i r="2">
      <x v="325"/>
    </i>
    <i r="2">
      <x v="328"/>
    </i>
    <i r="2">
      <x v="329"/>
    </i>
    <i r="2">
      <x v="332"/>
    </i>
    <i r="1">
      <x v="12"/>
    </i>
    <i r="2">
      <x v="345"/>
    </i>
    <i r="2">
      <x v="346"/>
    </i>
    <i r="2">
      <x v="351"/>
    </i>
    <i r="2">
      <x v="353"/>
    </i>
    <i r="2">
      <x v="355"/>
    </i>
    <i r="2">
      <x v="356"/>
    </i>
    <i r="2">
      <x v="359"/>
    </i>
    <i r="2">
      <x v="363"/>
    </i>
    <i r="2">
      <x v="364"/>
    </i>
    <i r="2">
      <x v="365"/>
    </i>
    <i>
      <x v="11"/>
    </i>
    <i r="1">
      <x v="1"/>
    </i>
    <i r="2">
      <x v="2"/>
    </i>
    <i r="2">
      <x v="3"/>
    </i>
    <i r="2">
      <x v="7"/>
    </i>
    <i r="2">
      <x v="16"/>
    </i>
    <i r="2">
      <x v="19"/>
    </i>
    <i r="2">
      <x v="23"/>
    </i>
    <i r="2">
      <x v="26"/>
    </i>
    <i r="2">
      <x v="28"/>
    </i>
    <i r="2">
      <x v="29"/>
    </i>
    <i r="1">
      <x v="2"/>
    </i>
    <i r="2">
      <x v="39"/>
    </i>
    <i r="2">
      <x v="40"/>
    </i>
    <i r="2">
      <x v="41"/>
    </i>
    <i r="2">
      <x v="53"/>
    </i>
    <i r="1">
      <x v="3"/>
    </i>
    <i r="2">
      <x v="63"/>
    </i>
    <i r="2">
      <x v="78"/>
    </i>
    <i r="2">
      <x v="91"/>
    </i>
    <i r="1">
      <x v="4"/>
    </i>
    <i r="2">
      <x v="97"/>
    </i>
    <i r="2">
      <x v="103"/>
    </i>
    <i r="2">
      <x v="105"/>
    </i>
    <i r="2">
      <x v="115"/>
    </i>
    <i r="2">
      <x v="117"/>
    </i>
    <i r="1">
      <x v="5"/>
    </i>
    <i r="2">
      <x v="122"/>
    </i>
    <i r="2">
      <x v="123"/>
    </i>
    <i r="2">
      <x v="126"/>
    </i>
    <i r="2">
      <x v="127"/>
    </i>
    <i r="2">
      <x v="132"/>
    </i>
    <i r="2">
      <x v="133"/>
    </i>
    <i r="2">
      <x v="144"/>
    </i>
    <i r="2">
      <x v="149"/>
    </i>
    <i r="2">
      <x v="150"/>
    </i>
    <i r="2">
      <x v="152"/>
    </i>
    <i r="1">
      <x v="6"/>
    </i>
    <i r="2">
      <x v="157"/>
    </i>
    <i r="2">
      <x v="159"/>
    </i>
    <i r="2">
      <x v="162"/>
    </i>
    <i r="2">
      <x v="17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72020804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623" totalsRowShown="0" headerRowDxfId="329" dataDxfId="293">
  <autoFilter ref="A2:AP623"/>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1" totalsRowShown="0" headerRowDxfId="211" dataDxfId="210">
  <autoFilter ref="A1:G214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202" dataDxfId="201">
  <autoFilter ref="A1:L598"/>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7" totalsRowShown="0" headerRowDxfId="160" dataDxfId="159">
  <autoFilter ref="A2:C37"/>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18" totalsRowShown="0" headerRowDxfId="111" dataDxfId="110">
  <autoFilter ref="A14:V18"/>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1:V22" totalsRowShown="0" headerRowDxfId="86" dataDxfId="85">
  <autoFilter ref="A21:V22"/>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4:V34" totalsRowShown="0" headerRowDxfId="61" dataDxfId="60">
  <autoFilter ref="A24:V34"/>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451" totalsRowShown="0" headerRowDxfId="328" dataDxfId="279">
  <autoFilter ref="A2:BN451"/>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7:V47" totalsRowShown="0" headerRowDxfId="36" dataDxfId="35">
  <autoFilter ref="A37:V47"/>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0" totalsRowShown="0" headerRowDxfId="327">
  <autoFilter ref="A2:AL20"/>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0" totalsRowShown="0" headerRowDxfId="324" dataDxfId="323">
  <autoFilter ref="A1:C450"/>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wadBvDPeE4E&amp;amp;t=15m00s" TargetMode="External" /><Relationship Id="rId2" Type="http://schemas.openxmlformats.org/officeDocument/2006/relationships/hyperlink" Target="https://www.youtube.com/watch?time_continue=2&amp;amp;v=TTNdcgQjvfM" TargetMode="External" /><Relationship Id="rId3" Type="http://schemas.openxmlformats.org/officeDocument/2006/relationships/hyperlink" Target="https://www.youtube.com/watch?v=wadBvDPeE4E&amp;amp;t=14m36s" TargetMode="External" /><Relationship Id="rId4" Type="http://schemas.openxmlformats.org/officeDocument/2006/relationships/hyperlink" Target="https://youtu.be/K2OkFNaGWlw" TargetMode="External" /><Relationship Id="rId5" Type="http://schemas.openxmlformats.org/officeDocument/2006/relationships/hyperlink" Target="http://math.stackexchange.com/questions/1308713/clique-percolation-method-calculation" TargetMode="External" /><Relationship Id="rId6" Type="http://schemas.openxmlformats.org/officeDocument/2006/relationships/hyperlink" Target="https://bigth.ink/GetSmarter" TargetMode="External" /><Relationship Id="rId7" Type="http://schemas.openxmlformats.org/officeDocument/2006/relationships/hyperlink" Target="https://www.youtube.com/watch?v=wadBvDPeE4E&amp;amp;t=16m00s" TargetMode="External" /><Relationship Id="rId8" Type="http://schemas.openxmlformats.org/officeDocument/2006/relationships/hyperlink" Target="https://www.youtube.com/watch?v=wadBvDPeE4E&amp;amp;t=39m15s" TargetMode="External" /><Relationship Id="rId9" Type="http://schemas.openxmlformats.org/officeDocument/2006/relationships/hyperlink" Target="https://www.youtube.com/watch?v=wadBvDPeE4E&amp;amp;t=24m16s" TargetMode="External" /><Relationship Id="rId10" Type="http://schemas.openxmlformats.org/officeDocument/2006/relationships/hyperlink" Target="https://www.youtube.com/watch?v=wadBvDPeE4E&amp;amp;t=16m03s" TargetMode="External" /><Relationship Id="rId11" Type="http://schemas.openxmlformats.org/officeDocument/2006/relationships/hyperlink" Target="https://www.youtube.com/watch?v=wadBvDPeE4E&amp;amp;t=15m00s" TargetMode="External" /><Relationship Id="rId12" Type="http://schemas.openxmlformats.org/officeDocument/2006/relationships/hyperlink" Target="https://bigth.ink/GetSmarter" TargetMode="External" /><Relationship Id="rId13" Type="http://schemas.openxmlformats.org/officeDocument/2006/relationships/hyperlink" Target="https://www.youtube.com/watch?time_continue=2&amp;amp;v=TTNdcgQjvfM" TargetMode="External" /><Relationship Id="rId14" Type="http://schemas.openxmlformats.org/officeDocument/2006/relationships/hyperlink" Target="https://www.youtube.com/watch?v=wadBvDPeE4E&amp;amp;t=14m36s" TargetMode="External" /><Relationship Id="rId15" Type="http://schemas.openxmlformats.org/officeDocument/2006/relationships/hyperlink" Target="https://youtu.be/K2OkFNaGWlw" TargetMode="External" /><Relationship Id="rId16" Type="http://schemas.openxmlformats.org/officeDocument/2006/relationships/hyperlink" Target="http://math.stackexchange.com/questions/1308713/clique-percolation-method-calculation" TargetMode="External" /><Relationship Id="rId17" Type="http://schemas.openxmlformats.org/officeDocument/2006/relationships/hyperlink" Target="https://www.youtube.com/watch?v=wadBvDPeE4E&amp;amp;t=16m00s" TargetMode="External" /><Relationship Id="rId18" Type="http://schemas.openxmlformats.org/officeDocument/2006/relationships/hyperlink" Target="https://www.youtube.com/watch?v=wadBvDPeE4E&amp;amp;t=39m15s" TargetMode="External" /><Relationship Id="rId19" Type="http://schemas.openxmlformats.org/officeDocument/2006/relationships/hyperlink" Target="https://www.youtube.com/watch?v=wadBvDPeE4E&amp;amp;t=24m16s" TargetMode="External" /><Relationship Id="rId20" Type="http://schemas.openxmlformats.org/officeDocument/2006/relationships/hyperlink" Target="https://www.youtube.com/watch?v=wadBvDPeE4E&amp;amp;t=0m31s" TargetMode="External" /><Relationship Id="rId21" Type="http://schemas.openxmlformats.org/officeDocument/2006/relationships/hyperlink" Target="https://www.youtube.com/watch?v=wadBvDPeE4E&amp;amp;t=13m00s" TargetMode="Externa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t="s">
        <v>2086</v>
      </c>
      <c r="AF2" s="13" t="s">
        <v>2118</v>
      </c>
      <c r="AG2" s="13" t="s">
        <v>2119</v>
      </c>
      <c r="AH2" s="54" t="s">
        <v>3188</v>
      </c>
      <c r="AI2" s="54" t="s">
        <v>3189</v>
      </c>
      <c r="AJ2" s="54" t="s">
        <v>3190</v>
      </c>
      <c r="AK2" s="54" t="s">
        <v>3191</v>
      </c>
      <c r="AL2" s="54" t="s">
        <v>3192</v>
      </c>
      <c r="AM2" s="54" t="s">
        <v>3193</v>
      </c>
      <c r="AN2" s="54" t="s">
        <v>3194</v>
      </c>
      <c r="AO2" s="54" t="s">
        <v>3195</v>
      </c>
      <c r="AP2" s="54" t="s">
        <v>3196</v>
      </c>
    </row>
    <row r="3" spans="1:42" ht="15" customHeight="1">
      <c r="A3" s="65" t="s">
        <v>787</v>
      </c>
      <c r="B3" s="65" t="s">
        <v>786</v>
      </c>
      <c r="C3" s="66" t="s">
        <v>4509</v>
      </c>
      <c r="D3" s="67">
        <v>3</v>
      </c>
      <c r="E3" s="68"/>
      <c r="F3" s="69">
        <v>40</v>
      </c>
      <c r="G3" s="66"/>
      <c r="H3" s="70"/>
      <c r="I3" s="71"/>
      <c r="J3" s="71"/>
      <c r="K3" s="35" t="s">
        <v>65</v>
      </c>
      <c r="L3" s="72">
        <v>3</v>
      </c>
      <c r="M3" s="72"/>
      <c r="N3" s="73"/>
      <c r="O3" s="80" t="s">
        <v>788</v>
      </c>
      <c r="P3" s="80" t="s">
        <v>325</v>
      </c>
      <c r="Q3" s="83" t="s">
        <v>1406</v>
      </c>
      <c r="R3" s="80" t="s">
        <v>787</v>
      </c>
      <c r="S3" s="80" t="s">
        <v>1854</v>
      </c>
      <c r="T3" s="85" t="str">
        <f>HYPERLINK("http://www.youtube.com/channel/UCSLgJHJXjsrclsOwc0wxg0w")</f>
        <v>http://www.youtube.com/channel/UCSLgJHJXjsrclsOwc0wxg0w</v>
      </c>
      <c r="U3" s="80"/>
      <c r="V3" s="80" t="s">
        <v>1885</v>
      </c>
      <c r="W3" s="85" t="str">
        <f>HYPERLINK("https://www.youtube.com/watch?v=wadBvDPeE4E")</f>
        <v>https://www.youtube.com/watch?v=wadBvDPeE4E</v>
      </c>
      <c r="X3" s="80" t="s">
        <v>1886</v>
      </c>
      <c r="Y3" s="80">
        <v>0</v>
      </c>
      <c r="Z3" s="87">
        <v>41202.57478009259</v>
      </c>
      <c r="AA3" s="87">
        <v>41202.57478009259</v>
      </c>
      <c r="AB3" s="80"/>
      <c r="AC3" s="80"/>
      <c r="AD3" s="83" t="s">
        <v>1927</v>
      </c>
      <c r="AE3" s="82">
        <v>1</v>
      </c>
      <c r="AF3" s="83" t="str">
        <f>REPLACE(INDEX(GroupVertices[Group],MATCH(Edges[[#This Row],[Vertex 1]],GroupVertices[Vertex],0)),1,1,"")</f>
        <v>1</v>
      </c>
      <c r="AG3" s="83" t="str">
        <f>REPLACE(INDEX(GroupVertices[Group],MATCH(Edges[[#This Row],[Vertex 2]],GroupVertices[Vertex],0)),1,1,"")</f>
        <v>1</v>
      </c>
      <c r="AH3" s="111">
        <v>1</v>
      </c>
      <c r="AI3" s="112">
        <v>14.285714285714286</v>
      </c>
      <c r="AJ3" s="111">
        <v>0</v>
      </c>
      <c r="AK3" s="112">
        <v>0</v>
      </c>
      <c r="AL3" s="111">
        <v>0</v>
      </c>
      <c r="AM3" s="112">
        <v>0</v>
      </c>
      <c r="AN3" s="111">
        <v>6</v>
      </c>
      <c r="AO3" s="112">
        <v>85.71428571428571</v>
      </c>
      <c r="AP3" s="111">
        <v>7</v>
      </c>
    </row>
    <row r="4" spans="1:42" ht="15" customHeight="1">
      <c r="A4" s="65" t="s">
        <v>339</v>
      </c>
      <c r="B4" s="65" t="s">
        <v>786</v>
      </c>
      <c r="C4" s="66" t="s">
        <v>4509</v>
      </c>
      <c r="D4" s="67">
        <v>3</v>
      </c>
      <c r="E4" s="68"/>
      <c r="F4" s="69">
        <v>40</v>
      </c>
      <c r="G4" s="66"/>
      <c r="H4" s="70"/>
      <c r="I4" s="71"/>
      <c r="J4" s="71"/>
      <c r="K4" s="35" t="s">
        <v>65</v>
      </c>
      <c r="L4" s="79">
        <v>4</v>
      </c>
      <c r="M4" s="79"/>
      <c r="N4" s="73"/>
      <c r="O4" s="81" t="s">
        <v>788</v>
      </c>
      <c r="P4" s="81" t="s">
        <v>325</v>
      </c>
      <c r="Q4" s="84" t="s">
        <v>792</v>
      </c>
      <c r="R4" s="81" t="s">
        <v>339</v>
      </c>
      <c r="S4" s="81" t="s">
        <v>1407</v>
      </c>
      <c r="T4" s="86" t="str">
        <f>HYPERLINK("http://www.youtube.com/channel/UC-xo4E5unTLL0vZgWU1r4AQ")</f>
        <v>http://www.youtube.com/channel/UC-xo4E5unTLL0vZgWU1r4AQ</v>
      </c>
      <c r="U4" s="81"/>
      <c r="V4" s="81" t="s">
        <v>1885</v>
      </c>
      <c r="W4" s="86" t="str">
        <f>HYPERLINK("https://www.youtube.com/watch?v=wadBvDPeE4E")</f>
        <v>https://www.youtube.com/watch?v=wadBvDPeE4E</v>
      </c>
      <c r="X4" s="81" t="s">
        <v>1886</v>
      </c>
      <c r="Y4" s="81">
        <v>0</v>
      </c>
      <c r="Z4" s="88">
        <v>41202.57508101852</v>
      </c>
      <c r="AA4" s="88">
        <v>41202.57508101852</v>
      </c>
      <c r="AB4" s="81"/>
      <c r="AC4" s="81"/>
      <c r="AD4" s="84" t="s">
        <v>1927</v>
      </c>
      <c r="AE4" s="82">
        <v>1</v>
      </c>
      <c r="AF4" s="83" t="str">
        <f>REPLACE(INDEX(GroupVertices[Group],MATCH(Edges[[#This Row],[Vertex 1]],GroupVertices[Vertex],0)),1,1,"")</f>
        <v>1</v>
      </c>
      <c r="AG4" s="83" t="str">
        <f>REPLACE(INDEX(GroupVertices[Group],MATCH(Edges[[#This Row],[Vertex 2]],GroupVertices[Vertex],0)),1,1,"")</f>
        <v>1</v>
      </c>
      <c r="AH4" s="111">
        <v>1</v>
      </c>
      <c r="AI4" s="112">
        <v>100</v>
      </c>
      <c r="AJ4" s="111">
        <v>0</v>
      </c>
      <c r="AK4" s="112">
        <v>0</v>
      </c>
      <c r="AL4" s="111">
        <v>0</v>
      </c>
      <c r="AM4" s="112">
        <v>0</v>
      </c>
      <c r="AN4" s="111">
        <v>0</v>
      </c>
      <c r="AO4" s="112">
        <v>0</v>
      </c>
      <c r="AP4" s="111">
        <v>1</v>
      </c>
    </row>
    <row r="5" spans="1:42" ht="15">
      <c r="A5" s="65" t="s">
        <v>340</v>
      </c>
      <c r="B5" s="65" t="s">
        <v>786</v>
      </c>
      <c r="C5" s="66" t="s">
        <v>4509</v>
      </c>
      <c r="D5" s="67">
        <v>3</v>
      </c>
      <c r="E5" s="68"/>
      <c r="F5" s="69">
        <v>40</v>
      </c>
      <c r="G5" s="66"/>
      <c r="H5" s="70"/>
      <c r="I5" s="71"/>
      <c r="J5" s="71"/>
      <c r="K5" s="35" t="s">
        <v>65</v>
      </c>
      <c r="L5" s="79">
        <v>5</v>
      </c>
      <c r="M5" s="79"/>
      <c r="N5" s="73"/>
      <c r="O5" s="81" t="s">
        <v>788</v>
      </c>
      <c r="P5" s="81" t="s">
        <v>325</v>
      </c>
      <c r="Q5" s="84" t="s">
        <v>793</v>
      </c>
      <c r="R5" s="81" t="s">
        <v>340</v>
      </c>
      <c r="S5" s="81" t="s">
        <v>1408</v>
      </c>
      <c r="T5" s="86" t="str">
        <f>HYPERLINK("http://www.youtube.com/channel/UCq-5rSVrqrldQrsC1Ec9i2g")</f>
        <v>http://www.youtube.com/channel/UCq-5rSVrqrldQrsC1Ec9i2g</v>
      </c>
      <c r="U5" s="81"/>
      <c r="V5" s="81" t="s">
        <v>1885</v>
      </c>
      <c r="W5" s="86" t="str">
        <f>HYPERLINK("https://www.youtube.com/watch?v=wadBvDPeE4E")</f>
        <v>https://www.youtube.com/watch?v=wadBvDPeE4E</v>
      </c>
      <c r="X5" s="81" t="s">
        <v>1886</v>
      </c>
      <c r="Y5" s="81">
        <v>0</v>
      </c>
      <c r="Z5" s="88">
        <v>41202.57827546296</v>
      </c>
      <c r="AA5" s="88">
        <v>41202.57827546296</v>
      </c>
      <c r="AB5" s="81"/>
      <c r="AC5" s="81"/>
      <c r="AD5" s="84" t="s">
        <v>1927</v>
      </c>
      <c r="AE5" s="82">
        <v>1</v>
      </c>
      <c r="AF5" s="83" t="str">
        <f>REPLACE(INDEX(GroupVertices[Group],MATCH(Edges[[#This Row],[Vertex 1]],GroupVertices[Vertex],0)),1,1,"")</f>
        <v>1</v>
      </c>
      <c r="AG5" s="83" t="str">
        <f>REPLACE(INDEX(GroupVertices[Group],MATCH(Edges[[#This Row],[Vertex 2]],GroupVertices[Vertex],0)),1,1,"")</f>
        <v>1</v>
      </c>
      <c r="AH5" s="111">
        <v>0</v>
      </c>
      <c r="AI5" s="112">
        <v>0</v>
      </c>
      <c r="AJ5" s="111">
        <v>0</v>
      </c>
      <c r="AK5" s="112">
        <v>0</v>
      </c>
      <c r="AL5" s="111">
        <v>0</v>
      </c>
      <c r="AM5" s="112">
        <v>0</v>
      </c>
      <c r="AN5" s="111">
        <v>11</v>
      </c>
      <c r="AO5" s="112">
        <v>100</v>
      </c>
      <c r="AP5" s="111">
        <v>11</v>
      </c>
    </row>
    <row r="6" spans="1:42" ht="15">
      <c r="A6" s="65" t="s">
        <v>341</v>
      </c>
      <c r="B6" s="65" t="s">
        <v>786</v>
      </c>
      <c r="C6" s="66" t="s">
        <v>4509</v>
      </c>
      <c r="D6" s="67">
        <v>3</v>
      </c>
      <c r="E6" s="68"/>
      <c r="F6" s="69">
        <v>40</v>
      </c>
      <c r="G6" s="66"/>
      <c r="H6" s="70"/>
      <c r="I6" s="71"/>
      <c r="J6" s="71"/>
      <c r="K6" s="35" t="s">
        <v>65</v>
      </c>
      <c r="L6" s="79">
        <v>6</v>
      </c>
      <c r="M6" s="79"/>
      <c r="N6" s="73"/>
      <c r="O6" s="81" t="s">
        <v>788</v>
      </c>
      <c r="P6" s="81" t="s">
        <v>325</v>
      </c>
      <c r="Q6" s="84" t="s">
        <v>794</v>
      </c>
      <c r="R6" s="81" t="s">
        <v>341</v>
      </c>
      <c r="S6" s="81" t="s">
        <v>1409</v>
      </c>
      <c r="T6" s="86" t="str">
        <f>HYPERLINK("http://www.youtube.com/channel/UCdFRZWk_0AH8xteTl_PghTg")</f>
        <v>http://www.youtube.com/channel/UCdFRZWk_0AH8xteTl_PghTg</v>
      </c>
      <c r="U6" s="81"/>
      <c r="V6" s="81" t="s">
        <v>1885</v>
      </c>
      <c r="W6" s="86" t="str">
        <f>HYPERLINK("https://www.youtube.com/watch?v=wadBvDPeE4E")</f>
        <v>https://www.youtube.com/watch?v=wadBvDPeE4E</v>
      </c>
      <c r="X6" s="81" t="s">
        <v>1886</v>
      </c>
      <c r="Y6" s="81">
        <v>0</v>
      </c>
      <c r="Z6" s="88">
        <v>41202.61099537037</v>
      </c>
      <c r="AA6" s="88">
        <v>41202.61099537037</v>
      </c>
      <c r="AB6" s="81"/>
      <c r="AC6" s="81"/>
      <c r="AD6" s="84" t="s">
        <v>1927</v>
      </c>
      <c r="AE6" s="82">
        <v>1</v>
      </c>
      <c r="AF6" s="83" t="str">
        <f>REPLACE(INDEX(GroupVertices[Group],MATCH(Edges[[#This Row],[Vertex 1]],GroupVertices[Vertex],0)),1,1,"")</f>
        <v>1</v>
      </c>
      <c r="AG6" s="83" t="str">
        <f>REPLACE(INDEX(GroupVertices[Group],MATCH(Edges[[#This Row],[Vertex 2]],GroupVertices[Vertex],0)),1,1,"")</f>
        <v>1</v>
      </c>
      <c r="AH6" s="111">
        <v>0</v>
      </c>
      <c r="AI6" s="112">
        <v>0</v>
      </c>
      <c r="AJ6" s="111">
        <v>0</v>
      </c>
      <c r="AK6" s="112">
        <v>0</v>
      </c>
      <c r="AL6" s="111">
        <v>0</v>
      </c>
      <c r="AM6" s="112">
        <v>0</v>
      </c>
      <c r="AN6" s="111">
        <v>10</v>
      </c>
      <c r="AO6" s="112">
        <v>100</v>
      </c>
      <c r="AP6" s="111">
        <v>10</v>
      </c>
    </row>
    <row r="7" spans="1:42" ht="15">
      <c r="A7" s="65" t="s">
        <v>342</v>
      </c>
      <c r="B7" s="65" t="s">
        <v>786</v>
      </c>
      <c r="C7" s="66" t="s">
        <v>4509</v>
      </c>
      <c r="D7" s="67">
        <v>3</v>
      </c>
      <c r="E7" s="68"/>
      <c r="F7" s="69">
        <v>40</v>
      </c>
      <c r="G7" s="66"/>
      <c r="H7" s="70"/>
      <c r="I7" s="71"/>
      <c r="J7" s="71"/>
      <c r="K7" s="35" t="s">
        <v>65</v>
      </c>
      <c r="L7" s="79">
        <v>7</v>
      </c>
      <c r="M7" s="79"/>
      <c r="N7" s="73"/>
      <c r="O7" s="81" t="s">
        <v>788</v>
      </c>
      <c r="P7" s="81" t="s">
        <v>325</v>
      </c>
      <c r="Q7" s="84" t="s">
        <v>795</v>
      </c>
      <c r="R7" s="81" t="s">
        <v>342</v>
      </c>
      <c r="S7" s="81" t="s">
        <v>1410</v>
      </c>
      <c r="T7" s="86" t="str">
        <f>HYPERLINK("http://www.youtube.com/channel/UC0g2sWrmHNo0OfJfLqY-_ZQ")</f>
        <v>http://www.youtube.com/channel/UC0g2sWrmHNo0OfJfLqY-_ZQ</v>
      </c>
      <c r="U7" s="81"/>
      <c r="V7" s="81" t="s">
        <v>1885</v>
      </c>
      <c r="W7" s="86" t="str">
        <f>HYPERLINK("https://www.youtube.com/watch?v=wadBvDPeE4E")</f>
        <v>https://www.youtube.com/watch?v=wadBvDPeE4E</v>
      </c>
      <c r="X7" s="81" t="s">
        <v>1886</v>
      </c>
      <c r="Y7" s="81">
        <v>1</v>
      </c>
      <c r="Z7" s="88">
        <v>41202.61712962963</v>
      </c>
      <c r="AA7" s="88">
        <v>41202.61712962963</v>
      </c>
      <c r="AB7" s="81"/>
      <c r="AC7" s="81"/>
      <c r="AD7" s="84" t="s">
        <v>1927</v>
      </c>
      <c r="AE7" s="82">
        <v>1</v>
      </c>
      <c r="AF7" s="83" t="str">
        <f>REPLACE(INDEX(GroupVertices[Group],MATCH(Edges[[#This Row],[Vertex 1]],GroupVertices[Vertex],0)),1,1,"")</f>
        <v>1</v>
      </c>
      <c r="AG7" s="83" t="str">
        <f>REPLACE(INDEX(GroupVertices[Group],MATCH(Edges[[#This Row],[Vertex 2]],GroupVertices[Vertex],0)),1,1,"")</f>
        <v>1</v>
      </c>
      <c r="AH7" s="111">
        <v>0</v>
      </c>
      <c r="AI7" s="112">
        <v>0</v>
      </c>
      <c r="AJ7" s="111">
        <v>0</v>
      </c>
      <c r="AK7" s="112">
        <v>0</v>
      </c>
      <c r="AL7" s="111">
        <v>0</v>
      </c>
      <c r="AM7" s="112">
        <v>0</v>
      </c>
      <c r="AN7" s="111">
        <v>15</v>
      </c>
      <c r="AO7" s="112">
        <v>100</v>
      </c>
      <c r="AP7" s="111">
        <v>15</v>
      </c>
    </row>
    <row r="8" spans="1:42" ht="15">
      <c r="A8" s="65" t="s">
        <v>343</v>
      </c>
      <c r="B8" s="65" t="s">
        <v>786</v>
      </c>
      <c r="C8" s="66" t="s">
        <v>4509</v>
      </c>
      <c r="D8" s="67">
        <v>3</v>
      </c>
      <c r="E8" s="68"/>
      <c r="F8" s="69">
        <v>40</v>
      </c>
      <c r="G8" s="66"/>
      <c r="H8" s="70"/>
      <c r="I8" s="71"/>
      <c r="J8" s="71"/>
      <c r="K8" s="35" t="s">
        <v>65</v>
      </c>
      <c r="L8" s="79">
        <v>8</v>
      </c>
      <c r="M8" s="79"/>
      <c r="N8" s="73"/>
      <c r="O8" s="81" t="s">
        <v>788</v>
      </c>
      <c r="P8" s="81" t="s">
        <v>325</v>
      </c>
      <c r="Q8" s="84" t="s">
        <v>796</v>
      </c>
      <c r="R8" s="81" t="s">
        <v>343</v>
      </c>
      <c r="S8" s="81" t="s">
        <v>1411</v>
      </c>
      <c r="T8" s="86" t="str">
        <f>HYPERLINK("http://www.youtube.com/channel/UCmZiXelUcA2UFIGMLMD0ZkA")</f>
        <v>http://www.youtube.com/channel/UCmZiXelUcA2UFIGMLMD0ZkA</v>
      </c>
      <c r="U8" s="81"/>
      <c r="V8" s="81" t="s">
        <v>1885</v>
      </c>
      <c r="W8" s="86" t="str">
        <f>HYPERLINK("https://www.youtube.com/watch?v=wadBvDPeE4E")</f>
        <v>https://www.youtube.com/watch?v=wadBvDPeE4E</v>
      </c>
      <c r="X8" s="81" t="s">
        <v>1886</v>
      </c>
      <c r="Y8" s="81">
        <v>0</v>
      </c>
      <c r="Z8" s="88">
        <v>41202.62013888889</v>
      </c>
      <c r="AA8" s="88">
        <v>41202.62013888889</v>
      </c>
      <c r="AB8" s="81"/>
      <c r="AC8" s="81"/>
      <c r="AD8" s="84" t="s">
        <v>1927</v>
      </c>
      <c r="AE8" s="82">
        <v>1</v>
      </c>
      <c r="AF8" s="83" t="str">
        <f>REPLACE(INDEX(GroupVertices[Group],MATCH(Edges[[#This Row],[Vertex 1]],GroupVertices[Vertex],0)),1,1,"")</f>
        <v>1</v>
      </c>
      <c r="AG8" s="83" t="str">
        <f>REPLACE(INDEX(GroupVertices[Group],MATCH(Edges[[#This Row],[Vertex 2]],GroupVertices[Vertex],0)),1,1,"")</f>
        <v>1</v>
      </c>
      <c r="AH8" s="111">
        <v>1</v>
      </c>
      <c r="AI8" s="112">
        <v>100</v>
      </c>
      <c r="AJ8" s="111">
        <v>0</v>
      </c>
      <c r="AK8" s="112">
        <v>0</v>
      </c>
      <c r="AL8" s="111">
        <v>0</v>
      </c>
      <c r="AM8" s="112">
        <v>0</v>
      </c>
      <c r="AN8" s="111">
        <v>0</v>
      </c>
      <c r="AO8" s="112">
        <v>0</v>
      </c>
      <c r="AP8" s="111">
        <v>1</v>
      </c>
    </row>
    <row r="9" spans="1:42" ht="15">
      <c r="A9" s="65" t="s">
        <v>344</v>
      </c>
      <c r="B9" s="65" t="s">
        <v>786</v>
      </c>
      <c r="C9" s="66" t="s">
        <v>4509</v>
      </c>
      <c r="D9" s="67">
        <v>3</v>
      </c>
      <c r="E9" s="68"/>
      <c r="F9" s="69">
        <v>40</v>
      </c>
      <c r="G9" s="66"/>
      <c r="H9" s="70"/>
      <c r="I9" s="71"/>
      <c r="J9" s="71"/>
      <c r="K9" s="35" t="s">
        <v>65</v>
      </c>
      <c r="L9" s="79">
        <v>9</v>
      </c>
      <c r="M9" s="79"/>
      <c r="N9" s="73"/>
      <c r="O9" s="81" t="s">
        <v>788</v>
      </c>
      <c r="P9" s="81" t="s">
        <v>325</v>
      </c>
      <c r="Q9" s="84" t="s">
        <v>797</v>
      </c>
      <c r="R9" s="81" t="s">
        <v>344</v>
      </c>
      <c r="S9" s="81" t="s">
        <v>1412</v>
      </c>
      <c r="T9" s="86" t="str">
        <f>HYPERLINK("http://www.youtube.com/channel/UCxJxernZ1l51Mw8cJYJevFw")</f>
        <v>http://www.youtube.com/channel/UCxJxernZ1l51Mw8cJYJevFw</v>
      </c>
      <c r="U9" s="81"/>
      <c r="V9" s="81" t="s">
        <v>1885</v>
      </c>
      <c r="W9" s="86" t="str">
        <f>HYPERLINK("https://www.youtube.com/watch?v=wadBvDPeE4E")</f>
        <v>https://www.youtube.com/watch?v=wadBvDPeE4E</v>
      </c>
      <c r="X9" s="81" t="s">
        <v>1886</v>
      </c>
      <c r="Y9" s="81">
        <v>0</v>
      </c>
      <c r="Z9" s="88">
        <v>41202.62048611111</v>
      </c>
      <c r="AA9" s="88">
        <v>41202.62048611111</v>
      </c>
      <c r="AB9" s="81"/>
      <c r="AC9" s="81"/>
      <c r="AD9" s="84" t="s">
        <v>1927</v>
      </c>
      <c r="AE9" s="82">
        <v>1</v>
      </c>
      <c r="AF9" s="83" t="str">
        <f>REPLACE(INDEX(GroupVertices[Group],MATCH(Edges[[#This Row],[Vertex 1]],GroupVertices[Vertex],0)),1,1,"")</f>
        <v>1</v>
      </c>
      <c r="AG9" s="83" t="str">
        <f>REPLACE(INDEX(GroupVertices[Group],MATCH(Edges[[#This Row],[Vertex 2]],GroupVertices[Vertex],0)),1,1,"")</f>
        <v>1</v>
      </c>
      <c r="AH9" s="111">
        <v>1</v>
      </c>
      <c r="AI9" s="112">
        <v>33.333333333333336</v>
      </c>
      <c r="AJ9" s="111">
        <v>1</v>
      </c>
      <c r="AK9" s="112">
        <v>33.333333333333336</v>
      </c>
      <c r="AL9" s="111">
        <v>0</v>
      </c>
      <c r="AM9" s="112">
        <v>0</v>
      </c>
      <c r="AN9" s="111">
        <v>1</v>
      </c>
      <c r="AO9" s="112">
        <v>33.333333333333336</v>
      </c>
      <c r="AP9" s="111">
        <v>3</v>
      </c>
    </row>
    <row r="10" spans="1:42" ht="15">
      <c r="A10" s="65" t="s">
        <v>345</v>
      </c>
      <c r="B10" s="65" t="s">
        <v>786</v>
      </c>
      <c r="C10" s="66" t="s">
        <v>4509</v>
      </c>
      <c r="D10" s="67">
        <v>3</v>
      </c>
      <c r="E10" s="68"/>
      <c r="F10" s="69">
        <v>40</v>
      </c>
      <c r="G10" s="66"/>
      <c r="H10" s="70"/>
      <c r="I10" s="71"/>
      <c r="J10" s="71"/>
      <c r="K10" s="35" t="s">
        <v>65</v>
      </c>
      <c r="L10" s="79">
        <v>10</v>
      </c>
      <c r="M10" s="79"/>
      <c r="N10" s="73"/>
      <c r="O10" s="81" t="s">
        <v>788</v>
      </c>
      <c r="P10" s="81" t="s">
        <v>325</v>
      </c>
      <c r="Q10" s="84" t="s">
        <v>798</v>
      </c>
      <c r="R10" s="81" t="s">
        <v>345</v>
      </c>
      <c r="S10" s="81" t="s">
        <v>1413</v>
      </c>
      <c r="T10" s="86" t="str">
        <f>HYPERLINK("http://www.youtube.com/channel/UCjz9CCl1iTxmGe1OUnlTZlg")</f>
        <v>http://www.youtube.com/channel/UCjz9CCl1iTxmGe1OUnlTZlg</v>
      </c>
      <c r="U10" s="81"/>
      <c r="V10" s="81" t="s">
        <v>1885</v>
      </c>
      <c r="W10" s="86" t="str">
        <f>HYPERLINK("https://www.youtube.com/watch?v=wadBvDPeE4E")</f>
        <v>https://www.youtube.com/watch?v=wadBvDPeE4E</v>
      </c>
      <c r="X10" s="81" t="s">
        <v>1886</v>
      </c>
      <c r="Y10" s="81">
        <v>0</v>
      </c>
      <c r="Z10" s="88">
        <v>41202.62300925926</v>
      </c>
      <c r="AA10" s="88">
        <v>41202.62300925926</v>
      </c>
      <c r="AB10" s="81"/>
      <c r="AC10" s="81"/>
      <c r="AD10" s="84" t="s">
        <v>1927</v>
      </c>
      <c r="AE10" s="82">
        <v>1</v>
      </c>
      <c r="AF10" s="83" t="str">
        <f>REPLACE(INDEX(GroupVertices[Group],MATCH(Edges[[#This Row],[Vertex 1]],GroupVertices[Vertex],0)),1,1,"")</f>
        <v>1</v>
      </c>
      <c r="AG10" s="83" t="str">
        <f>REPLACE(INDEX(GroupVertices[Group],MATCH(Edges[[#This Row],[Vertex 2]],GroupVertices[Vertex],0)),1,1,"")</f>
        <v>1</v>
      </c>
      <c r="AH10" s="111">
        <v>0</v>
      </c>
      <c r="AI10" s="112">
        <v>0</v>
      </c>
      <c r="AJ10" s="111">
        <v>0</v>
      </c>
      <c r="AK10" s="112">
        <v>0</v>
      </c>
      <c r="AL10" s="111">
        <v>0</v>
      </c>
      <c r="AM10" s="112">
        <v>0</v>
      </c>
      <c r="AN10" s="111">
        <v>5</v>
      </c>
      <c r="AO10" s="112">
        <v>100</v>
      </c>
      <c r="AP10" s="111">
        <v>5</v>
      </c>
    </row>
    <row r="11" spans="1:42" ht="15">
      <c r="A11" s="65" t="s">
        <v>346</v>
      </c>
      <c r="B11" s="65" t="s">
        <v>786</v>
      </c>
      <c r="C11" s="66" t="s">
        <v>4509</v>
      </c>
      <c r="D11" s="67">
        <v>3</v>
      </c>
      <c r="E11" s="68"/>
      <c r="F11" s="69">
        <v>40</v>
      </c>
      <c r="G11" s="66"/>
      <c r="H11" s="70"/>
      <c r="I11" s="71"/>
      <c r="J11" s="71"/>
      <c r="K11" s="35" t="s">
        <v>65</v>
      </c>
      <c r="L11" s="79">
        <v>11</v>
      </c>
      <c r="M11" s="79"/>
      <c r="N11" s="73"/>
      <c r="O11" s="81" t="s">
        <v>788</v>
      </c>
      <c r="P11" s="81" t="s">
        <v>325</v>
      </c>
      <c r="Q11" s="84" t="s">
        <v>799</v>
      </c>
      <c r="R11" s="81" t="s">
        <v>346</v>
      </c>
      <c r="S11" s="81" t="s">
        <v>1414</v>
      </c>
      <c r="T11" s="86" t="str">
        <f>HYPERLINK("http://www.youtube.com/channel/UCdltSbWm9lJIhMfl8FmGG5Q")</f>
        <v>http://www.youtube.com/channel/UCdltSbWm9lJIhMfl8FmGG5Q</v>
      </c>
      <c r="U11" s="81"/>
      <c r="V11" s="81" t="s">
        <v>1885</v>
      </c>
      <c r="W11" s="86" t="str">
        <f>HYPERLINK("https://www.youtube.com/watch?v=wadBvDPeE4E")</f>
        <v>https://www.youtube.com/watch?v=wadBvDPeE4E</v>
      </c>
      <c r="X11" s="81" t="s">
        <v>1886</v>
      </c>
      <c r="Y11" s="81">
        <v>0</v>
      </c>
      <c r="Z11" s="88">
        <v>41202.628703703704</v>
      </c>
      <c r="AA11" s="88">
        <v>41202.628703703704</v>
      </c>
      <c r="AB11" s="81"/>
      <c r="AC11" s="81"/>
      <c r="AD11" s="84" t="s">
        <v>1927</v>
      </c>
      <c r="AE11" s="82">
        <v>1</v>
      </c>
      <c r="AF11" s="83" t="str">
        <f>REPLACE(INDEX(GroupVertices[Group],MATCH(Edges[[#This Row],[Vertex 1]],GroupVertices[Vertex],0)),1,1,"")</f>
        <v>1</v>
      </c>
      <c r="AG11" s="83" t="str">
        <f>REPLACE(INDEX(GroupVertices[Group],MATCH(Edges[[#This Row],[Vertex 2]],GroupVertices[Vertex],0)),1,1,"")</f>
        <v>1</v>
      </c>
      <c r="AH11" s="111">
        <v>0</v>
      </c>
      <c r="AI11" s="112">
        <v>0</v>
      </c>
      <c r="AJ11" s="111">
        <v>4</v>
      </c>
      <c r="AK11" s="112">
        <v>6.349206349206349</v>
      </c>
      <c r="AL11" s="111">
        <v>0</v>
      </c>
      <c r="AM11" s="112">
        <v>0</v>
      </c>
      <c r="AN11" s="111">
        <v>59</v>
      </c>
      <c r="AO11" s="112">
        <v>93.65079365079364</v>
      </c>
      <c r="AP11" s="111">
        <v>63</v>
      </c>
    </row>
    <row r="12" spans="1:42" ht="15">
      <c r="A12" s="65" t="s">
        <v>347</v>
      </c>
      <c r="B12" s="65" t="s">
        <v>786</v>
      </c>
      <c r="C12" s="66" t="s">
        <v>4509</v>
      </c>
      <c r="D12" s="67">
        <v>3</v>
      </c>
      <c r="E12" s="68"/>
      <c r="F12" s="69">
        <v>40</v>
      </c>
      <c r="G12" s="66"/>
      <c r="H12" s="70"/>
      <c r="I12" s="71"/>
      <c r="J12" s="71"/>
      <c r="K12" s="35" t="s">
        <v>65</v>
      </c>
      <c r="L12" s="79">
        <v>12</v>
      </c>
      <c r="M12" s="79"/>
      <c r="N12" s="73"/>
      <c r="O12" s="81" t="s">
        <v>788</v>
      </c>
      <c r="P12" s="81" t="s">
        <v>325</v>
      </c>
      <c r="Q12" s="84" t="s">
        <v>800</v>
      </c>
      <c r="R12" s="81" t="s">
        <v>347</v>
      </c>
      <c r="S12" s="81" t="s">
        <v>1415</v>
      </c>
      <c r="T12" s="86" t="str">
        <f>HYPERLINK("http://www.youtube.com/channel/UCRtq4i56vn5UYRK8kJolQEg")</f>
        <v>http://www.youtube.com/channel/UCRtq4i56vn5UYRK8kJolQEg</v>
      </c>
      <c r="U12" s="81"/>
      <c r="V12" s="81" t="s">
        <v>1885</v>
      </c>
      <c r="W12" s="86" t="str">
        <f>HYPERLINK("https://www.youtube.com/watch?v=wadBvDPeE4E")</f>
        <v>https://www.youtube.com/watch?v=wadBvDPeE4E</v>
      </c>
      <c r="X12" s="81" t="s">
        <v>1886</v>
      </c>
      <c r="Y12" s="81">
        <v>0</v>
      </c>
      <c r="Z12" s="88">
        <v>41202.6346875</v>
      </c>
      <c r="AA12" s="88">
        <v>41202.6346875</v>
      </c>
      <c r="AB12" s="81"/>
      <c r="AC12" s="81"/>
      <c r="AD12" s="84" t="s">
        <v>1927</v>
      </c>
      <c r="AE12" s="82">
        <v>1</v>
      </c>
      <c r="AF12" s="83" t="str">
        <f>REPLACE(INDEX(GroupVertices[Group],MATCH(Edges[[#This Row],[Vertex 1]],GroupVertices[Vertex],0)),1,1,"")</f>
        <v>1</v>
      </c>
      <c r="AG12" s="83" t="str">
        <f>REPLACE(INDEX(GroupVertices[Group],MATCH(Edges[[#This Row],[Vertex 2]],GroupVertices[Vertex],0)),1,1,"")</f>
        <v>1</v>
      </c>
      <c r="AH12" s="111">
        <v>1</v>
      </c>
      <c r="AI12" s="112">
        <v>25</v>
      </c>
      <c r="AJ12" s="111">
        <v>0</v>
      </c>
      <c r="AK12" s="112">
        <v>0</v>
      </c>
      <c r="AL12" s="111">
        <v>0</v>
      </c>
      <c r="AM12" s="112">
        <v>0</v>
      </c>
      <c r="AN12" s="111">
        <v>3</v>
      </c>
      <c r="AO12" s="112">
        <v>75</v>
      </c>
      <c r="AP12" s="111">
        <v>4</v>
      </c>
    </row>
    <row r="13" spans="1:42" ht="15">
      <c r="A13" s="65" t="s">
        <v>348</v>
      </c>
      <c r="B13" s="65" t="s">
        <v>786</v>
      </c>
      <c r="C13" s="66" t="s">
        <v>4509</v>
      </c>
      <c r="D13" s="67">
        <v>3</v>
      </c>
      <c r="E13" s="68"/>
      <c r="F13" s="69">
        <v>40</v>
      </c>
      <c r="G13" s="66"/>
      <c r="H13" s="70"/>
      <c r="I13" s="71"/>
      <c r="J13" s="71"/>
      <c r="K13" s="35" t="s">
        <v>65</v>
      </c>
      <c r="L13" s="79">
        <v>13</v>
      </c>
      <c r="M13" s="79"/>
      <c r="N13" s="73"/>
      <c r="O13" s="81" t="s">
        <v>788</v>
      </c>
      <c r="P13" s="81" t="s">
        <v>325</v>
      </c>
      <c r="Q13" s="84" t="s">
        <v>801</v>
      </c>
      <c r="R13" s="81" t="s">
        <v>348</v>
      </c>
      <c r="S13" s="81" t="s">
        <v>1416</v>
      </c>
      <c r="T13" s="86" t="str">
        <f>HYPERLINK("http://www.youtube.com/channel/UCZCKSdOmcCvKpjKGwtBX_Mg")</f>
        <v>http://www.youtube.com/channel/UCZCKSdOmcCvKpjKGwtBX_Mg</v>
      </c>
      <c r="U13" s="81"/>
      <c r="V13" s="81" t="s">
        <v>1885</v>
      </c>
      <c r="W13" s="86" t="str">
        <f>HYPERLINK("https://www.youtube.com/watch?v=wadBvDPeE4E")</f>
        <v>https://www.youtube.com/watch?v=wadBvDPeE4E</v>
      </c>
      <c r="X13" s="81" t="s">
        <v>1886</v>
      </c>
      <c r="Y13" s="81">
        <v>0</v>
      </c>
      <c r="Z13" s="88">
        <v>41202.63543981482</v>
      </c>
      <c r="AA13" s="88">
        <v>41202.63543981482</v>
      </c>
      <c r="AB13" s="81"/>
      <c r="AC13" s="81"/>
      <c r="AD13" s="84" t="s">
        <v>1927</v>
      </c>
      <c r="AE13" s="82">
        <v>1</v>
      </c>
      <c r="AF13" s="83" t="str">
        <f>REPLACE(INDEX(GroupVertices[Group],MATCH(Edges[[#This Row],[Vertex 1]],GroupVertices[Vertex],0)),1,1,"")</f>
        <v>1</v>
      </c>
      <c r="AG13" s="83" t="str">
        <f>REPLACE(INDEX(GroupVertices[Group],MATCH(Edges[[#This Row],[Vertex 2]],GroupVertices[Vertex],0)),1,1,"")</f>
        <v>1</v>
      </c>
      <c r="AH13" s="111">
        <v>1</v>
      </c>
      <c r="AI13" s="112">
        <v>4.545454545454546</v>
      </c>
      <c r="AJ13" s="111">
        <v>1</v>
      </c>
      <c r="AK13" s="112">
        <v>4.545454545454546</v>
      </c>
      <c r="AL13" s="111">
        <v>0</v>
      </c>
      <c r="AM13" s="112">
        <v>0</v>
      </c>
      <c r="AN13" s="111">
        <v>20</v>
      </c>
      <c r="AO13" s="112">
        <v>90.9090909090909</v>
      </c>
      <c r="AP13" s="111">
        <v>22</v>
      </c>
    </row>
    <row r="14" spans="1:42" ht="15">
      <c r="A14" s="65" t="s">
        <v>349</v>
      </c>
      <c r="B14" s="65" t="s">
        <v>786</v>
      </c>
      <c r="C14" s="66" t="s">
        <v>4510</v>
      </c>
      <c r="D14" s="67">
        <v>5.333333333333334</v>
      </c>
      <c r="E14" s="68"/>
      <c r="F14" s="69">
        <v>31.666666666666664</v>
      </c>
      <c r="G14" s="66"/>
      <c r="H14" s="70"/>
      <c r="I14" s="71"/>
      <c r="J14" s="71"/>
      <c r="K14" s="35" t="s">
        <v>65</v>
      </c>
      <c r="L14" s="79">
        <v>14</v>
      </c>
      <c r="M14" s="79"/>
      <c r="N14" s="73"/>
      <c r="O14" s="81" t="s">
        <v>788</v>
      </c>
      <c r="P14" s="81" t="s">
        <v>325</v>
      </c>
      <c r="Q14" s="84" t="s">
        <v>802</v>
      </c>
      <c r="R14" s="81" t="s">
        <v>349</v>
      </c>
      <c r="S14" s="81" t="s">
        <v>1417</v>
      </c>
      <c r="T14" s="86" t="str">
        <f>HYPERLINK("http://www.youtube.com/channel/UCMZmRotvr03iokIMtRNN_LQ")</f>
        <v>http://www.youtube.com/channel/UCMZmRotvr03iokIMtRNN_LQ</v>
      </c>
      <c r="U14" s="81"/>
      <c r="V14" s="81" t="s">
        <v>1885</v>
      </c>
      <c r="W14" s="86" t="str">
        <f>HYPERLINK("https://www.youtube.com/watch?v=wadBvDPeE4E")</f>
        <v>https://www.youtube.com/watch?v=wadBvDPeE4E</v>
      </c>
      <c r="X14" s="81" t="s">
        <v>1886</v>
      </c>
      <c r="Y14" s="81">
        <v>0</v>
      </c>
      <c r="Z14" s="88">
        <v>41202.61141203704</v>
      </c>
      <c r="AA14" s="88">
        <v>41202.61141203704</v>
      </c>
      <c r="AB14" s="81"/>
      <c r="AC14" s="81"/>
      <c r="AD14" s="84" t="s">
        <v>1927</v>
      </c>
      <c r="AE14" s="82">
        <v>2</v>
      </c>
      <c r="AF14" s="83" t="str">
        <f>REPLACE(INDEX(GroupVertices[Group],MATCH(Edges[[#This Row],[Vertex 1]],GroupVertices[Vertex],0)),1,1,"")</f>
        <v>1</v>
      </c>
      <c r="AG14" s="83" t="str">
        <f>REPLACE(INDEX(GroupVertices[Group],MATCH(Edges[[#This Row],[Vertex 2]],GroupVertices[Vertex],0)),1,1,"")</f>
        <v>1</v>
      </c>
      <c r="AH14" s="111">
        <v>3</v>
      </c>
      <c r="AI14" s="112">
        <v>6.382978723404255</v>
      </c>
      <c r="AJ14" s="111">
        <v>0</v>
      </c>
      <c r="AK14" s="112">
        <v>0</v>
      </c>
      <c r="AL14" s="111">
        <v>0</v>
      </c>
      <c r="AM14" s="112">
        <v>0</v>
      </c>
      <c r="AN14" s="111">
        <v>44</v>
      </c>
      <c r="AO14" s="112">
        <v>93.61702127659575</v>
      </c>
      <c r="AP14" s="111">
        <v>47</v>
      </c>
    </row>
    <row r="15" spans="1:42" ht="15">
      <c r="A15" s="65" t="s">
        <v>349</v>
      </c>
      <c r="B15" s="65" t="s">
        <v>786</v>
      </c>
      <c r="C15" s="66" t="s">
        <v>4510</v>
      </c>
      <c r="D15" s="67">
        <v>5.333333333333334</v>
      </c>
      <c r="E15" s="68"/>
      <c r="F15" s="69">
        <v>31.666666666666664</v>
      </c>
      <c r="G15" s="66"/>
      <c r="H15" s="70"/>
      <c r="I15" s="71"/>
      <c r="J15" s="71"/>
      <c r="K15" s="35" t="s">
        <v>65</v>
      </c>
      <c r="L15" s="79">
        <v>15</v>
      </c>
      <c r="M15" s="79"/>
      <c r="N15" s="73"/>
      <c r="O15" s="81" t="s">
        <v>788</v>
      </c>
      <c r="P15" s="81" t="s">
        <v>325</v>
      </c>
      <c r="Q15" s="84" t="s">
        <v>803</v>
      </c>
      <c r="R15" s="81" t="s">
        <v>349</v>
      </c>
      <c r="S15" s="81" t="s">
        <v>1417</v>
      </c>
      <c r="T15" s="86" t="str">
        <f>HYPERLINK("http://www.youtube.com/channel/UCMZmRotvr03iokIMtRNN_LQ")</f>
        <v>http://www.youtube.com/channel/UCMZmRotvr03iokIMtRNN_LQ</v>
      </c>
      <c r="U15" s="81"/>
      <c r="V15" s="81" t="s">
        <v>1885</v>
      </c>
      <c r="W15" s="86" t="str">
        <f>HYPERLINK("https://www.youtube.com/watch?v=wadBvDPeE4E")</f>
        <v>https://www.youtube.com/watch?v=wadBvDPeE4E</v>
      </c>
      <c r="X15" s="81" t="s">
        <v>1886</v>
      </c>
      <c r="Y15" s="81">
        <v>0</v>
      </c>
      <c r="Z15" s="88">
        <v>41202.636770833335</v>
      </c>
      <c r="AA15" s="88">
        <v>41202.636770833335</v>
      </c>
      <c r="AB15" s="81"/>
      <c r="AC15" s="81"/>
      <c r="AD15" s="84" t="s">
        <v>1927</v>
      </c>
      <c r="AE15" s="82">
        <v>2</v>
      </c>
      <c r="AF15" s="83" t="str">
        <f>REPLACE(INDEX(GroupVertices[Group],MATCH(Edges[[#This Row],[Vertex 1]],GroupVertices[Vertex],0)),1,1,"")</f>
        <v>1</v>
      </c>
      <c r="AG15" s="83" t="str">
        <f>REPLACE(INDEX(GroupVertices[Group],MATCH(Edges[[#This Row],[Vertex 2]],GroupVertices[Vertex],0)),1,1,"")</f>
        <v>1</v>
      </c>
      <c r="AH15" s="111">
        <v>1</v>
      </c>
      <c r="AI15" s="112">
        <v>3.225806451612903</v>
      </c>
      <c r="AJ15" s="111">
        <v>0</v>
      </c>
      <c r="AK15" s="112">
        <v>0</v>
      </c>
      <c r="AL15" s="111">
        <v>0</v>
      </c>
      <c r="AM15" s="112">
        <v>0</v>
      </c>
      <c r="AN15" s="111">
        <v>30</v>
      </c>
      <c r="AO15" s="112">
        <v>96.7741935483871</v>
      </c>
      <c r="AP15" s="111">
        <v>31</v>
      </c>
    </row>
    <row r="16" spans="1:42" ht="15">
      <c r="A16" s="65" t="s">
        <v>350</v>
      </c>
      <c r="B16" s="65" t="s">
        <v>786</v>
      </c>
      <c r="C16" s="66" t="s">
        <v>4511</v>
      </c>
      <c r="D16" s="67">
        <v>7.666666666666667</v>
      </c>
      <c r="E16" s="68"/>
      <c r="F16" s="69">
        <v>23.333333333333332</v>
      </c>
      <c r="G16" s="66"/>
      <c r="H16" s="70"/>
      <c r="I16" s="71"/>
      <c r="J16" s="71"/>
      <c r="K16" s="35" t="s">
        <v>65</v>
      </c>
      <c r="L16" s="79">
        <v>16</v>
      </c>
      <c r="M16" s="79"/>
      <c r="N16" s="73"/>
      <c r="O16" s="81" t="s">
        <v>788</v>
      </c>
      <c r="P16" s="81" t="s">
        <v>325</v>
      </c>
      <c r="Q16" s="84" t="s">
        <v>804</v>
      </c>
      <c r="R16" s="81" t="s">
        <v>350</v>
      </c>
      <c r="S16" s="81" t="s">
        <v>1418</v>
      </c>
      <c r="T16" s="86" t="str">
        <f>HYPERLINK("http://www.youtube.com/channel/UC8qjAvcHT8xZjRuF_dEppxg")</f>
        <v>http://www.youtube.com/channel/UC8qjAvcHT8xZjRuF_dEppxg</v>
      </c>
      <c r="U16" s="81"/>
      <c r="V16" s="81" t="s">
        <v>1885</v>
      </c>
      <c r="W16" s="86" t="str">
        <f>HYPERLINK("https://www.youtube.com/watch?v=wadBvDPeE4E")</f>
        <v>https://www.youtube.com/watch?v=wadBvDPeE4E</v>
      </c>
      <c r="X16" s="81" t="s">
        <v>1886</v>
      </c>
      <c r="Y16" s="81">
        <v>0</v>
      </c>
      <c r="Z16" s="88">
        <v>41202.58403935185</v>
      </c>
      <c r="AA16" s="88">
        <v>41202.58403935185</v>
      </c>
      <c r="AB16" s="81"/>
      <c r="AC16" s="81"/>
      <c r="AD16" s="84" t="s">
        <v>1927</v>
      </c>
      <c r="AE16" s="82">
        <v>3</v>
      </c>
      <c r="AF16" s="83" t="str">
        <f>REPLACE(INDEX(GroupVertices[Group],MATCH(Edges[[#This Row],[Vertex 1]],GroupVertices[Vertex],0)),1,1,"")</f>
        <v>1</v>
      </c>
      <c r="AG16" s="83" t="str">
        <f>REPLACE(INDEX(GroupVertices[Group],MATCH(Edges[[#This Row],[Vertex 2]],GroupVertices[Vertex],0)),1,1,"")</f>
        <v>1</v>
      </c>
      <c r="AH16" s="111">
        <v>0</v>
      </c>
      <c r="AI16" s="112">
        <v>0</v>
      </c>
      <c r="AJ16" s="111">
        <v>0</v>
      </c>
      <c r="AK16" s="112">
        <v>0</v>
      </c>
      <c r="AL16" s="111">
        <v>0</v>
      </c>
      <c r="AM16" s="112">
        <v>0</v>
      </c>
      <c r="AN16" s="111">
        <v>14</v>
      </c>
      <c r="AO16" s="112">
        <v>100</v>
      </c>
      <c r="AP16" s="111">
        <v>14</v>
      </c>
    </row>
    <row r="17" spans="1:42" ht="15">
      <c r="A17" s="65" t="s">
        <v>350</v>
      </c>
      <c r="B17" s="65" t="s">
        <v>786</v>
      </c>
      <c r="C17" s="66" t="s">
        <v>4511</v>
      </c>
      <c r="D17" s="67">
        <v>7.666666666666667</v>
      </c>
      <c r="E17" s="68"/>
      <c r="F17" s="69">
        <v>23.333333333333332</v>
      </c>
      <c r="G17" s="66"/>
      <c r="H17" s="70"/>
      <c r="I17" s="71"/>
      <c r="J17" s="71"/>
      <c r="K17" s="35" t="s">
        <v>65</v>
      </c>
      <c r="L17" s="79">
        <v>17</v>
      </c>
      <c r="M17" s="79"/>
      <c r="N17" s="73"/>
      <c r="O17" s="81" t="s">
        <v>788</v>
      </c>
      <c r="P17" s="81" t="s">
        <v>325</v>
      </c>
      <c r="Q17" s="84" t="s">
        <v>805</v>
      </c>
      <c r="R17" s="81" t="s">
        <v>350</v>
      </c>
      <c r="S17" s="81" t="s">
        <v>1418</v>
      </c>
      <c r="T17" s="86" t="str">
        <f>HYPERLINK("http://www.youtube.com/channel/UC8qjAvcHT8xZjRuF_dEppxg")</f>
        <v>http://www.youtube.com/channel/UC8qjAvcHT8xZjRuF_dEppxg</v>
      </c>
      <c r="U17" s="81"/>
      <c r="V17" s="81" t="s">
        <v>1885</v>
      </c>
      <c r="W17" s="86" t="str">
        <f>HYPERLINK("https://www.youtube.com/watch?v=wadBvDPeE4E")</f>
        <v>https://www.youtube.com/watch?v=wadBvDPeE4E</v>
      </c>
      <c r="X17" s="81" t="s">
        <v>1886</v>
      </c>
      <c r="Y17" s="81">
        <v>0</v>
      </c>
      <c r="Z17" s="88">
        <v>41202.585023148145</v>
      </c>
      <c r="AA17" s="88">
        <v>41202.585023148145</v>
      </c>
      <c r="AB17" s="81"/>
      <c r="AC17" s="81"/>
      <c r="AD17" s="84" t="s">
        <v>1927</v>
      </c>
      <c r="AE17" s="82">
        <v>3</v>
      </c>
      <c r="AF17" s="83" t="str">
        <f>REPLACE(INDEX(GroupVertices[Group],MATCH(Edges[[#This Row],[Vertex 1]],GroupVertices[Vertex],0)),1,1,"")</f>
        <v>1</v>
      </c>
      <c r="AG17" s="83" t="str">
        <f>REPLACE(INDEX(GroupVertices[Group],MATCH(Edges[[#This Row],[Vertex 2]],GroupVertices[Vertex],0)),1,1,"")</f>
        <v>1</v>
      </c>
      <c r="AH17" s="111">
        <v>2</v>
      </c>
      <c r="AI17" s="112">
        <v>14.285714285714286</v>
      </c>
      <c r="AJ17" s="111">
        <v>0</v>
      </c>
      <c r="AK17" s="112">
        <v>0</v>
      </c>
      <c r="AL17" s="111">
        <v>0</v>
      </c>
      <c r="AM17" s="112">
        <v>0</v>
      </c>
      <c r="AN17" s="111">
        <v>12</v>
      </c>
      <c r="AO17" s="112">
        <v>85.71428571428571</v>
      </c>
      <c r="AP17" s="111">
        <v>14</v>
      </c>
    </row>
    <row r="18" spans="1:42" ht="15">
      <c r="A18" s="65" t="s">
        <v>350</v>
      </c>
      <c r="B18" s="65" t="s">
        <v>786</v>
      </c>
      <c r="C18" s="66" t="s">
        <v>4511</v>
      </c>
      <c r="D18" s="67">
        <v>7.666666666666667</v>
      </c>
      <c r="E18" s="68"/>
      <c r="F18" s="69">
        <v>23.333333333333332</v>
      </c>
      <c r="G18" s="66"/>
      <c r="H18" s="70"/>
      <c r="I18" s="71"/>
      <c r="J18" s="71"/>
      <c r="K18" s="35" t="s">
        <v>65</v>
      </c>
      <c r="L18" s="79">
        <v>18</v>
      </c>
      <c r="M18" s="79"/>
      <c r="N18" s="73"/>
      <c r="O18" s="81" t="s">
        <v>788</v>
      </c>
      <c r="P18" s="81" t="s">
        <v>325</v>
      </c>
      <c r="Q18" s="84" t="s">
        <v>806</v>
      </c>
      <c r="R18" s="81" t="s">
        <v>350</v>
      </c>
      <c r="S18" s="81" t="s">
        <v>1418</v>
      </c>
      <c r="T18" s="86" t="str">
        <f>HYPERLINK("http://www.youtube.com/channel/UC8qjAvcHT8xZjRuF_dEppxg")</f>
        <v>http://www.youtube.com/channel/UC8qjAvcHT8xZjRuF_dEppxg</v>
      </c>
      <c r="U18" s="81"/>
      <c r="V18" s="81" t="s">
        <v>1885</v>
      </c>
      <c r="W18" s="86" t="str">
        <f>HYPERLINK("https://www.youtube.com/watch?v=wadBvDPeE4E")</f>
        <v>https://www.youtube.com/watch?v=wadBvDPeE4E</v>
      </c>
      <c r="X18" s="81" t="s">
        <v>1886</v>
      </c>
      <c r="Y18" s="81">
        <v>0</v>
      </c>
      <c r="Z18" s="88">
        <v>41202.63716435185</v>
      </c>
      <c r="AA18" s="88">
        <v>41202.63716435185</v>
      </c>
      <c r="AB18" s="81"/>
      <c r="AC18" s="81"/>
      <c r="AD18" s="84" t="s">
        <v>1927</v>
      </c>
      <c r="AE18" s="82">
        <v>3</v>
      </c>
      <c r="AF18" s="83" t="str">
        <f>REPLACE(INDEX(GroupVertices[Group],MATCH(Edges[[#This Row],[Vertex 1]],GroupVertices[Vertex],0)),1,1,"")</f>
        <v>1</v>
      </c>
      <c r="AG18" s="83" t="str">
        <f>REPLACE(INDEX(GroupVertices[Group],MATCH(Edges[[#This Row],[Vertex 2]],GroupVertices[Vertex],0)),1,1,"")</f>
        <v>1</v>
      </c>
      <c r="AH18" s="111">
        <v>1</v>
      </c>
      <c r="AI18" s="112">
        <v>7.142857142857143</v>
      </c>
      <c r="AJ18" s="111">
        <v>1</v>
      </c>
      <c r="AK18" s="112">
        <v>7.142857142857143</v>
      </c>
      <c r="AL18" s="111">
        <v>0</v>
      </c>
      <c r="AM18" s="112">
        <v>0</v>
      </c>
      <c r="AN18" s="111">
        <v>12</v>
      </c>
      <c r="AO18" s="112">
        <v>85.71428571428571</v>
      </c>
      <c r="AP18" s="111">
        <v>14</v>
      </c>
    </row>
    <row r="19" spans="1:42" ht="15">
      <c r="A19" s="65" t="s">
        <v>351</v>
      </c>
      <c r="B19" s="65" t="s">
        <v>786</v>
      </c>
      <c r="C19" s="66" t="s">
        <v>4509</v>
      </c>
      <c r="D19" s="67">
        <v>3</v>
      </c>
      <c r="E19" s="68"/>
      <c r="F19" s="69">
        <v>40</v>
      </c>
      <c r="G19" s="66"/>
      <c r="H19" s="70"/>
      <c r="I19" s="71"/>
      <c r="J19" s="71"/>
      <c r="K19" s="35" t="s">
        <v>65</v>
      </c>
      <c r="L19" s="79">
        <v>19</v>
      </c>
      <c r="M19" s="79"/>
      <c r="N19" s="73"/>
      <c r="O19" s="81" t="s">
        <v>788</v>
      </c>
      <c r="P19" s="81" t="s">
        <v>325</v>
      </c>
      <c r="Q19" s="84" t="s">
        <v>807</v>
      </c>
      <c r="R19" s="81" t="s">
        <v>351</v>
      </c>
      <c r="S19" s="81" t="s">
        <v>1419</v>
      </c>
      <c r="T19" s="86" t="str">
        <f>HYPERLINK("http://www.youtube.com/channel/UCVNggqNBF0HaVwd5E7T8_ZA")</f>
        <v>http://www.youtube.com/channel/UCVNggqNBF0HaVwd5E7T8_ZA</v>
      </c>
      <c r="U19" s="81"/>
      <c r="V19" s="81" t="s">
        <v>1885</v>
      </c>
      <c r="W19" s="86" t="str">
        <f>HYPERLINK("https://www.youtube.com/watch?v=wadBvDPeE4E")</f>
        <v>https://www.youtube.com/watch?v=wadBvDPeE4E</v>
      </c>
      <c r="X19" s="81" t="s">
        <v>1886</v>
      </c>
      <c r="Y19" s="81">
        <v>0</v>
      </c>
      <c r="Z19" s="88">
        <v>41202.646469907406</v>
      </c>
      <c r="AA19" s="88">
        <v>41202.646469907406</v>
      </c>
      <c r="AB19" s="81"/>
      <c r="AC19" s="81"/>
      <c r="AD19" s="84" t="s">
        <v>1927</v>
      </c>
      <c r="AE19" s="82">
        <v>1</v>
      </c>
      <c r="AF19" s="83" t="str">
        <f>REPLACE(INDEX(GroupVertices[Group],MATCH(Edges[[#This Row],[Vertex 1]],GroupVertices[Vertex],0)),1,1,"")</f>
        <v>1</v>
      </c>
      <c r="AG19" s="83" t="str">
        <f>REPLACE(INDEX(GroupVertices[Group],MATCH(Edges[[#This Row],[Vertex 2]],GroupVertices[Vertex],0)),1,1,"")</f>
        <v>1</v>
      </c>
      <c r="AH19" s="111">
        <v>0</v>
      </c>
      <c r="AI19" s="112">
        <v>0</v>
      </c>
      <c r="AJ19" s="111">
        <v>0</v>
      </c>
      <c r="AK19" s="112">
        <v>0</v>
      </c>
      <c r="AL19" s="111">
        <v>0</v>
      </c>
      <c r="AM19" s="112">
        <v>0</v>
      </c>
      <c r="AN19" s="111">
        <v>18</v>
      </c>
      <c r="AO19" s="112">
        <v>100</v>
      </c>
      <c r="AP19" s="111">
        <v>18</v>
      </c>
    </row>
    <row r="20" spans="1:42" ht="15">
      <c r="A20" s="65" t="s">
        <v>352</v>
      </c>
      <c r="B20" s="65" t="s">
        <v>786</v>
      </c>
      <c r="C20" s="66" t="s">
        <v>4509</v>
      </c>
      <c r="D20" s="67">
        <v>3</v>
      </c>
      <c r="E20" s="68"/>
      <c r="F20" s="69">
        <v>40</v>
      </c>
      <c r="G20" s="66"/>
      <c r="H20" s="70"/>
      <c r="I20" s="71"/>
      <c r="J20" s="71"/>
      <c r="K20" s="35" t="s">
        <v>65</v>
      </c>
      <c r="L20" s="79">
        <v>20</v>
      </c>
      <c r="M20" s="79"/>
      <c r="N20" s="73"/>
      <c r="O20" s="81" t="s">
        <v>788</v>
      </c>
      <c r="P20" s="81" t="s">
        <v>325</v>
      </c>
      <c r="Q20" s="84" t="s">
        <v>808</v>
      </c>
      <c r="R20" s="81" t="s">
        <v>352</v>
      </c>
      <c r="S20" s="81" t="s">
        <v>1420</v>
      </c>
      <c r="T20" s="86" t="str">
        <f>HYPERLINK("http://www.youtube.com/channel/UCimfVl0WVt0SWcuZzGZYGHg")</f>
        <v>http://www.youtube.com/channel/UCimfVl0WVt0SWcuZzGZYGHg</v>
      </c>
      <c r="U20" s="81"/>
      <c r="V20" s="81" t="s">
        <v>1885</v>
      </c>
      <c r="W20" s="86" t="str">
        <f>HYPERLINK("https://www.youtube.com/watch?v=wadBvDPeE4E")</f>
        <v>https://www.youtube.com/watch?v=wadBvDPeE4E</v>
      </c>
      <c r="X20" s="81" t="s">
        <v>1886</v>
      </c>
      <c r="Y20" s="81">
        <v>0</v>
      </c>
      <c r="Z20" s="88">
        <v>41202.646828703706</v>
      </c>
      <c r="AA20" s="88">
        <v>41202.646828703706</v>
      </c>
      <c r="AB20" s="81"/>
      <c r="AC20" s="81"/>
      <c r="AD20" s="84" t="s">
        <v>1927</v>
      </c>
      <c r="AE20" s="82">
        <v>1</v>
      </c>
      <c r="AF20" s="83" t="str">
        <f>REPLACE(INDEX(GroupVertices[Group],MATCH(Edges[[#This Row],[Vertex 1]],GroupVertices[Vertex],0)),1,1,"")</f>
        <v>1</v>
      </c>
      <c r="AG20" s="83" t="str">
        <f>REPLACE(INDEX(GroupVertices[Group],MATCH(Edges[[#This Row],[Vertex 2]],GroupVertices[Vertex],0)),1,1,"")</f>
        <v>1</v>
      </c>
      <c r="AH20" s="111">
        <v>4</v>
      </c>
      <c r="AI20" s="112">
        <v>11.428571428571429</v>
      </c>
      <c r="AJ20" s="111">
        <v>1</v>
      </c>
      <c r="AK20" s="112">
        <v>2.857142857142857</v>
      </c>
      <c r="AL20" s="111">
        <v>0</v>
      </c>
      <c r="AM20" s="112">
        <v>0</v>
      </c>
      <c r="AN20" s="111">
        <v>30</v>
      </c>
      <c r="AO20" s="112">
        <v>85.71428571428571</v>
      </c>
      <c r="AP20" s="111">
        <v>35</v>
      </c>
    </row>
    <row r="21" spans="1:42" ht="15">
      <c r="A21" s="65" t="s">
        <v>353</v>
      </c>
      <c r="B21" s="65" t="s">
        <v>786</v>
      </c>
      <c r="C21" s="66" t="s">
        <v>4509</v>
      </c>
      <c r="D21" s="67">
        <v>3</v>
      </c>
      <c r="E21" s="68"/>
      <c r="F21" s="69">
        <v>40</v>
      </c>
      <c r="G21" s="66"/>
      <c r="H21" s="70"/>
      <c r="I21" s="71"/>
      <c r="J21" s="71"/>
      <c r="K21" s="35" t="s">
        <v>65</v>
      </c>
      <c r="L21" s="79">
        <v>21</v>
      </c>
      <c r="M21" s="79"/>
      <c r="N21" s="73"/>
      <c r="O21" s="81" t="s">
        <v>788</v>
      </c>
      <c r="P21" s="81" t="s">
        <v>325</v>
      </c>
      <c r="Q21" s="84" t="s">
        <v>809</v>
      </c>
      <c r="R21" s="81" t="s">
        <v>353</v>
      </c>
      <c r="S21" s="81" t="s">
        <v>1421</v>
      </c>
      <c r="T21" s="86" t="str">
        <f>HYPERLINK("http://www.youtube.com/channel/UCZWg-VX1eOHs72CCWpCexlw")</f>
        <v>http://www.youtube.com/channel/UCZWg-VX1eOHs72CCWpCexlw</v>
      </c>
      <c r="U21" s="81"/>
      <c r="V21" s="81" t="s">
        <v>1885</v>
      </c>
      <c r="W21" s="86" t="str">
        <f>HYPERLINK("https://www.youtube.com/watch?v=wadBvDPeE4E")</f>
        <v>https://www.youtube.com/watch?v=wadBvDPeE4E</v>
      </c>
      <c r="X21" s="81" t="s">
        <v>1886</v>
      </c>
      <c r="Y21" s="81">
        <v>0</v>
      </c>
      <c r="Z21" s="88">
        <v>41202.64833333333</v>
      </c>
      <c r="AA21" s="88">
        <v>41202.64833333333</v>
      </c>
      <c r="AB21" s="81"/>
      <c r="AC21" s="81"/>
      <c r="AD21" s="84" t="s">
        <v>1927</v>
      </c>
      <c r="AE21" s="82">
        <v>1</v>
      </c>
      <c r="AF21" s="83" t="str">
        <f>REPLACE(INDEX(GroupVertices[Group],MATCH(Edges[[#This Row],[Vertex 1]],GroupVertices[Vertex],0)),1,1,"")</f>
        <v>1</v>
      </c>
      <c r="AG21" s="83" t="str">
        <f>REPLACE(INDEX(GroupVertices[Group],MATCH(Edges[[#This Row],[Vertex 2]],GroupVertices[Vertex],0)),1,1,"")</f>
        <v>1</v>
      </c>
      <c r="AH21" s="111">
        <v>1</v>
      </c>
      <c r="AI21" s="112">
        <v>11.11111111111111</v>
      </c>
      <c r="AJ21" s="111">
        <v>3</v>
      </c>
      <c r="AK21" s="112">
        <v>33.333333333333336</v>
      </c>
      <c r="AL21" s="111">
        <v>0</v>
      </c>
      <c r="AM21" s="112">
        <v>0</v>
      </c>
      <c r="AN21" s="111">
        <v>5</v>
      </c>
      <c r="AO21" s="112">
        <v>55.55555555555556</v>
      </c>
      <c r="AP21" s="111">
        <v>9</v>
      </c>
    </row>
    <row r="22" spans="1:42" ht="15">
      <c r="A22" s="65" t="s">
        <v>354</v>
      </c>
      <c r="B22" s="65" t="s">
        <v>786</v>
      </c>
      <c r="C22" s="66" t="s">
        <v>4509</v>
      </c>
      <c r="D22" s="67">
        <v>3</v>
      </c>
      <c r="E22" s="68"/>
      <c r="F22" s="69">
        <v>40</v>
      </c>
      <c r="G22" s="66"/>
      <c r="H22" s="70"/>
      <c r="I22" s="71"/>
      <c r="J22" s="71"/>
      <c r="K22" s="35" t="s">
        <v>65</v>
      </c>
      <c r="L22" s="79">
        <v>22</v>
      </c>
      <c r="M22" s="79"/>
      <c r="N22" s="73"/>
      <c r="O22" s="81" t="s">
        <v>788</v>
      </c>
      <c r="P22" s="81" t="s">
        <v>325</v>
      </c>
      <c r="Q22" s="84" t="s">
        <v>810</v>
      </c>
      <c r="R22" s="81" t="s">
        <v>354</v>
      </c>
      <c r="S22" s="81" t="s">
        <v>1422</v>
      </c>
      <c r="T22" s="86" t="str">
        <f>HYPERLINK("http://www.youtube.com/channel/UCwL52shzZRASohoEnikQ5iQ")</f>
        <v>http://www.youtube.com/channel/UCwL52shzZRASohoEnikQ5iQ</v>
      </c>
      <c r="U22" s="81"/>
      <c r="V22" s="81" t="s">
        <v>1885</v>
      </c>
      <c r="W22" s="86" t="str">
        <f>HYPERLINK("https://www.youtube.com/watch?v=wadBvDPeE4E")</f>
        <v>https://www.youtube.com/watch?v=wadBvDPeE4E</v>
      </c>
      <c r="X22" s="81" t="s">
        <v>1886</v>
      </c>
      <c r="Y22" s="81">
        <v>0</v>
      </c>
      <c r="Z22" s="88">
        <v>41202.6528587963</v>
      </c>
      <c r="AA22" s="88">
        <v>41202.6528587963</v>
      </c>
      <c r="AB22" s="81"/>
      <c r="AC22" s="81"/>
      <c r="AD22" s="84" t="s">
        <v>1927</v>
      </c>
      <c r="AE22" s="82">
        <v>1</v>
      </c>
      <c r="AF22" s="83" t="str">
        <f>REPLACE(INDEX(GroupVertices[Group],MATCH(Edges[[#This Row],[Vertex 1]],GroupVertices[Vertex],0)),1,1,"")</f>
        <v>1</v>
      </c>
      <c r="AG22" s="83" t="str">
        <f>REPLACE(INDEX(GroupVertices[Group],MATCH(Edges[[#This Row],[Vertex 2]],GroupVertices[Vertex],0)),1,1,"")</f>
        <v>1</v>
      </c>
      <c r="AH22" s="111">
        <v>0</v>
      </c>
      <c r="AI22" s="112">
        <v>0</v>
      </c>
      <c r="AJ22" s="111">
        <v>0</v>
      </c>
      <c r="AK22" s="112">
        <v>0</v>
      </c>
      <c r="AL22" s="111">
        <v>0</v>
      </c>
      <c r="AM22" s="112">
        <v>0</v>
      </c>
      <c r="AN22" s="111">
        <v>8</v>
      </c>
      <c r="AO22" s="112">
        <v>100</v>
      </c>
      <c r="AP22" s="111">
        <v>8</v>
      </c>
    </row>
    <row r="23" spans="1:42" ht="15">
      <c r="A23" s="65" t="s">
        <v>355</v>
      </c>
      <c r="B23" s="65" t="s">
        <v>786</v>
      </c>
      <c r="C23" s="66" t="s">
        <v>4511</v>
      </c>
      <c r="D23" s="67">
        <v>7.666666666666667</v>
      </c>
      <c r="E23" s="68"/>
      <c r="F23" s="69">
        <v>23.333333333333332</v>
      </c>
      <c r="G23" s="66"/>
      <c r="H23" s="70"/>
      <c r="I23" s="71"/>
      <c r="J23" s="71"/>
      <c r="K23" s="35" t="s">
        <v>65</v>
      </c>
      <c r="L23" s="79">
        <v>23</v>
      </c>
      <c r="M23" s="79"/>
      <c r="N23" s="73"/>
      <c r="O23" s="81" t="s">
        <v>788</v>
      </c>
      <c r="P23" s="81" t="s">
        <v>325</v>
      </c>
      <c r="Q23" s="84" t="s">
        <v>811</v>
      </c>
      <c r="R23" s="81" t="s">
        <v>355</v>
      </c>
      <c r="S23" s="81" t="s">
        <v>1423</v>
      </c>
      <c r="T23" s="86" t="str">
        <f>HYPERLINK("http://www.youtube.com/channel/UCgcSVCbb0MalGJggkuKeM0w")</f>
        <v>http://www.youtube.com/channel/UCgcSVCbb0MalGJggkuKeM0w</v>
      </c>
      <c r="U23" s="81"/>
      <c r="V23" s="81" t="s">
        <v>1885</v>
      </c>
      <c r="W23" s="86" t="str">
        <f>HYPERLINK("https://www.youtube.com/watch?v=wadBvDPeE4E")</f>
        <v>https://www.youtube.com/watch?v=wadBvDPeE4E</v>
      </c>
      <c r="X23" s="81" t="s">
        <v>1886</v>
      </c>
      <c r="Y23" s="81">
        <v>0</v>
      </c>
      <c r="Z23" s="88">
        <v>41202.60787037037</v>
      </c>
      <c r="AA23" s="88">
        <v>41202.60787037037</v>
      </c>
      <c r="AB23" s="81"/>
      <c r="AC23" s="81"/>
      <c r="AD23" s="84" t="s">
        <v>1927</v>
      </c>
      <c r="AE23" s="82">
        <v>3</v>
      </c>
      <c r="AF23" s="83" t="str">
        <f>REPLACE(INDEX(GroupVertices[Group],MATCH(Edges[[#This Row],[Vertex 1]],GroupVertices[Vertex],0)),1,1,"")</f>
        <v>1</v>
      </c>
      <c r="AG23" s="83" t="str">
        <f>REPLACE(INDEX(GroupVertices[Group],MATCH(Edges[[#This Row],[Vertex 2]],GroupVertices[Vertex],0)),1,1,"")</f>
        <v>1</v>
      </c>
      <c r="AH23" s="111">
        <v>1</v>
      </c>
      <c r="AI23" s="112">
        <v>2.5641025641025643</v>
      </c>
      <c r="AJ23" s="111">
        <v>2</v>
      </c>
      <c r="AK23" s="112">
        <v>5.128205128205129</v>
      </c>
      <c r="AL23" s="111">
        <v>0</v>
      </c>
      <c r="AM23" s="112">
        <v>0</v>
      </c>
      <c r="AN23" s="111">
        <v>36</v>
      </c>
      <c r="AO23" s="112">
        <v>92.3076923076923</v>
      </c>
      <c r="AP23" s="111">
        <v>39</v>
      </c>
    </row>
    <row r="24" spans="1:42" ht="15">
      <c r="A24" s="65" t="s">
        <v>355</v>
      </c>
      <c r="B24" s="65" t="s">
        <v>786</v>
      </c>
      <c r="C24" s="66" t="s">
        <v>4511</v>
      </c>
      <c r="D24" s="67">
        <v>7.666666666666667</v>
      </c>
      <c r="E24" s="68"/>
      <c r="F24" s="69">
        <v>23.333333333333332</v>
      </c>
      <c r="G24" s="66"/>
      <c r="H24" s="70"/>
      <c r="I24" s="71"/>
      <c r="J24" s="71"/>
      <c r="K24" s="35" t="s">
        <v>65</v>
      </c>
      <c r="L24" s="79">
        <v>24</v>
      </c>
      <c r="M24" s="79"/>
      <c r="N24" s="73"/>
      <c r="O24" s="81" t="s">
        <v>788</v>
      </c>
      <c r="P24" s="81" t="s">
        <v>325</v>
      </c>
      <c r="Q24" s="84" t="s">
        <v>812</v>
      </c>
      <c r="R24" s="81" t="s">
        <v>355</v>
      </c>
      <c r="S24" s="81" t="s">
        <v>1423</v>
      </c>
      <c r="T24" s="86" t="str">
        <f>HYPERLINK("http://www.youtube.com/channel/UCgcSVCbb0MalGJggkuKeM0w")</f>
        <v>http://www.youtube.com/channel/UCgcSVCbb0MalGJggkuKeM0w</v>
      </c>
      <c r="U24" s="81"/>
      <c r="V24" s="81" t="s">
        <v>1885</v>
      </c>
      <c r="W24" s="86" t="str">
        <f>HYPERLINK("https://www.youtube.com/watch?v=wadBvDPeE4E")</f>
        <v>https://www.youtube.com/watch?v=wadBvDPeE4E</v>
      </c>
      <c r="X24" s="81" t="s">
        <v>1886</v>
      </c>
      <c r="Y24" s="81">
        <v>0</v>
      </c>
      <c r="Z24" s="88">
        <v>41202.65399305556</v>
      </c>
      <c r="AA24" s="88">
        <v>41202.65399305556</v>
      </c>
      <c r="AB24" s="81"/>
      <c r="AC24" s="81"/>
      <c r="AD24" s="84" t="s">
        <v>1927</v>
      </c>
      <c r="AE24" s="82">
        <v>3</v>
      </c>
      <c r="AF24" s="83" t="str">
        <f>REPLACE(INDEX(GroupVertices[Group],MATCH(Edges[[#This Row],[Vertex 1]],GroupVertices[Vertex],0)),1,1,"")</f>
        <v>1</v>
      </c>
      <c r="AG24" s="83" t="str">
        <f>REPLACE(INDEX(GroupVertices[Group],MATCH(Edges[[#This Row],[Vertex 2]],GroupVertices[Vertex],0)),1,1,"")</f>
        <v>1</v>
      </c>
      <c r="AH24" s="111">
        <v>2</v>
      </c>
      <c r="AI24" s="112">
        <v>1.8691588785046729</v>
      </c>
      <c r="AJ24" s="111">
        <v>2</v>
      </c>
      <c r="AK24" s="112">
        <v>1.8691588785046729</v>
      </c>
      <c r="AL24" s="111">
        <v>0</v>
      </c>
      <c r="AM24" s="112">
        <v>0</v>
      </c>
      <c r="AN24" s="111">
        <v>103</v>
      </c>
      <c r="AO24" s="112">
        <v>96.26168224299066</v>
      </c>
      <c r="AP24" s="111">
        <v>107</v>
      </c>
    </row>
    <row r="25" spans="1:42" ht="15">
      <c r="A25" s="65" t="s">
        <v>355</v>
      </c>
      <c r="B25" s="65" t="s">
        <v>786</v>
      </c>
      <c r="C25" s="66" t="s">
        <v>4511</v>
      </c>
      <c r="D25" s="67">
        <v>7.666666666666667</v>
      </c>
      <c r="E25" s="68"/>
      <c r="F25" s="69">
        <v>23.333333333333332</v>
      </c>
      <c r="G25" s="66"/>
      <c r="H25" s="70"/>
      <c r="I25" s="71"/>
      <c r="J25" s="71"/>
      <c r="K25" s="35" t="s">
        <v>65</v>
      </c>
      <c r="L25" s="79">
        <v>25</v>
      </c>
      <c r="M25" s="79"/>
      <c r="N25" s="73"/>
      <c r="O25" s="81" t="s">
        <v>788</v>
      </c>
      <c r="P25" s="81" t="s">
        <v>325</v>
      </c>
      <c r="Q25" s="84" t="s">
        <v>813</v>
      </c>
      <c r="R25" s="81" t="s">
        <v>355</v>
      </c>
      <c r="S25" s="81" t="s">
        <v>1423</v>
      </c>
      <c r="T25" s="86" t="str">
        <f>HYPERLINK("http://www.youtube.com/channel/UCgcSVCbb0MalGJggkuKeM0w")</f>
        <v>http://www.youtube.com/channel/UCgcSVCbb0MalGJggkuKeM0w</v>
      </c>
      <c r="U25" s="81"/>
      <c r="V25" s="81" t="s">
        <v>1885</v>
      </c>
      <c r="W25" s="86" t="str">
        <f>HYPERLINK("https://www.youtube.com/watch?v=wadBvDPeE4E")</f>
        <v>https://www.youtube.com/watch?v=wadBvDPeE4E</v>
      </c>
      <c r="X25" s="81" t="s">
        <v>1886</v>
      </c>
      <c r="Y25" s="81">
        <v>0</v>
      </c>
      <c r="Z25" s="88">
        <v>41202.65488425926</v>
      </c>
      <c r="AA25" s="88">
        <v>41202.65488425926</v>
      </c>
      <c r="AB25" s="81"/>
      <c r="AC25" s="81"/>
      <c r="AD25" s="84" t="s">
        <v>1927</v>
      </c>
      <c r="AE25" s="82">
        <v>3</v>
      </c>
      <c r="AF25" s="83" t="str">
        <f>REPLACE(INDEX(GroupVertices[Group],MATCH(Edges[[#This Row],[Vertex 1]],GroupVertices[Vertex],0)),1,1,"")</f>
        <v>1</v>
      </c>
      <c r="AG25" s="83" t="str">
        <f>REPLACE(INDEX(GroupVertices[Group],MATCH(Edges[[#This Row],[Vertex 2]],GroupVertices[Vertex],0)),1,1,"")</f>
        <v>1</v>
      </c>
      <c r="AH25" s="111">
        <v>2</v>
      </c>
      <c r="AI25" s="112">
        <v>4.651162790697675</v>
      </c>
      <c r="AJ25" s="111">
        <v>0</v>
      </c>
      <c r="AK25" s="112">
        <v>0</v>
      </c>
      <c r="AL25" s="111">
        <v>0</v>
      </c>
      <c r="AM25" s="112">
        <v>0</v>
      </c>
      <c r="AN25" s="111">
        <v>41</v>
      </c>
      <c r="AO25" s="112">
        <v>95.34883720930233</v>
      </c>
      <c r="AP25" s="111">
        <v>43</v>
      </c>
    </row>
    <row r="26" spans="1:42" ht="15">
      <c r="A26" s="65" t="s">
        <v>356</v>
      </c>
      <c r="B26" s="65" t="s">
        <v>786</v>
      </c>
      <c r="C26" s="66" t="s">
        <v>4509</v>
      </c>
      <c r="D26" s="67">
        <v>3</v>
      </c>
      <c r="E26" s="68"/>
      <c r="F26" s="69">
        <v>40</v>
      </c>
      <c r="G26" s="66"/>
      <c r="H26" s="70"/>
      <c r="I26" s="71"/>
      <c r="J26" s="71"/>
      <c r="K26" s="35" t="s">
        <v>65</v>
      </c>
      <c r="L26" s="79">
        <v>26</v>
      </c>
      <c r="M26" s="79"/>
      <c r="N26" s="73"/>
      <c r="O26" s="81" t="s">
        <v>788</v>
      </c>
      <c r="P26" s="81" t="s">
        <v>325</v>
      </c>
      <c r="Q26" s="84" t="s">
        <v>814</v>
      </c>
      <c r="R26" s="81" t="s">
        <v>356</v>
      </c>
      <c r="S26" s="81" t="s">
        <v>1424</v>
      </c>
      <c r="T26" s="86" t="str">
        <f>HYPERLINK("http://www.youtube.com/channel/UC5dX3a36fPBvAdBBP7AhVHA")</f>
        <v>http://www.youtube.com/channel/UC5dX3a36fPBvAdBBP7AhVHA</v>
      </c>
      <c r="U26" s="81"/>
      <c r="V26" s="81" t="s">
        <v>1885</v>
      </c>
      <c r="W26" s="86" t="str">
        <f>HYPERLINK("https://www.youtube.com/watch?v=wadBvDPeE4E")</f>
        <v>https://www.youtube.com/watch?v=wadBvDPeE4E</v>
      </c>
      <c r="X26" s="81" t="s">
        <v>1886</v>
      </c>
      <c r="Y26" s="81">
        <v>0</v>
      </c>
      <c r="Z26" s="88">
        <v>41202.65497685185</v>
      </c>
      <c r="AA26" s="88">
        <v>41202.65497685185</v>
      </c>
      <c r="AB26" s="81"/>
      <c r="AC26" s="81"/>
      <c r="AD26" s="84" t="s">
        <v>1927</v>
      </c>
      <c r="AE26" s="82">
        <v>1</v>
      </c>
      <c r="AF26" s="83" t="str">
        <f>REPLACE(INDEX(GroupVertices[Group],MATCH(Edges[[#This Row],[Vertex 1]],GroupVertices[Vertex],0)),1,1,"")</f>
        <v>1</v>
      </c>
      <c r="AG26" s="83" t="str">
        <f>REPLACE(INDEX(GroupVertices[Group],MATCH(Edges[[#This Row],[Vertex 2]],GroupVertices[Vertex],0)),1,1,"")</f>
        <v>1</v>
      </c>
      <c r="AH26" s="111">
        <v>1</v>
      </c>
      <c r="AI26" s="112">
        <v>8.333333333333334</v>
      </c>
      <c r="AJ26" s="111">
        <v>1</v>
      </c>
      <c r="AK26" s="112">
        <v>8.333333333333334</v>
      </c>
      <c r="AL26" s="111">
        <v>0</v>
      </c>
      <c r="AM26" s="112">
        <v>0</v>
      </c>
      <c r="AN26" s="111">
        <v>10</v>
      </c>
      <c r="AO26" s="112">
        <v>83.33333333333333</v>
      </c>
      <c r="AP26" s="111">
        <v>12</v>
      </c>
    </row>
    <row r="27" spans="1:42" ht="15">
      <c r="A27" s="65" t="s">
        <v>357</v>
      </c>
      <c r="B27" s="65" t="s">
        <v>786</v>
      </c>
      <c r="C27" s="66" t="s">
        <v>4510</v>
      </c>
      <c r="D27" s="67">
        <v>5.333333333333334</v>
      </c>
      <c r="E27" s="68"/>
      <c r="F27" s="69">
        <v>31.666666666666664</v>
      </c>
      <c r="G27" s="66"/>
      <c r="H27" s="70"/>
      <c r="I27" s="71"/>
      <c r="J27" s="71"/>
      <c r="K27" s="35" t="s">
        <v>65</v>
      </c>
      <c r="L27" s="79">
        <v>27</v>
      </c>
      <c r="M27" s="79"/>
      <c r="N27" s="73"/>
      <c r="O27" s="81" t="s">
        <v>788</v>
      </c>
      <c r="P27" s="81" t="s">
        <v>325</v>
      </c>
      <c r="Q27" s="84" t="s">
        <v>815</v>
      </c>
      <c r="R27" s="81" t="s">
        <v>357</v>
      </c>
      <c r="S27" s="81" t="s">
        <v>1425</v>
      </c>
      <c r="T27" s="86" t="str">
        <f>HYPERLINK("http://www.youtube.com/channel/UCx68UmxU6JKU1HE4fl10mqg")</f>
        <v>http://www.youtube.com/channel/UCx68UmxU6JKU1HE4fl10mqg</v>
      </c>
      <c r="U27" s="81"/>
      <c r="V27" s="81" t="s">
        <v>1885</v>
      </c>
      <c r="W27" s="86" t="str">
        <f>HYPERLINK("https://www.youtube.com/watch?v=wadBvDPeE4E")</f>
        <v>https://www.youtube.com/watch?v=wadBvDPeE4E</v>
      </c>
      <c r="X27" s="81" t="s">
        <v>1886</v>
      </c>
      <c r="Y27" s="81">
        <v>0</v>
      </c>
      <c r="Z27" s="88">
        <v>41202.658171296294</v>
      </c>
      <c r="AA27" s="88">
        <v>41202.658171296294</v>
      </c>
      <c r="AB27" s="81"/>
      <c r="AC27" s="81"/>
      <c r="AD27" s="84" t="s">
        <v>1927</v>
      </c>
      <c r="AE27" s="82">
        <v>2</v>
      </c>
      <c r="AF27" s="83" t="str">
        <f>REPLACE(INDEX(GroupVertices[Group],MATCH(Edges[[#This Row],[Vertex 1]],GroupVertices[Vertex],0)),1,1,"")</f>
        <v>1</v>
      </c>
      <c r="AG27" s="83" t="str">
        <f>REPLACE(INDEX(GroupVertices[Group],MATCH(Edges[[#This Row],[Vertex 2]],GroupVertices[Vertex],0)),1,1,"")</f>
        <v>1</v>
      </c>
      <c r="AH27" s="111">
        <v>0</v>
      </c>
      <c r="AI27" s="112">
        <v>0</v>
      </c>
      <c r="AJ27" s="111">
        <v>2</v>
      </c>
      <c r="AK27" s="112">
        <v>15.384615384615385</v>
      </c>
      <c r="AL27" s="111">
        <v>0</v>
      </c>
      <c r="AM27" s="112">
        <v>0</v>
      </c>
      <c r="AN27" s="111">
        <v>11</v>
      </c>
      <c r="AO27" s="112">
        <v>84.61538461538461</v>
      </c>
      <c r="AP27" s="111">
        <v>13</v>
      </c>
    </row>
    <row r="28" spans="1:42" ht="15">
      <c r="A28" s="65" t="s">
        <v>357</v>
      </c>
      <c r="B28" s="65" t="s">
        <v>786</v>
      </c>
      <c r="C28" s="66" t="s">
        <v>4510</v>
      </c>
      <c r="D28" s="67">
        <v>5.333333333333334</v>
      </c>
      <c r="E28" s="68"/>
      <c r="F28" s="69">
        <v>31.666666666666664</v>
      </c>
      <c r="G28" s="66"/>
      <c r="H28" s="70"/>
      <c r="I28" s="71"/>
      <c r="J28" s="71"/>
      <c r="K28" s="35" t="s">
        <v>65</v>
      </c>
      <c r="L28" s="79">
        <v>28</v>
      </c>
      <c r="M28" s="79"/>
      <c r="N28" s="73"/>
      <c r="O28" s="81" t="s">
        <v>788</v>
      </c>
      <c r="P28" s="81" t="s">
        <v>325</v>
      </c>
      <c r="Q28" s="84" t="s">
        <v>816</v>
      </c>
      <c r="R28" s="81" t="s">
        <v>357</v>
      </c>
      <c r="S28" s="81" t="s">
        <v>1425</v>
      </c>
      <c r="T28" s="86" t="str">
        <f>HYPERLINK("http://www.youtube.com/channel/UCx68UmxU6JKU1HE4fl10mqg")</f>
        <v>http://www.youtube.com/channel/UCx68UmxU6JKU1HE4fl10mqg</v>
      </c>
      <c r="U28" s="81"/>
      <c r="V28" s="81" t="s">
        <v>1885</v>
      </c>
      <c r="W28" s="86" t="str">
        <f>HYPERLINK("https://www.youtube.com/watch?v=wadBvDPeE4E")</f>
        <v>https://www.youtube.com/watch?v=wadBvDPeE4E</v>
      </c>
      <c r="X28" s="81" t="s">
        <v>1886</v>
      </c>
      <c r="Y28" s="81">
        <v>0</v>
      </c>
      <c r="Z28" s="88">
        <v>41202.66025462963</v>
      </c>
      <c r="AA28" s="88">
        <v>41202.66025462963</v>
      </c>
      <c r="AB28" s="81"/>
      <c r="AC28" s="81"/>
      <c r="AD28" s="84" t="s">
        <v>1927</v>
      </c>
      <c r="AE28" s="82">
        <v>2</v>
      </c>
      <c r="AF28" s="83" t="str">
        <f>REPLACE(INDEX(GroupVertices[Group],MATCH(Edges[[#This Row],[Vertex 1]],GroupVertices[Vertex],0)),1,1,"")</f>
        <v>1</v>
      </c>
      <c r="AG28" s="83" t="str">
        <f>REPLACE(INDEX(GroupVertices[Group],MATCH(Edges[[#This Row],[Vertex 2]],GroupVertices[Vertex],0)),1,1,"")</f>
        <v>1</v>
      </c>
      <c r="AH28" s="111">
        <v>0</v>
      </c>
      <c r="AI28" s="112">
        <v>0</v>
      </c>
      <c r="AJ28" s="111">
        <v>1</v>
      </c>
      <c r="AK28" s="112">
        <v>9.090909090909092</v>
      </c>
      <c r="AL28" s="111">
        <v>0</v>
      </c>
      <c r="AM28" s="112">
        <v>0</v>
      </c>
      <c r="AN28" s="111">
        <v>10</v>
      </c>
      <c r="AO28" s="112">
        <v>90.9090909090909</v>
      </c>
      <c r="AP28" s="111">
        <v>11</v>
      </c>
    </row>
    <row r="29" spans="1:42" ht="15">
      <c r="A29" s="65" t="s">
        <v>358</v>
      </c>
      <c r="B29" s="65" t="s">
        <v>786</v>
      </c>
      <c r="C29" s="66" t="s">
        <v>4510</v>
      </c>
      <c r="D29" s="67">
        <v>5.333333333333334</v>
      </c>
      <c r="E29" s="68"/>
      <c r="F29" s="69">
        <v>31.666666666666664</v>
      </c>
      <c r="G29" s="66"/>
      <c r="H29" s="70"/>
      <c r="I29" s="71"/>
      <c r="J29" s="71"/>
      <c r="K29" s="35" t="s">
        <v>65</v>
      </c>
      <c r="L29" s="79">
        <v>29</v>
      </c>
      <c r="M29" s="79"/>
      <c r="N29" s="73"/>
      <c r="O29" s="81" t="s">
        <v>788</v>
      </c>
      <c r="P29" s="81" t="s">
        <v>325</v>
      </c>
      <c r="Q29" s="84" t="s">
        <v>817</v>
      </c>
      <c r="R29" s="81" t="s">
        <v>358</v>
      </c>
      <c r="S29" s="81" t="s">
        <v>1426</v>
      </c>
      <c r="T29" s="86" t="str">
        <f>HYPERLINK("http://www.youtube.com/channel/UCZhjm8ANz5r1Had1Bs-vxOA")</f>
        <v>http://www.youtube.com/channel/UCZhjm8ANz5r1Had1Bs-vxOA</v>
      </c>
      <c r="U29" s="81"/>
      <c r="V29" s="81" t="s">
        <v>1885</v>
      </c>
      <c r="W29" s="86" t="str">
        <f>HYPERLINK("https://www.youtube.com/watch?v=wadBvDPeE4E")</f>
        <v>https://www.youtube.com/watch?v=wadBvDPeE4E</v>
      </c>
      <c r="X29" s="81" t="s">
        <v>1886</v>
      </c>
      <c r="Y29" s="81">
        <v>2</v>
      </c>
      <c r="Z29" s="88">
        <v>41202.65896990741</v>
      </c>
      <c r="AA29" s="88">
        <v>41202.65896990741</v>
      </c>
      <c r="AB29" s="81"/>
      <c r="AC29" s="81"/>
      <c r="AD29" s="84" t="s">
        <v>1927</v>
      </c>
      <c r="AE29" s="82">
        <v>2</v>
      </c>
      <c r="AF29" s="83" t="str">
        <f>REPLACE(INDEX(GroupVertices[Group],MATCH(Edges[[#This Row],[Vertex 1]],GroupVertices[Vertex],0)),1,1,"")</f>
        <v>1</v>
      </c>
      <c r="AG29" s="83" t="str">
        <f>REPLACE(INDEX(GroupVertices[Group],MATCH(Edges[[#This Row],[Vertex 2]],GroupVertices[Vertex],0)),1,1,"")</f>
        <v>1</v>
      </c>
      <c r="AH29" s="111">
        <v>2</v>
      </c>
      <c r="AI29" s="112">
        <v>5.405405405405405</v>
      </c>
      <c r="AJ29" s="111">
        <v>4</v>
      </c>
      <c r="AK29" s="112">
        <v>10.81081081081081</v>
      </c>
      <c r="AL29" s="111">
        <v>0</v>
      </c>
      <c r="AM29" s="112">
        <v>0</v>
      </c>
      <c r="AN29" s="111">
        <v>31</v>
      </c>
      <c r="AO29" s="112">
        <v>83.78378378378379</v>
      </c>
      <c r="AP29" s="111">
        <v>37</v>
      </c>
    </row>
    <row r="30" spans="1:42" ht="15">
      <c r="A30" s="65" t="s">
        <v>358</v>
      </c>
      <c r="B30" s="65" t="s">
        <v>786</v>
      </c>
      <c r="C30" s="66" t="s">
        <v>4510</v>
      </c>
      <c r="D30" s="67">
        <v>5.333333333333334</v>
      </c>
      <c r="E30" s="68"/>
      <c r="F30" s="69">
        <v>31.666666666666664</v>
      </c>
      <c r="G30" s="66"/>
      <c r="H30" s="70"/>
      <c r="I30" s="71"/>
      <c r="J30" s="71"/>
      <c r="K30" s="35" t="s">
        <v>65</v>
      </c>
      <c r="L30" s="79">
        <v>30</v>
      </c>
      <c r="M30" s="79"/>
      <c r="N30" s="73"/>
      <c r="O30" s="81" t="s">
        <v>788</v>
      </c>
      <c r="P30" s="81" t="s">
        <v>325</v>
      </c>
      <c r="Q30" s="84" t="s">
        <v>818</v>
      </c>
      <c r="R30" s="81" t="s">
        <v>358</v>
      </c>
      <c r="S30" s="81" t="s">
        <v>1426</v>
      </c>
      <c r="T30" s="86" t="str">
        <f>HYPERLINK("http://www.youtube.com/channel/UCZhjm8ANz5r1Had1Bs-vxOA")</f>
        <v>http://www.youtube.com/channel/UCZhjm8ANz5r1Had1Bs-vxOA</v>
      </c>
      <c r="U30" s="81"/>
      <c r="V30" s="81" t="s">
        <v>1885</v>
      </c>
      <c r="W30" s="86" t="str">
        <f>HYPERLINK("https://www.youtube.com/watch?v=wadBvDPeE4E")</f>
        <v>https://www.youtube.com/watch?v=wadBvDPeE4E</v>
      </c>
      <c r="X30" s="81" t="s">
        <v>1886</v>
      </c>
      <c r="Y30" s="81">
        <v>0</v>
      </c>
      <c r="Z30" s="88">
        <v>41202.66287037037</v>
      </c>
      <c r="AA30" s="88">
        <v>41202.66287037037</v>
      </c>
      <c r="AB30" s="81"/>
      <c r="AC30" s="81"/>
      <c r="AD30" s="84" t="s">
        <v>1927</v>
      </c>
      <c r="AE30" s="82">
        <v>2</v>
      </c>
      <c r="AF30" s="83" t="str">
        <f>REPLACE(INDEX(GroupVertices[Group],MATCH(Edges[[#This Row],[Vertex 1]],GroupVertices[Vertex],0)),1,1,"")</f>
        <v>1</v>
      </c>
      <c r="AG30" s="83" t="str">
        <f>REPLACE(INDEX(GroupVertices[Group],MATCH(Edges[[#This Row],[Vertex 2]],GroupVertices[Vertex],0)),1,1,"")</f>
        <v>1</v>
      </c>
      <c r="AH30" s="111">
        <v>1</v>
      </c>
      <c r="AI30" s="112">
        <v>4.166666666666667</v>
      </c>
      <c r="AJ30" s="111">
        <v>1</v>
      </c>
      <c r="AK30" s="112">
        <v>4.166666666666667</v>
      </c>
      <c r="AL30" s="111">
        <v>0</v>
      </c>
      <c r="AM30" s="112">
        <v>0</v>
      </c>
      <c r="AN30" s="111">
        <v>22</v>
      </c>
      <c r="AO30" s="112">
        <v>91.66666666666667</v>
      </c>
      <c r="AP30" s="111">
        <v>24</v>
      </c>
    </row>
    <row r="31" spans="1:42" ht="15">
      <c r="A31" s="65" t="s">
        <v>359</v>
      </c>
      <c r="B31" s="65" t="s">
        <v>786</v>
      </c>
      <c r="C31" s="66" t="s">
        <v>4509</v>
      </c>
      <c r="D31" s="67">
        <v>3</v>
      </c>
      <c r="E31" s="68"/>
      <c r="F31" s="69">
        <v>40</v>
      </c>
      <c r="G31" s="66"/>
      <c r="H31" s="70"/>
      <c r="I31" s="71"/>
      <c r="J31" s="71"/>
      <c r="K31" s="35" t="s">
        <v>65</v>
      </c>
      <c r="L31" s="79">
        <v>31</v>
      </c>
      <c r="M31" s="79"/>
      <c r="N31" s="73"/>
      <c r="O31" s="81" t="s">
        <v>788</v>
      </c>
      <c r="P31" s="81" t="s">
        <v>325</v>
      </c>
      <c r="Q31" s="84" t="s">
        <v>819</v>
      </c>
      <c r="R31" s="81" t="s">
        <v>359</v>
      </c>
      <c r="S31" s="81" t="s">
        <v>1427</v>
      </c>
      <c r="T31" s="86" t="str">
        <f>HYPERLINK("http://www.youtube.com/channel/UCkAhBu07qkxhpop1KWT7LKQ")</f>
        <v>http://www.youtube.com/channel/UCkAhBu07qkxhpop1KWT7LKQ</v>
      </c>
      <c r="U31" s="81"/>
      <c r="V31" s="81" t="s">
        <v>1885</v>
      </c>
      <c r="W31" s="86" t="str">
        <f>HYPERLINK("https://www.youtube.com/watch?v=wadBvDPeE4E")</f>
        <v>https://www.youtube.com/watch?v=wadBvDPeE4E</v>
      </c>
      <c r="X31" s="81" t="s">
        <v>1886</v>
      </c>
      <c r="Y31" s="81">
        <v>0</v>
      </c>
      <c r="Z31" s="88">
        <v>41202.663252314815</v>
      </c>
      <c r="AA31" s="88">
        <v>41202.663252314815</v>
      </c>
      <c r="AB31" s="81"/>
      <c r="AC31" s="81"/>
      <c r="AD31" s="84" t="s">
        <v>1927</v>
      </c>
      <c r="AE31" s="82">
        <v>1</v>
      </c>
      <c r="AF31" s="83" t="str">
        <f>REPLACE(INDEX(GroupVertices[Group],MATCH(Edges[[#This Row],[Vertex 1]],GroupVertices[Vertex],0)),1,1,"")</f>
        <v>1</v>
      </c>
      <c r="AG31" s="83" t="str">
        <f>REPLACE(INDEX(GroupVertices[Group],MATCH(Edges[[#This Row],[Vertex 2]],GroupVertices[Vertex],0)),1,1,"")</f>
        <v>1</v>
      </c>
      <c r="AH31" s="111">
        <v>0</v>
      </c>
      <c r="AI31" s="112">
        <v>0</v>
      </c>
      <c r="AJ31" s="111">
        <v>1</v>
      </c>
      <c r="AK31" s="112">
        <v>25</v>
      </c>
      <c r="AL31" s="111">
        <v>0</v>
      </c>
      <c r="AM31" s="112">
        <v>0</v>
      </c>
      <c r="AN31" s="111">
        <v>3</v>
      </c>
      <c r="AO31" s="112">
        <v>75</v>
      </c>
      <c r="AP31" s="111">
        <v>4</v>
      </c>
    </row>
    <row r="32" spans="1:42" ht="15">
      <c r="A32" s="65" t="s">
        <v>360</v>
      </c>
      <c r="B32" s="65" t="s">
        <v>786</v>
      </c>
      <c r="C32" s="66" t="s">
        <v>4509</v>
      </c>
      <c r="D32" s="67">
        <v>3</v>
      </c>
      <c r="E32" s="68"/>
      <c r="F32" s="69">
        <v>40</v>
      </c>
      <c r="G32" s="66"/>
      <c r="H32" s="70"/>
      <c r="I32" s="71"/>
      <c r="J32" s="71"/>
      <c r="K32" s="35" t="s">
        <v>65</v>
      </c>
      <c r="L32" s="79">
        <v>32</v>
      </c>
      <c r="M32" s="79"/>
      <c r="N32" s="73"/>
      <c r="O32" s="81" t="s">
        <v>788</v>
      </c>
      <c r="P32" s="81" t="s">
        <v>325</v>
      </c>
      <c r="Q32" s="84" t="s">
        <v>820</v>
      </c>
      <c r="R32" s="81" t="s">
        <v>360</v>
      </c>
      <c r="S32" s="81" t="s">
        <v>1428</v>
      </c>
      <c r="T32" s="86" t="str">
        <f>HYPERLINK("http://www.youtube.com/channel/UCuFULeJfx--SkAE3EOYSHFg")</f>
        <v>http://www.youtube.com/channel/UCuFULeJfx--SkAE3EOYSHFg</v>
      </c>
      <c r="U32" s="81"/>
      <c r="V32" s="81" t="s">
        <v>1885</v>
      </c>
      <c r="W32" s="86" t="str">
        <f>HYPERLINK("https://www.youtube.com/watch?v=wadBvDPeE4E")</f>
        <v>https://www.youtube.com/watch?v=wadBvDPeE4E</v>
      </c>
      <c r="X32" s="81" t="s">
        <v>1886</v>
      </c>
      <c r="Y32" s="81">
        <v>1</v>
      </c>
      <c r="Z32" s="88">
        <v>41202.67015046296</v>
      </c>
      <c r="AA32" s="88">
        <v>41202.67015046296</v>
      </c>
      <c r="AB32" s="81"/>
      <c r="AC32" s="81"/>
      <c r="AD32" s="84" t="s">
        <v>1927</v>
      </c>
      <c r="AE32" s="82">
        <v>1</v>
      </c>
      <c r="AF32" s="83" t="str">
        <f>REPLACE(INDEX(GroupVertices[Group],MATCH(Edges[[#This Row],[Vertex 1]],GroupVertices[Vertex],0)),1,1,"")</f>
        <v>1</v>
      </c>
      <c r="AG32" s="83" t="str">
        <f>REPLACE(INDEX(GroupVertices[Group],MATCH(Edges[[#This Row],[Vertex 2]],GroupVertices[Vertex],0)),1,1,"")</f>
        <v>1</v>
      </c>
      <c r="AH32" s="111">
        <v>2</v>
      </c>
      <c r="AI32" s="112">
        <v>25</v>
      </c>
      <c r="AJ32" s="111">
        <v>0</v>
      </c>
      <c r="AK32" s="112">
        <v>0</v>
      </c>
      <c r="AL32" s="111">
        <v>0</v>
      </c>
      <c r="AM32" s="112">
        <v>0</v>
      </c>
      <c r="AN32" s="111">
        <v>6</v>
      </c>
      <c r="AO32" s="112">
        <v>75</v>
      </c>
      <c r="AP32" s="111">
        <v>8</v>
      </c>
    </row>
    <row r="33" spans="1:42" ht="15">
      <c r="A33" s="65" t="s">
        <v>361</v>
      </c>
      <c r="B33" s="65" t="s">
        <v>786</v>
      </c>
      <c r="C33" s="66" t="s">
        <v>4509</v>
      </c>
      <c r="D33" s="67">
        <v>3</v>
      </c>
      <c r="E33" s="68"/>
      <c r="F33" s="69">
        <v>40</v>
      </c>
      <c r="G33" s="66"/>
      <c r="H33" s="70"/>
      <c r="I33" s="71"/>
      <c r="J33" s="71"/>
      <c r="K33" s="35" t="s">
        <v>65</v>
      </c>
      <c r="L33" s="79">
        <v>33</v>
      </c>
      <c r="M33" s="79"/>
      <c r="N33" s="73"/>
      <c r="O33" s="81" t="s">
        <v>788</v>
      </c>
      <c r="P33" s="81" t="s">
        <v>325</v>
      </c>
      <c r="Q33" s="84" t="s">
        <v>821</v>
      </c>
      <c r="R33" s="81" t="s">
        <v>361</v>
      </c>
      <c r="S33" s="81" t="s">
        <v>1429</v>
      </c>
      <c r="T33" s="86" t="str">
        <f>HYPERLINK("http://www.youtube.com/channel/UCU9I36rHcxzA10I5uQCav7Q")</f>
        <v>http://www.youtube.com/channel/UCU9I36rHcxzA10I5uQCav7Q</v>
      </c>
      <c r="U33" s="81"/>
      <c r="V33" s="81" t="s">
        <v>1885</v>
      </c>
      <c r="W33" s="86" t="str">
        <f>HYPERLINK("https://www.youtube.com/watch?v=wadBvDPeE4E")</f>
        <v>https://www.youtube.com/watch?v=wadBvDPeE4E</v>
      </c>
      <c r="X33" s="81" t="s">
        <v>1886</v>
      </c>
      <c r="Y33" s="81">
        <v>0</v>
      </c>
      <c r="Z33" s="88">
        <v>41202.675844907404</v>
      </c>
      <c r="AA33" s="88">
        <v>41202.675844907404</v>
      </c>
      <c r="AB33" s="81"/>
      <c r="AC33" s="81"/>
      <c r="AD33" s="84" t="s">
        <v>1927</v>
      </c>
      <c r="AE33" s="82">
        <v>1</v>
      </c>
      <c r="AF33" s="83" t="str">
        <f>REPLACE(INDEX(GroupVertices[Group],MATCH(Edges[[#This Row],[Vertex 1]],GroupVertices[Vertex],0)),1,1,"")</f>
        <v>1</v>
      </c>
      <c r="AG33" s="83" t="str">
        <f>REPLACE(INDEX(GroupVertices[Group],MATCH(Edges[[#This Row],[Vertex 2]],GroupVertices[Vertex],0)),1,1,"")</f>
        <v>1</v>
      </c>
      <c r="AH33" s="111">
        <v>1</v>
      </c>
      <c r="AI33" s="112">
        <v>50</v>
      </c>
      <c r="AJ33" s="111">
        <v>0</v>
      </c>
      <c r="AK33" s="112">
        <v>0</v>
      </c>
      <c r="AL33" s="111">
        <v>0</v>
      </c>
      <c r="AM33" s="112">
        <v>0</v>
      </c>
      <c r="AN33" s="111">
        <v>1</v>
      </c>
      <c r="AO33" s="112">
        <v>50</v>
      </c>
      <c r="AP33" s="111">
        <v>2</v>
      </c>
    </row>
    <row r="34" spans="1:42" ht="15">
      <c r="A34" s="65" t="s">
        <v>362</v>
      </c>
      <c r="B34" s="65" t="s">
        <v>786</v>
      </c>
      <c r="C34" s="66" t="s">
        <v>4509</v>
      </c>
      <c r="D34" s="67">
        <v>3</v>
      </c>
      <c r="E34" s="68"/>
      <c r="F34" s="69">
        <v>40</v>
      </c>
      <c r="G34" s="66"/>
      <c r="H34" s="70"/>
      <c r="I34" s="71"/>
      <c r="J34" s="71"/>
      <c r="K34" s="35" t="s">
        <v>65</v>
      </c>
      <c r="L34" s="79">
        <v>34</v>
      </c>
      <c r="M34" s="79"/>
      <c r="N34" s="73"/>
      <c r="O34" s="81" t="s">
        <v>788</v>
      </c>
      <c r="P34" s="81" t="s">
        <v>325</v>
      </c>
      <c r="Q34" s="84" t="s">
        <v>822</v>
      </c>
      <c r="R34" s="81" t="s">
        <v>362</v>
      </c>
      <c r="S34" s="81" t="s">
        <v>1430</v>
      </c>
      <c r="T34" s="86" t="str">
        <f>HYPERLINK("http://www.youtube.com/channel/UCAZ9QCr8x4tJzY28V3nNZPA")</f>
        <v>http://www.youtube.com/channel/UCAZ9QCr8x4tJzY28V3nNZPA</v>
      </c>
      <c r="U34" s="81"/>
      <c r="V34" s="81" t="s">
        <v>1885</v>
      </c>
      <c r="W34" s="86" t="str">
        <f>HYPERLINK("https://www.youtube.com/watch?v=wadBvDPeE4E")</f>
        <v>https://www.youtube.com/watch?v=wadBvDPeE4E</v>
      </c>
      <c r="X34" s="81" t="s">
        <v>1886</v>
      </c>
      <c r="Y34" s="81">
        <v>0</v>
      </c>
      <c r="Z34" s="88">
        <v>41202.67990740741</v>
      </c>
      <c r="AA34" s="88">
        <v>41202.67990740741</v>
      </c>
      <c r="AB34" s="81"/>
      <c r="AC34" s="81"/>
      <c r="AD34" s="84" t="s">
        <v>1927</v>
      </c>
      <c r="AE34" s="82">
        <v>1</v>
      </c>
      <c r="AF34" s="83" t="str">
        <f>REPLACE(INDEX(GroupVertices[Group],MATCH(Edges[[#This Row],[Vertex 1]],GroupVertices[Vertex],0)),1,1,"")</f>
        <v>1</v>
      </c>
      <c r="AG34" s="83" t="str">
        <f>REPLACE(INDEX(GroupVertices[Group],MATCH(Edges[[#This Row],[Vertex 2]],GroupVertices[Vertex],0)),1,1,"")</f>
        <v>1</v>
      </c>
      <c r="AH34" s="111">
        <v>0</v>
      </c>
      <c r="AI34" s="112">
        <v>0</v>
      </c>
      <c r="AJ34" s="111">
        <v>1</v>
      </c>
      <c r="AK34" s="112">
        <v>4.3478260869565215</v>
      </c>
      <c r="AL34" s="111">
        <v>0</v>
      </c>
      <c r="AM34" s="112">
        <v>0</v>
      </c>
      <c r="AN34" s="111">
        <v>22</v>
      </c>
      <c r="AO34" s="112">
        <v>95.65217391304348</v>
      </c>
      <c r="AP34" s="111">
        <v>23</v>
      </c>
    </row>
    <row r="35" spans="1:42" ht="15">
      <c r="A35" s="65" t="s">
        <v>363</v>
      </c>
      <c r="B35" s="65" t="s">
        <v>786</v>
      </c>
      <c r="C35" s="66" t="s">
        <v>4509</v>
      </c>
      <c r="D35" s="67">
        <v>3</v>
      </c>
      <c r="E35" s="68"/>
      <c r="F35" s="69">
        <v>40</v>
      </c>
      <c r="G35" s="66"/>
      <c r="H35" s="70"/>
      <c r="I35" s="71"/>
      <c r="J35" s="71"/>
      <c r="K35" s="35" t="s">
        <v>65</v>
      </c>
      <c r="L35" s="79">
        <v>35</v>
      </c>
      <c r="M35" s="79"/>
      <c r="N35" s="73"/>
      <c r="O35" s="81" t="s">
        <v>788</v>
      </c>
      <c r="P35" s="81" t="s">
        <v>325</v>
      </c>
      <c r="Q35" s="84" t="s">
        <v>823</v>
      </c>
      <c r="R35" s="81" t="s">
        <v>363</v>
      </c>
      <c r="S35" s="81" t="s">
        <v>1431</v>
      </c>
      <c r="T35" s="86" t="str">
        <f>HYPERLINK("http://www.youtube.com/channel/UCY6KIyubYVIouNRwwHzJsoA")</f>
        <v>http://www.youtube.com/channel/UCY6KIyubYVIouNRwwHzJsoA</v>
      </c>
      <c r="U35" s="81"/>
      <c r="V35" s="81" t="s">
        <v>1885</v>
      </c>
      <c r="W35" s="86" t="str">
        <f>HYPERLINK("https://www.youtube.com/watch?v=wadBvDPeE4E")</f>
        <v>https://www.youtube.com/watch?v=wadBvDPeE4E</v>
      </c>
      <c r="X35" s="81" t="s">
        <v>1886</v>
      </c>
      <c r="Y35" s="81">
        <v>2</v>
      </c>
      <c r="Z35" s="88">
        <v>41202.68457175926</v>
      </c>
      <c r="AA35" s="88">
        <v>41202.68457175926</v>
      </c>
      <c r="AB35" s="81"/>
      <c r="AC35" s="81"/>
      <c r="AD35" s="84" t="s">
        <v>1927</v>
      </c>
      <c r="AE35" s="82">
        <v>1</v>
      </c>
      <c r="AF35" s="83" t="str">
        <f>REPLACE(INDEX(GroupVertices[Group],MATCH(Edges[[#This Row],[Vertex 1]],GroupVertices[Vertex],0)),1,1,"")</f>
        <v>1</v>
      </c>
      <c r="AG35" s="83" t="str">
        <f>REPLACE(INDEX(GroupVertices[Group],MATCH(Edges[[#This Row],[Vertex 2]],GroupVertices[Vertex],0)),1,1,"")</f>
        <v>1</v>
      </c>
      <c r="AH35" s="111">
        <v>1</v>
      </c>
      <c r="AI35" s="112">
        <v>5</v>
      </c>
      <c r="AJ35" s="111">
        <v>0</v>
      </c>
      <c r="AK35" s="112">
        <v>0</v>
      </c>
      <c r="AL35" s="111">
        <v>0</v>
      </c>
      <c r="AM35" s="112">
        <v>0</v>
      </c>
      <c r="AN35" s="111">
        <v>19</v>
      </c>
      <c r="AO35" s="112">
        <v>95</v>
      </c>
      <c r="AP35" s="111">
        <v>20</v>
      </c>
    </row>
    <row r="36" spans="1:42" ht="15">
      <c r="A36" s="65" t="s">
        <v>364</v>
      </c>
      <c r="B36" s="65" t="s">
        <v>365</v>
      </c>
      <c r="C36" s="66" t="s">
        <v>4509</v>
      </c>
      <c r="D36" s="67">
        <v>3</v>
      </c>
      <c r="E36" s="68"/>
      <c r="F36" s="69">
        <v>40</v>
      </c>
      <c r="G36" s="66"/>
      <c r="H36" s="70"/>
      <c r="I36" s="71"/>
      <c r="J36" s="71"/>
      <c r="K36" s="35" t="s">
        <v>65</v>
      </c>
      <c r="L36" s="79">
        <v>36</v>
      </c>
      <c r="M36" s="79"/>
      <c r="N36" s="73"/>
      <c r="O36" s="81" t="s">
        <v>789</v>
      </c>
      <c r="P36" s="81" t="s">
        <v>791</v>
      </c>
      <c r="Q36" s="84" t="s">
        <v>824</v>
      </c>
      <c r="R36" s="81" t="s">
        <v>364</v>
      </c>
      <c r="S36" s="81" t="s">
        <v>1432</v>
      </c>
      <c r="T36" s="86" t="str">
        <f>HYPERLINK("http://www.youtube.com/channel/UC7TxlHY96CVsqbnjVYqOAuQ")</f>
        <v>http://www.youtube.com/channel/UC7TxlHY96CVsqbnjVYqOAuQ</v>
      </c>
      <c r="U36" s="81" t="s">
        <v>1855</v>
      </c>
      <c r="V36" s="81" t="s">
        <v>1885</v>
      </c>
      <c r="W36" s="86" t="str">
        <f>HYPERLINK("https://www.youtube.com/watch?v=wadBvDPeE4E")</f>
        <v>https://www.youtube.com/watch?v=wadBvDPeE4E</v>
      </c>
      <c r="X36" s="81" t="s">
        <v>1886</v>
      </c>
      <c r="Y36" s="81">
        <v>0</v>
      </c>
      <c r="Z36" s="88">
        <v>44295.76320601852</v>
      </c>
      <c r="AA36" s="88">
        <v>44295.76320601852</v>
      </c>
      <c r="AB36" s="81"/>
      <c r="AC36" s="81"/>
      <c r="AD36" s="84" t="s">
        <v>1927</v>
      </c>
      <c r="AE36" s="82">
        <v>1</v>
      </c>
      <c r="AF36" s="83" t="str">
        <f>REPLACE(INDEX(GroupVertices[Group],MATCH(Edges[[#This Row],[Vertex 1]],GroupVertices[Vertex],0)),1,1,"")</f>
        <v>18</v>
      </c>
      <c r="AG36" s="83" t="str">
        <f>REPLACE(INDEX(GroupVertices[Group],MATCH(Edges[[#This Row],[Vertex 2]],GroupVertices[Vertex],0)),1,1,"")</f>
        <v>18</v>
      </c>
      <c r="AH36" s="111">
        <v>0</v>
      </c>
      <c r="AI36" s="112">
        <v>0</v>
      </c>
      <c r="AJ36" s="111">
        <v>0</v>
      </c>
      <c r="AK36" s="112">
        <v>0</v>
      </c>
      <c r="AL36" s="111">
        <v>0</v>
      </c>
      <c r="AM36" s="112">
        <v>0</v>
      </c>
      <c r="AN36" s="111">
        <v>4</v>
      </c>
      <c r="AO36" s="112">
        <v>100</v>
      </c>
      <c r="AP36" s="111">
        <v>4</v>
      </c>
    </row>
    <row r="37" spans="1:42" ht="15">
      <c r="A37" s="65" t="s">
        <v>365</v>
      </c>
      <c r="B37" s="65" t="s">
        <v>786</v>
      </c>
      <c r="C37" s="66" t="s">
        <v>4509</v>
      </c>
      <c r="D37" s="67">
        <v>3</v>
      </c>
      <c r="E37" s="68"/>
      <c r="F37" s="69">
        <v>40</v>
      </c>
      <c r="G37" s="66"/>
      <c r="H37" s="70"/>
      <c r="I37" s="71"/>
      <c r="J37" s="71"/>
      <c r="K37" s="35" t="s">
        <v>65</v>
      </c>
      <c r="L37" s="79">
        <v>37</v>
      </c>
      <c r="M37" s="79"/>
      <c r="N37" s="73"/>
      <c r="O37" s="81" t="s">
        <v>788</v>
      </c>
      <c r="P37" s="81" t="s">
        <v>325</v>
      </c>
      <c r="Q37" s="84" t="s">
        <v>825</v>
      </c>
      <c r="R37" s="81" t="s">
        <v>365</v>
      </c>
      <c r="S37" s="81" t="s">
        <v>1433</v>
      </c>
      <c r="T37" s="86" t="str">
        <f>HYPERLINK("http://www.youtube.com/channel/UCVLKCfdA9325eztCzgg7vlg")</f>
        <v>http://www.youtube.com/channel/UCVLKCfdA9325eztCzgg7vlg</v>
      </c>
      <c r="U37" s="81"/>
      <c r="V37" s="81" t="s">
        <v>1885</v>
      </c>
      <c r="W37" s="86" t="str">
        <f>HYPERLINK("https://www.youtube.com/watch?v=wadBvDPeE4E")</f>
        <v>https://www.youtube.com/watch?v=wadBvDPeE4E</v>
      </c>
      <c r="X37" s="81" t="s">
        <v>1886</v>
      </c>
      <c r="Y37" s="81">
        <v>0</v>
      </c>
      <c r="Z37" s="88">
        <v>41202.68487268518</v>
      </c>
      <c r="AA37" s="88">
        <v>41202.68487268518</v>
      </c>
      <c r="AB37" s="81"/>
      <c r="AC37" s="81"/>
      <c r="AD37" s="84" t="s">
        <v>1927</v>
      </c>
      <c r="AE37" s="82">
        <v>1</v>
      </c>
      <c r="AF37" s="83" t="str">
        <f>REPLACE(INDEX(GroupVertices[Group],MATCH(Edges[[#This Row],[Vertex 1]],GroupVertices[Vertex],0)),1,1,"")</f>
        <v>18</v>
      </c>
      <c r="AG37" s="83" t="str">
        <f>REPLACE(INDEX(GroupVertices[Group],MATCH(Edges[[#This Row],[Vertex 2]],GroupVertices[Vertex],0)),1,1,"")</f>
        <v>1</v>
      </c>
      <c r="AH37" s="111">
        <v>1</v>
      </c>
      <c r="AI37" s="112">
        <v>4.545454545454546</v>
      </c>
      <c r="AJ37" s="111">
        <v>0</v>
      </c>
      <c r="AK37" s="112">
        <v>0</v>
      </c>
      <c r="AL37" s="111">
        <v>0</v>
      </c>
      <c r="AM37" s="112">
        <v>0</v>
      </c>
      <c r="AN37" s="111">
        <v>21</v>
      </c>
      <c r="AO37" s="112">
        <v>95.45454545454545</v>
      </c>
      <c r="AP37" s="111">
        <v>22</v>
      </c>
    </row>
    <row r="38" spans="1:42" ht="15">
      <c r="A38" s="65" t="s">
        <v>366</v>
      </c>
      <c r="B38" s="65" t="s">
        <v>786</v>
      </c>
      <c r="C38" s="66" t="s">
        <v>4509</v>
      </c>
      <c r="D38" s="67">
        <v>3</v>
      </c>
      <c r="E38" s="68"/>
      <c r="F38" s="69">
        <v>40</v>
      </c>
      <c r="G38" s="66"/>
      <c r="H38" s="70"/>
      <c r="I38" s="71"/>
      <c r="J38" s="71"/>
      <c r="K38" s="35" t="s">
        <v>65</v>
      </c>
      <c r="L38" s="79">
        <v>38</v>
      </c>
      <c r="M38" s="79"/>
      <c r="N38" s="73"/>
      <c r="O38" s="81" t="s">
        <v>788</v>
      </c>
      <c r="P38" s="81" t="s">
        <v>325</v>
      </c>
      <c r="Q38" s="84" t="s">
        <v>826</v>
      </c>
      <c r="R38" s="81" t="s">
        <v>366</v>
      </c>
      <c r="S38" s="81" t="s">
        <v>1434</v>
      </c>
      <c r="T38" s="86" t="str">
        <f>HYPERLINK("http://www.youtube.com/channel/UCyVhBPlAU2vPVMwyy24fU1g")</f>
        <v>http://www.youtube.com/channel/UCyVhBPlAU2vPVMwyy24fU1g</v>
      </c>
      <c r="U38" s="81"/>
      <c r="V38" s="81" t="s">
        <v>1885</v>
      </c>
      <c r="W38" s="86" t="str">
        <f>HYPERLINK("https://www.youtube.com/watch?v=wadBvDPeE4E")</f>
        <v>https://www.youtube.com/watch?v=wadBvDPeE4E</v>
      </c>
      <c r="X38" s="81" t="s">
        <v>1886</v>
      </c>
      <c r="Y38" s="81">
        <v>1</v>
      </c>
      <c r="Z38" s="88">
        <v>41202.686875</v>
      </c>
      <c r="AA38" s="88">
        <v>41202.686875</v>
      </c>
      <c r="AB38" s="81"/>
      <c r="AC38" s="81"/>
      <c r="AD38" s="84" t="s">
        <v>1927</v>
      </c>
      <c r="AE38" s="82">
        <v>1</v>
      </c>
      <c r="AF38" s="83" t="str">
        <f>REPLACE(INDEX(GroupVertices[Group],MATCH(Edges[[#This Row],[Vertex 1]],GroupVertices[Vertex],0)),1,1,"")</f>
        <v>1</v>
      </c>
      <c r="AG38" s="83" t="str">
        <f>REPLACE(INDEX(GroupVertices[Group],MATCH(Edges[[#This Row],[Vertex 2]],GroupVertices[Vertex],0)),1,1,"")</f>
        <v>1</v>
      </c>
      <c r="AH38" s="111">
        <v>1</v>
      </c>
      <c r="AI38" s="112">
        <v>7.6923076923076925</v>
      </c>
      <c r="AJ38" s="111">
        <v>0</v>
      </c>
      <c r="AK38" s="112">
        <v>0</v>
      </c>
      <c r="AL38" s="111">
        <v>0</v>
      </c>
      <c r="AM38" s="112">
        <v>0</v>
      </c>
      <c r="AN38" s="111">
        <v>12</v>
      </c>
      <c r="AO38" s="112">
        <v>92.3076923076923</v>
      </c>
      <c r="AP38" s="111">
        <v>13</v>
      </c>
    </row>
    <row r="39" spans="1:42" ht="15">
      <c r="A39" s="65" t="s">
        <v>367</v>
      </c>
      <c r="B39" s="65" t="s">
        <v>786</v>
      </c>
      <c r="C39" s="66" t="s">
        <v>4509</v>
      </c>
      <c r="D39" s="67">
        <v>3</v>
      </c>
      <c r="E39" s="68"/>
      <c r="F39" s="69">
        <v>40</v>
      </c>
      <c r="G39" s="66"/>
      <c r="H39" s="70"/>
      <c r="I39" s="71"/>
      <c r="J39" s="71"/>
      <c r="K39" s="35" t="s">
        <v>65</v>
      </c>
      <c r="L39" s="79">
        <v>39</v>
      </c>
      <c r="M39" s="79"/>
      <c r="N39" s="73"/>
      <c r="O39" s="81" t="s">
        <v>788</v>
      </c>
      <c r="P39" s="81" t="s">
        <v>325</v>
      </c>
      <c r="Q39" s="84" t="s">
        <v>827</v>
      </c>
      <c r="R39" s="81" t="s">
        <v>367</v>
      </c>
      <c r="S39" s="81" t="s">
        <v>1435</v>
      </c>
      <c r="T39" s="86" t="str">
        <f>HYPERLINK("http://www.youtube.com/channel/UCF2xX0Jt59iinCHRA0lsU6Q")</f>
        <v>http://www.youtube.com/channel/UCF2xX0Jt59iinCHRA0lsU6Q</v>
      </c>
      <c r="U39" s="81"/>
      <c r="V39" s="81" t="s">
        <v>1885</v>
      </c>
      <c r="W39" s="86" t="str">
        <f>HYPERLINK("https://www.youtube.com/watch?v=wadBvDPeE4E")</f>
        <v>https://www.youtube.com/watch?v=wadBvDPeE4E</v>
      </c>
      <c r="X39" s="81" t="s">
        <v>1886</v>
      </c>
      <c r="Y39" s="81">
        <v>0</v>
      </c>
      <c r="Z39" s="88">
        <v>41202.691030092596</v>
      </c>
      <c r="AA39" s="88">
        <v>41202.691030092596</v>
      </c>
      <c r="AB39" s="81"/>
      <c r="AC39" s="81"/>
      <c r="AD39" s="84" t="s">
        <v>1927</v>
      </c>
      <c r="AE39" s="82">
        <v>1</v>
      </c>
      <c r="AF39" s="83" t="str">
        <f>REPLACE(INDEX(GroupVertices[Group],MATCH(Edges[[#This Row],[Vertex 1]],GroupVertices[Vertex],0)),1,1,"")</f>
        <v>1</v>
      </c>
      <c r="AG39" s="83" t="str">
        <f>REPLACE(INDEX(GroupVertices[Group],MATCH(Edges[[#This Row],[Vertex 2]],GroupVertices[Vertex],0)),1,1,"")</f>
        <v>1</v>
      </c>
      <c r="AH39" s="111">
        <v>0</v>
      </c>
      <c r="AI39" s="112">
        <v>0</v>
      </c>
      <c r="AJ39" s="111">
        <v>1</v>
      </c>
      <c r="AK39" s="112">
        <v>5.2631578947368425</v>
      </c>
      <c r="AL39" s="111">
        <v>0</v>
      </c>
      <c r="AM39" s="112">
        <v>0</v>
      </c>
      <c r="AN39" s="111">
        <v>18</v>
      </c>
      <c r="AO39" s="112">
        <v>94.73684210526316</v>
      </c>
      <c r="AP39" s="111">
        <v>19</v>
      </c>
    </row>
    <row r="40" spans="1:42" ht="15">
      <c r="A40" s="65" t="s">
        <v>368</v>
      </c>
      <c r="B40" s="65" t="s">
        <v>786</v>
      </c>
      <c r="C40" s="66" t="s">
        <v>4509</v>
      </c>
      <c r="D40" s="67">
        <v>3</v>
      </c>
      <c r="E40" s="68"/>
      <c r="F40" s="69">
        <v>40</v>
      </c>
      <c r="G40" s="66"/>
      <c r="H40" s="70"/>
      <c r="I40" s="71"/>
      <c r="J40" s="71"/>
      <c r="K40" s="35" t="s">
        <v>65</v>
      </c>
      <c r="L40" s="79">
        <v>40</v>
      </c>
      <c r="M40" s="79"/>
      <c r="N40" s="73"/>
      <c r="O40" s="81" t="s">
        <v>788</v>
      </c>
      <c r="P40" s="81" t="s">
        <v>325</v>
      </c>
      <c r="Q40" s="84" t="s">
        <v>828</v>
      </c>
      <c r="R40" s="81" t="s">
        <v>368</v>
      </c>
      <c r="S40" s="81" t="s">
        <v>1436</v>
      </c>
      <c r="T40" s="86" t="str">
        <f>HYPERLINK("http://www.youtube.com/channel/UCKhhUAyaQUs5enJktUrcR-A")</f>
        <v>http://www.youtube.com/channel/UCKhhUAyaQUs5enJktUrcR-A</v>
      </c>
      <c r="U40" s="81"/>
      <c r="V40" s="81" t="s">
        <v>1885</v>
      </c>
      <c r="W40" s="86" t="str">
        <f>HYPERLINK("https://www.youtube.com/watch?v=wadBvDPeE4E")</f>
        <v>https://www.youtube.com/watch?v=wadBvDPeE4E</v>
      </c>
      <c r="X40" s="81" t="s">
        <v>1886</v>
      </c>
      <c r="Y40" s="81">
        <v>0</v>
      </c>
      <c r="Z40" s="88">
        <v>41202.696747685186</v>
      </c>
      <c r="AA40" s="88">
        <v>41202.696747685186</v>
      </c>
      <c r="AB40" s="81"/>
      <c r="AC40" s="81"/>
      <c r="AD40" s="84" t="s">
        <v>1927</v>
      </c>
      <c r="AE40" s="82">
        <v>1</v>
      </c>
      <c r="AF40" s="83" t="str">
        <f>REPLACE(INDEX(GroupVertices[Group],MATCH(Edges[[#This Row],[Vertex 1]],GroupVertices[Vertex],0)),1,1,"")</f>
        <v>1</v>
      </c>
      <c r="AG40" s="83" t="str">
        <f>REPLACE(INDEX(GroupVertices[Group],MATCH(Edges[[#This Row],[Vertex 2]],GroupVertices[Vertex],0)),1,1,"")</f>
        <v>1</v>
      </c>
      <c r="AH40" s="111">
        <v>0</v>
      </c>
      <c r="AI40" s="112">
        <v>0</v>
      </c>
      <c r="AJ40" s="111">
        <v>0</v>
      </c>
      <c r="AK40" s="112">
        <v>0</v>
      </c>
      <c r="AL40" s="111">
        <v>0</v>
      </c>
      <c r="AM40" s="112">
        <v>0</v>
      </c>
      <c r="AN40" s="111">
        <v>3</v>
      </c>
      <c r="AO40" s="112">
        <v>100</v>
      </c>
      <c r="AP40" s="111">
        <v>3</v>
      </c>
    </row>
    <row r="41" spans="1:42" ht="15">
      <c r="A41" s="65" t="s">
        <v>369</v>
      </c>
      <c r="B41" s="65" t="s">
        <v>786</v>
      </c>
      <c r="C41" s="66" t="s">
        <v>4509</v>
      </c>
      <c r="D41" s="67">
        <v>3</v>
      </c>
      <c r="E41" s="68"/>
      <c r="F41" s="69">
        <v>40</v>
      </c>
      <c r="G41" s="66"/>
      <c r="H41" s="70"/>
      <c r="I41" s="71"/>
      <c r="J41" s="71"/>
      <c r="K41" s="35" t="s">
        <v>65</v>
      </c>
      <c r="L41" s="79">
        <v>41</v>
      </c>
      <c r="M41" s="79"/>
      <c r="N41" s="73"/>
      <c r="O41" s="81" t="s">
        <v>788</v>
      </c>
      <c r="P41" s="81" t="s">
        <v>325</v>
      </c>
      <c r="Q41" s="84" t="s">
        <v>829</v>
      </c>
      <c r="R41" s="81" t="s">
        <v>369</v>
      </c>
      <c r="S41" s="81" t="s">
        <v>1437</v>
      </c>
      <c r="T41" s="86" t="str">
        <f>HYPERLINK("http://www.youtube.com/channel/UC8SEr2exDhoViCH1TOcGTnw")</f>
        <v>http://www.youtube.com/channel/UC8SEr2exDhoViCH1TOcGTnw</v>
      </c>
      <c r="U41" s="81"/>
      <c r="V41" s="81" t="s">
        <v>1885</v>
      </c>
      <c r="W41" s="86" t="str">
        <f>HYPERLINK("https://www.youtube.com/watch?v=wadBvDPeE4E")</f>
        <v>https://www.youtube.com/watch?v=wadBvDPeE4E</v>
      </c>
      <c r="X41" s="81" t="s">
        <v>1886</v>
      </c>
      <c r="Y41" s="81">
        <v>0</v>
      </c>
      <c r="Z41" s="88">
        <v>41202.69805555556</v>
      </c>
      <c r="AA41" s="88">
        <v>41202.69805555556</v>
      </c>
      <c r="AB41" s="81"/>
      <c r="AC41" s="81"/>
      <c r="AD41" s="84" t="s">
        <v>1927</v>
      </c>
      <c r="AE41" s="82">
        <v>1</v>
      </c>
      <c r="AF41" s="83" t="str">
        <f>REPLACE(INDEX(GroupVertices[Group],MATCH(Edges[[#This Row],[Vertex 1]],GroupVertices[Vertex],0)),1,1,"")</f>
        <v>1</v>
      </c>
      <c r="AG41" s="83" t="str">
        <f>REPLACE(INDEX(GroupVertices[Group],MATCH(Edges[[#This Row],[Vertex 2]],GroupVertices[Vertex],0)),1,1,"")</f>
        <v>1</v>
      </c>
      <c r="AH41" s="111">
        <v>1</v>
      </c>
      <c r="AI41" s="112">
        <v>5.882352941176471</v>
      </c>
      <c r="AJ41" s="111">
        <v>2</v>
      </c>
      <c r="AK41" s="112">
        <v>11.764705882352942</v>
      </c>
      <c r="AL41" s="111">
        <v>0</v>
      </c>
      <c r="AM41" s="112">
        <v>0</v>
      </c>
      <c r="AN41" s="111">
        <v>14</v>
      </c>
      <c r="AO41" s="112">
        <v>82.3529411764706</v>
      </c>
      <c r="AP41" s="111">
        <v>17</v>
      </c>
    </row>
    <row r="42" spans="1:42" ht="15">
      <c r="A42" s="65" t="s">
        <v>370</v>
      </c>
      <c r="B42" s="65" t="s">
        <v>786</v>
      </c>
      <c r="C42" s="66" t="s">
        <v>4509</v>
      </c>
      <c r="D42" s="67">
        <v>3</v>
      </c>
      <c r="E42" s="68"/>
      <c r="F42" s="69">
        <v>40</v>
      </c>
      <c r="G42" s="66"/>
      <c r="H42" s="70"/>
      <c r="I42" s="71"/>
      <c r="J42" s="71"/>
      <c r="K42" s="35" t="s">
        <v>65</v>
      </c>
      <c r="L42" s="79">
        <v>42</v>
      </c>
      <c r="M42" s="79"/>
      <c r="N42" s="73"/>
      <c r="O42" s="81" t="s">
        <v>788</v>
      </c>
      <c r="P42" s="81" t="s">
        <v>325</v>
      </c>
      <c r="Q42" s="84" t="s">
        <v>830</v>
      </c>
      <c r="R42" s="81" t="s">
        <v>370</v>
      </c>
      <c r="S42" s="81" t="s">
        <v>1438</v>
      </c>
      <c r="T42" s="86" t="str">
        <f>HYPERLINK("http://www.youtube.com/channel/UCnxrG1IqO0A_g3W00m__S0A")</f>
        <v>http://www.youtube.com/channel/UCnxrG1IqO0A_g3W00m__S0A</v>
      </c>
      <c r="U42" s="81"/>
      <c r="V42" s="81" t="s">
        <v>1885</v>
      </c>
      <c r="W42" s="86" t="str">
        <f>HYPERLINK("https://www.youtube.com/watch?v=wadBvDPeE4E")</f>
        <v>https://www.youtube.com/watch?v=wadBvDPeE4E</v>
      </c>
      <c r="X42" s="81" t="s">
        <v>1886</v>
      </c>
      <c r="Y42" s="81">
        <v>0</v>
      </c>
      <c r="Z42" s="88">
        <v>41202.70396990741</v>
      </c>
      <c r="AA42" s="88">
        <v>41202.70396990741</v>
      </c>
      <c r="AB42" s="81"/>
      <c r="AC42" s="81"/>
      <c r="AD42" s="84" t="s">
        <v>1927</v>
      </c>
      <c r="AE42" s="82">
        <v>1</v>
      </c>
      <c r="AF42" s="83" t="str">
        <f>REPLACE(INDEX(GroupVertices[Group],MATCH(Edges[[#This Row],[Vertex 1]],GroupVertices[Vertex],0)),1,1,"")</f>
        <v>1</v>
      </c>
      <c r="AG42" s="83" t="str">
        <f>REPLACE(INDEX(GroupVertices[Group],MATCH(Edges[[#This Row],[Vertex 2]],GroupVertices[Vertex],0)),1,1,"")</f>
        <v>1</v>
      </c>
      <c r="AH42" s="111">
        <v>2</v>
      </c>
      <c r="AI42" s="112">
        <v>10.526315789473685</v>
      </c>
      <c r="AJ42" s="111">
        <v>0</v>
      </c>
      <c r="AK42" s="112">
        <v>0</v>
      </c>
      <c r="AL42" s="111">
        <v>0</v>
      </c>
      <c r="AM42" s="112">
        <v>0</v>
      </c>
      <c r="AN42" s="111">
        <v>17</v>
      </c>
      <c r="AO42" s="112">
        <v>89.47368421052632</v>
      </c>
      <c r="AP42" s="111">
        <v>19</v>
      </c>
    </row>
    <row r="43" spans="1:42" ht="15">
      <c r="A43" s="65" t="s">
        <v>371</v>
      </c>
      <c r="B43" s="65" t="s">
        <v>786</v>
      </c>
      <c r="C43" s="66" t="s">
        <v>4509</v>
      </c>
      <c r="D43" s="67">
        <v>3</v>
      </c>
      <c r="E43" s="68"/>
      <c r="F43" s="69">
        <v>40</v>
      </c>
      <c r="G43" s="66"/>
      <c r="H43" s="70"/>
      <c r="I43" s="71"/>
      <c r="J43" s="71"/>
      <c r="K43" s="35" t="s">
        <v>65</v>
      </c>
      <c r="L43" s="79">
        <v>43</v>
      </c>
      <c r="M43" s="79"/>
      <c r="N43" s="73"/>
      <c r="O43" s="81" t="s">
        <v>788</v>
      </c>
      <c r="P43" s="81" t="s">
        <v>325</v>
      </c>
      <c r="Q43" s="84" t="s">
        <v>831</v>
      </c>
      <c r="R43" s="81" t="s">
        <v>371</v>
      </c>
      <c r="S43" s="81" t="s">
        <v>1439</v>
      </c>
      <c r="T43" s="86" t="str">
        <f>HYPERLINK("http://www.youtube.com/channel/UC71GWfHLygA6wfNmJWrxBLw")</f>
        <v>http://www.youtube.com/channel/UC71GWfHLygA6wfNmJWrxBLw</v>
      </c>
      <c r="U43" s="81"/>
      <c r="V43" s="81" t="s">
        <v>1885</v>
      </c>
      <c r="W43" s="86" t="str">
        <f>HYPERLINK("https://www.youtube.com/watch?v=wadBvDPeE4E")</f>
        <v>https://www.youtube.com/watch?v=wadBvDPeE4E</v>
      </c>
      <c r="X43" s="81" t="s">
        <v>1886</v>
      </c>
      <c r="Y43" s="81">
        <v>0</v>
      </c>
      <c r="Z43" s="88">
        <v>41202.7075462963</v>
      </c>
      <c r="AA43" s="88">
        <v>41202.7075462963</v>
      </c>
      <c r="AB43" s="81"/>
      <c r="AC43" s="81"/>
      <c r="AD43" s="84" t="s">
        <v>1927</v>
      </c>
      <c r="AE43" s="82">
        <v>1</v>
      </c>
      <c r="AF43" s="83" t="str">
        <f>REPLACE(INDEX(GroupVertices[Group],MATCH(Edges[[#This Row],[Vertex 1]],GroupVertices[Vertex],0)),1,1,"")</f>
        <v>1</v>
      </c>
      <c r="AG43" s="83" t="str">
        <f>REPLACE(INDEX(GroupVertices[Group],MATCH(Edges[[#This Row],[Vertex 2]],GroupVertices[Vertex],0)),1,1,"")</f>
        <v>1</v>
      </c>
      <c r="AH43" s="111">
        <v>0</v>
      </c>
      <c r="AI43" s="112">
        <v>0</v>
      </c>
      <c r="AJ43" s="111">
        <v>2</v>
      </c>
      <c r="AK43" s="112">
        <v>11.11111111111111</v>
      </c>
      <c r="AL43" s="111">
        <v>0</v>
      </c>
      <c r="AM43" s="112">
        <v>0</v>
      </c>
      <c r="AN43" s="111">
        <v>16</v>
      </c>
      <c r="AO43" s="112">
        <v>88.88888888888889</v>
      </c>
      <c r="AP43" s="111">
        <v>18</v>
      </c>
    </row>
    <row r="44" spans="1:42" ht="15">
      <c r="A44" s="65" t="s">
        <v>372</v>
      </c>
      <c r="B44" s="65" t="s">
        <v>786</v>
      </c>
      <c r="C44" s="66" t="s">
        <v>4511</v>
      </c>
      <c r="D44" s="67">
        <v>7.666666666666667</v>
      </c>
      <c r="E44" s="68"/>
      <c r="F44" s="69">
        <v>23.333333333333332</v>
      </c>
      <c r="G44" s="66"/>
      <c r="H44" s="70"/>
      <c r="I44" s="71"/>
      <c r="J44" s="71"/>
      <c r="K44" s="35" t="s">
        <v>65</v>
      </c>
      <c r="L44" s="79">
        <v>44</v>
      </c>
      <c r="M44" s="79"/>
      <c r="N44" s="73"/>
      <c r="O44" s="81" t="s">
        <v>788</v>
      </c>
      <c r="P44" s="81" t="s">
        <v>325</v>
      </c>
      <c r="Q44" s="84" t="s">
        <v>832</v>
      </c>
      <c r="R44" s="81" t="s">
        <v>372</v>
      </c>
      <c r="S44" s="81" t="s">
        <v>1440</v>
      </c>
      <c r="T44" s="86" t="str">
        <f>HYPERLINK("http://www.youtube.com/channel/UC6H8xYRD5QuQNcGkobR1K6A")</f>
        <v>http://www.youtube.com/channel/UC6H8xYRD5QuQNcGkobR1K6A</v>
      </c>
      <c r="U44" s="81"/>
      <c r="V44" s="81" t="s">
        <v>1885</v>
      </c>
      <c r="W44" s="86" t="str">
        <f>HYPERLINK("https://www.youtube.com/watch?v=wadBvDPeE4E")</f>
        <v>https://www.youtube.com/watch?v=wadBvDPeE4E</v>
      </c>
      <c r="X44" s="81" t="s">
        <v>1886</v>
      </c>
      <c r="Y44" s="81">
        <v>0</v>
      </c>
      <c r="Z44" s="88">
        <v>41202.70410879629</v>
      </c>
      <c r="AA44" s="88">
        <v>41202.70410879629</v>
      </c>
      <c r="AB44" s="81"/>
      <c r="AC44" s="81"/>
      <c r="AD44" s="84" t="s">
        <v>1927</v>
      </c>
      <c r="AE44" s="82">
        <v>3</v>
      </c>
      <c r="AF44" s="83" t="str">
        <f>REPLACE(INDEX(GroupVertices[Group],MATCH(Edges[[#This Row],[Vertex 1]],GroupVertices[Vertex],0)),1,1,"")</f>
        <v>1</v>
      </c>
      <c r="AG44" s="83" t="str">
        <f>REPLACE(INDEX(GroupVertices[Group],MATCH(Edges[[#This Row],[Vertex 2]],GroupVertices[Vertex],0)),1,1,"")</f>
        <v>1</v>
      </c>
      <c r="AH44" s="111">
        <v>2</v>
      </c>
      <c r="AI44" s="112">
        <v>2.6666666666666665</v>
      </c>
      <c r="AJ44" s="111">
        <v>6</v>
      </c>
      <c r="AK44" s="112">
        <v>8</v>
      </c>
      <c r="AL44" s="111">
        <v>0</v>
      </c>
      <c r="AM44" s="112">
        <v>0</v>
      </c>
      <c r="AN44" s="111">
        <v>67</v>
      </c>
      <c r="AO44" s="112">
        <v>89.33333333333333</v>
      </c>
      <c r="AP44" s="111">
        <v>75</v>
      </c>
    </row>
    <row r="45" spans="1:42" ht="15">
      <c r="A45" s="65" t="s">
        <v>372</v>
      </c>
      <c r="B45" s="65" t="s">
        <v>786</v>
      </c>
      <c r="C45" s="66" t="s">
        <v>4511</v>
      </c>
      <c r="D45" s="67">
        <v>7.666666666666667</v>
      </c>
      <c r="E45" s="68"/>
      <c r="F45" s="69">
        <v>23.333333333333332</v>
      </c>
      <c r="G45" s="66"/>
      <c r="H45" s="70"/>
      <c r="I45" s="71"/>
      <c r="J45" s="71"/>
      <c r="K45" s="35" t="s">
        <v>65</v>
      </c>
      <c r="L45" s="79">
        <v>45</v>
      </c>
      <c r="M45" s="79"/>
      <c r="N45" s="73"/>
      <c r="O45" s="81" t="s">
        <v>788</v>
      </c>
      <c r="P45" s="81" t="s">
        <v>325</v>
      </c>
      <c r="Q45" s="84" t="s">
        <v>833</v>
      </c>
      <c r="R45" s="81" t="s">
        <v>372</v>
      </c>
      <c r="S45" s="81" t="s">
        <v>1440</v>
      </c>
      <c r="T45" s="86" t="str">
        <f>HYPERLINK("http://www.youtube.com/channel/UC6H8xYRD5QuQNcGkobR1K6A")</f>
        <v>http://www.youtube.com/channel/UC6H8xYRD5QuQNcGkobR1K6A</v>
      </c>
      <c r="U45" s="81"/>
      <c r="V45" s="81" t="s">
        <v>1885</v>
      </c>
      <c r="W45" s="86" t="str">
        <f>HYPERLINK("https://www.youtube.com/watch?v=wadBvDPeE4E")</f>
        <v>https://www.youtube.com/watch?v=wadBvDPeE4E</v>
      </c>
      <c r="X45" s="81" t="s">
        <v>1886</v>
      </c>
      <c r="Y45" s="81">
        <v>0</v>
      </c>
      <c r="Z45" s="88">
        <v>41202.70915509259</v>
      </c>
      <c r="AA45" s="88">
        <v>41202.70915509259</v>
      </c>
      <c r="AB45" s="81"/>
      <c r="AC45" s="81"/>
      <c r="AD45" s="84" t="s">
        <v>1927</v>
      </c>
      <c r="AE45" s="82">
        <v>3</v>
      </c>
      <c r="AF45" s="83" t="str">
        <f>REPLACE(INDEX(GroupVertices[Group],MATCH(Edges[[#This Row],[Vertex 1]],GroupVertices[Vertex],0)),1,1,"")</f>
        <v>1</v>
      </c>
      <c r="AG45" s="83" t="str">
        <f>REPLACE(INDEX(GroupVertices[Group],MATCH(Edges[[#This Row],[Vertex 2]],GroupVertices[Vertex],0)),1,1,"")</f>
        <v>1</v>
      </c>
      <c r="AH45" s="111">
        <v>3</v>
      </c>
      <c r="AI45" s="112">
        <v>15.789473684210526</v>
      </c>
      <c r="AJ45" s="111">
        <v>0</v>
      </c>
      <c r="AK45" s="112">
        <v>0</v>
      </c>
      <c r="AL45" s="111">
        <v>0</v>
      </c>
      <c r="AM45" s="112">
        <v>0</v>
      </c>
      <c r="AN45" s="111">
        <v>16</v>
      </c>
      <c r="AO45" s="112">
        <v>84.21052631578948</v>
      </c>
      <c r="AP45" s="111">
        <v>19</v>
      </c>
    </row>
    <row r="46" spans="1:42" ht="15">
      <c r="A46" s="65" t="s">
        <v>372</v>
      </c>
      <c r="B46" s="65" t="s">
        <v>786</v>
      </c>
      <c r="C46" s="66" t="s">
        <v>4511</v>
      </c>
      <c r="D46" s="67">
        <v>7.666666666666667</v>
      </c>
      <c r="E46" s="68"/>
      <c r="F46" s="69">
        <v>23.333333333333332</v>
      </c>
      <c r="G46" s="66"/>
      <c r="H46" s="70"/>
      <c r="I46" s="71"/>
      <c r="J46" s="71"/>
      <c r="K46" s="35" t="s">
        <v>65</v>
      </c>
      <c r="L46" s="79">
        <v>46</v>
      </c>
      <c r="M46" s="79"/>
      <c r="N46" s="73"/>
      <c r="O46" s="81" t="s">
        <v>788</v>
      </c>
      <c r="P46" s="81" t="s">
        <v>325</v>
      </c>
      <c r="Q46" s="84" t="s">
        <v>834</v>
      </c>
      <c r="R46" s="81" t="s">
        <v>372</v>
      </c>
      <c r="S46" s="81" t="s">
        <v>1440</v>
      </c>
      <c r="T46" s="86" t="str">
        <f>HYPERLINK("http://www.youtube.com/channel/UC6H8xYRD5QuQNcGkobR1K6A")</f>
        <v>http://www.youtube.com/channel/UC6H8xYRD5QuQNcGkobR1K6A</v>
      </c>
      <c r="U46" s="81"/>
      <c r="V46" s="81" t="s">
        <v>1885</v>
      </c>
      <c r="W46" s="86" t="str">
        <f>HYPERLINK("https://www.youtube.com/watch?v=wadBvDPeE4E")</f>
        <v>https://www.youtube.com/watch?v=wadBvDPeE4E</v>
      </c>
      <c r="X46" s="81" t="s">
        <v>1886</v>
      </c>
      <c r="Y46" s="81">
        <v>0</v>
      </c>
      <c r="Z46" s="88">
        <v>41202.71025462963</v>
      </c>
      <c r="AA46" s="88">
        <v>41202.71025462963</v>
      </c>
      <c r="AB46" s="81"/>
      <c r="AC46" s="81"/>
      <c r="AD46" s="84" t="s">
        <v>1927</v>
      </c>
      <c r="AE46" s="82">
        <v>3</v>
      </c>
      <c r="AF46" s="83" t="str">
        <f>REPLACE(INDEX(GroupVertices[Group],MATCH(Edges[[#This Row],[Vertex 1]],GroupVertices[Vertex],0)),1,1,"")</f>
        <v>1</v>
      </c>
      <c r="AG46" s="83" t="str">
        <f>REPLACE(INDEX(GroupVertices[Group],MATCH(Edges[[#This Row],[Vertex 2]],GroupVertices[Vertex],0)),1,1,"")</f>
        <v>1</v>
      </c>
      <c r="AH46" s="111">
        <v>1</v>
      </c>
      <c r="AI46" s="112">
        <v>9.090909090909092</v>
      </c>
      <c r="AJ46" s="111">
        <v>0</v>
      </c>
      <c r="AK46" s="112">
        <v>0</v>
      </c>
      <c r="AL46" s="111">
        <v>0</v>
      </c>
      <c r="AM46" s="112">
        <v>0</v>
      </c>
      <c r="AN46" s="111">
        <v>10</v>
      </c>
      <c r="AO46" s="112">
        <v>90.9090909090909</v>
      </c>
      <c r="AP46" s="111">
        <v>11</v>
      </c>
    </row>
    <row r="47" spans="1:42" ht="15">
      <c r="A47" s="65" t="s">
        <v>373</v>
      </c>
      <c r="B47" s="65" t="s">
        <v>786</v>
      </c>
      <c r="C47" s="66" t="s">
        <v>4509</v>
      </c>
      <c r="D47" s="67">
        <v>3</v>
      </c>
      <c r="E47" s="68"/>
      <c r="F47" s="69">
        <v>40</v>
      </c>
      <c r="G47" s="66"/>
      <c r="H47" s="70"/>
      <c r="I47" s="71"/>
      <c r="J47" s="71"/>
      <c r="K47" s="35" t="s">
        <v>65</v>
      </c>
      <c r="L47" s="79">
        <v>47</v>
      </c>
      <c r="M47" s="79"/>
      <c r="N47" s="73"/>
      <c r="O47" s="81" t="s">
        <v>788</v>
      </c>
      <c r="P47" s="81" t="s">
        <v>325</v>
      </c>
      <c r="Q47" s="84" t="s">
        <v>835</v>
      </c>
      <c r="R47" s="81" t="s">
        <v>373</v>
      </c>
      <c r="S47" s="81" t="s">
        <v>1441</v>
      </c>
      <c r="T47" s="86" t="str">
        <f>HYPERLINK("http://www.youtube.com/channel/UCB4qx6aknMONopsjwL6W38Q")</f>
        <v>http://www.youtube.com/channel/UCB4qx6aknMONopsjwL6W38Q</v>
      </c>
      <c r="U47" s="81"/>
      <c r="V47" s="81" t="s">
        <v>1885</v>
      </c>
      <c r="W47" s="86" t="str">
        <f>HYPERLINK("https://www.youtube.com/watch?v=wadBvDPeE4E")</f>
        <v>https://www.youtube.com/watch?v=wadBvDPeE4E</v>
      </c>
      <c r="X47" s="81" t="s">
        <v>1886</v>
      </c>
      <c r="Y47" s="81">
        <v>0</v>
      </c>
      <c r="Z47" s="88">
        <v>41202.71381944444</v>
      </c>
      <c r="AA47" s="88">
        <v>41202.71381944444</v>
      </c>
      <c r="AB47" s="81"/>
      <c r="AC47" s="81"/>
      <c r="AD47" s="84" t="s">
        <v>1927</v>
      </c>
      <c r="AE47" s="82">
        <v>1</v>
      </c>
      <c r="AF47" s="83" t="str">
        <f>REPLACE(INDEX(GroupVertices[Group],MATCH(Edges[[#This Row],[Vertex 1]],GroupVertices[Vertex],0)),1,1,"")</f>
        <v>1</v>
      </c>
      <c r="AG47" s="83" t="str">
        <f>REPLACE(INDEX(GroupVertices[Group],MATCH(Edges[[#This Row],[Vertex 2]],GroupVertices[Vertex],0)),1,1,"")</f>
        <v>1</v>
      </c>
      <c r="AH47" s="111">
        <v>0</v>
      </c>
      <c r="AI47" s="112">
        <v>0</v>
      </c>
      <c r="AJ47" s="111">
        <v>0</v>
      </c>
      <c r="AK47" s="112">
        <v>0</v>
      </c>
      <c r="AL47" s="111">
        <v>0</v>
      </c>
      <c r="AM47" s="112">
        <v>0</v>
      </c>
      <c r="AN47" s="111">
        <v>13</v>
      </c>
      <c r="AO47" s="112">
        <v>100</v>
      </c>
      <c r="AP47" s="111">
        <v>13</v>
      </c>
    </row>
    <row r="48" spans="1:42" ht="15">
      <c r="A48" s="65" t="s">
        <v>374</v>
      </c>
      <c r="B48" s="65" t="s">
        <v>786</v>
      </c>
      <c r="C48" s="66" t="s">
        <v>4509</v>
      </c>
      <c r="D48" s="67">
        <v>3</v>
      </c>
      <c r="E48" s="68"/>
      <c r="F48" s="69">
        <v>40</v>
      </c>
      <c r="G48" s="66"/>
      <c r="H48" s="70"/>
      <c r="I48" s="71"/>
      <c r="J48" s="71"/>
      <c r="K48" s="35" t="s">
        <v>65</v>
      </c>
      <c r="L48" s="79">
        <v>48</v>
      </c>
      <c r="M48" s="79"/>
      <c r="N48" s="73"/>
      <c r="O48" s="81" t="s">
        <v>788</v>
      </c>
      <c r="P48" s="81" t="s">
        <v>325</v>
      </c>
      <c r="Q48" s="84" t="s">
        <v>836</v>
      </c>
      <c r="R48" s="81" t="s">
        <v>374</v>
      </c>
      <c r="S48" s="81" t="s">
        <v>1442</v>
      </c>
      <c r="T48" s="86" t="str">
        <f>HYPERLINK("http://www.youtube.com/channel/UCpqqRVKt-ZVet0_yyj-66rQ")</f>
        <v>http://www.youtube.com/channel/UCpqqRVKt-ZVet0_yyj-66rQ</v>
      </c>
      <c r="U48" s="81"/>
      <c r="V48" s="81" t="s">
        <v>1885</v>
      </c>
      <c r="W48" s="86" t="str">
        <f>HYPERLINK("https://www.youtube.com/watch?v=wadBvDPeE4E")</f>
        <v>https://www.youtube.com/watch?v=wadBvDPeE4E</v>
      </c>
      <c r="X48" s="81" t="s">
        <v>1886</v>
      </c>
      <c r="Y48" s="81">
        <v>0</v>
      </c>
      <c r="Z48" s="88">
        <v>41202.71773148148</v>
      </c>
      <c r="AA48" s="88">
        <v>41202.71773148148</v>
      </c>
      <c r="AB48" s="81"/>
      <c r="AC48" s="81"/>
      <c r="AD48" s="84" t="s">
        <v>1927</v>
      </c>
      <c r="AE48" s="82">
        <v>1</v>
      </c>
      <c r="AF48" s="83" t="str">
        <f>REPLACE(INDEX(GroupVertices[Group],MATCH(Edges[[#This Row],[Vertex 1]],GroupVertices[Vertex],0)),1,1,"")</f>
        <v>1</v>
      </c>
      <c r="AG48" s="83" t="str">
        <f>REPLACE(INDEX(GroupVertices[Group],MATCH(Edges[[#This Row],[Vertex 2]],GroupVertices[Vertex],0)),1,1,"")</f>
        <v>1</v>
      </c>
      <c r="AH48" s="111">
        <v>0</v>
      </c>
      <c r="AI48" s="112">
        <v>0</v>
      </c>
      <c r="AJ48" s="111">
        <v>1</v>
      </c>
      <c r="AK48" s="112">
        <v>12.5</v>
      </c>
      <c r="AL48" s="111">
        <v>0</v>
      </c>
      <c r="AM48" s="112">
        <v>0</v>
      </c>
      <c r="AN48" s="111">
        <v>7</v>
      </c>
      <c r="AO48" s="112">
        <v>87.5</v>
      </c>
      <c r="AP48" s="111">
        <v>8</v>
      </c>
    </row>
    <row r="49" spans="1:42" ht="15">
      <c r="A49" s="65" t="s">
        <v>375</v>
      </c>
      <c r="B49" s="65" t="s">
        <v>786</v>
      </c>
      <c r="C49" s="66" t="s">
        <v>4509</v>
      </c>
      <c r="D49" s="67">
        <v>3</v>
      </c>
      <c r="E49" s="68"/>
      <c r="F49" s="69">
        <v>40</v>
      </c>
      <c r="G49" s="66"/>
      <c r="H49" s="70"/>
      <c r="I49" s="71"/>
      <c r="J49" s="71"/>
      <c r="K49" s="35" t="s">
        <v>65</v>
      </c>
      <c r="L49" s="79">
        <v>49</v>
      </c>
      <c r="M49" s="79"/>
      <c r="N49" s="73"/>
      <c r="O49" s="81" t="s">
        <v>788</v>
      </c>
      <c r="P49" s="81" t="s">
        <v>325</v>
      </c>
      <c r="Q49" s="84" t="s">
        <v>837</v>
      </c>
      <c r="R49" s="81" t="s">
        <v>375</v>
      </c>
      <c r="S49" s="81" t="s">
        <v>1443</v>
      </c>
      <c r="T49" s="86" t="str">
        <f>HYPERLINK("http://www.youtube.com/channel/UCZVQBF2Qb6o_nY6lK7x3HOA")</f>
        <v>http://www.youtube.com/channel/UCZVQBF2Qb6o_nY6lK7x3HOA</v>
      </c>
      <c r="U49" s="81"/>
      <c r="V49" s="81" t="s">
        <v>1885</v>
      </c>
      <c r="W49" s="86" t="str">
        <f>HYPERLINK("https://www.youtube.com/watch?v=wadBvDPeE4E")</f>
        <v>https://www.youtube.com/watch?v=wadBvDPeE4E</v>
      </c>
      <c r="X49" s="81" t="s">
        <v>1886</v>
      </c>
      <c r="Y49" s="81">
        <v>0</v>
      </c>
      <c r="Z49" s="88">
        <v>41202.722453703704</v>
      </c>
      <c r="AA49" s="88">
        <v>41202.722453703704</v>
      </c>
      <c r="AB49" s="81"/>
      <c r="AC49" s="81"/>
      <c r="AD49" s="84" t="s">
        <v>1927</v>
      </c>
      <c r="AE49" s="82">
        <v>1</v>
      </c>
      <c r="AF49" s="83" t="str">
        <f>REPLACE(INDEX(GroupVertices[Group],MATCH(Edges[[#This Row],[Vertex 1]],GroupVertices[Vertex],0)),1,1,"")</f>
        <v>1</v>
      </c>
      <c r="AG49" s="83" t="str">
        <f>REPLACE(INDEX(GroupVertices[Group],MATCH(Edges[[#This Row],[Vertex 2]],GroupVertices[Vertex],0)),1,1,"")</f>
        <v>1</v>
      </c>
      <c r="AH49" s="111">
        <v>0</v>
      </c>
      <c r="AI49" s="112">
        <v>0</v>
      </c>
      <c r="AJ49" s="111">
        <v>0</v>
      </c>
      <c r="AK49" s="112">
        <v>0</v>
      </c>
      <c r="AL49" s="111">
        <v>0</v>
      </c>
      <c r="AM49" s="112">
        <v>0</v>
      </c>
      <c r="AN49" s="111">
        <v>12</v>
      </c>
      <c r="AO49" s="112">
        <v>100</v>
      </c>
      <c r="AP49" s="111">
        <v>12</v>
      </c>
    </row>
    <row r="50" spans="1:42" ht="15">
      <c r="A50" s="65" t="s">
        <v>376</v>
      </c>
      <c r="B50" s="65" t="s">
        <v>786</v>
      </c>
      <c r="C50" s="66" t="s">
        <v>4509</v>
      </c>
      <c r="D50" s="67">
        <v>3</v>
      </c>
      <c r="E50" s="68"/>
      <c r="F50" s="69">
        <v>40</v>
      </c>
      <c r="G50" s="66"/>
      <c r="H50" s="70"/>
      <c r="I50" s="71"/>
      <c r="J50" s="71"/>
      <c r="K50" s="35" t="s">
        <v>65</v>
      </c>
      <c r="L50" s="79">
        <v>50</v>
      </c>
      <c r="M50" s="79"/>
      <c r="N50" s="73"/>
      <c r="O50" s="81" t="s">
        <v>788</v>
      </c>
      <c r="P50" s="81" t="s">
        <v>325</v>
      </c>
      <c r="Q50" s="84" t="s">
        <v>838</v>
      </c>
      <c r="R50" s="81" t="s">
        <v>376</v>
      </c>
      <c r="S50" s="81" t="s">
        <v>1444</v>
      </c>
      <c r="T50" s="86" t="str">
        <f>HYPERLINK("http://www.youtube.com/channel/UCA3yny9R2owA5nfWuzi0oXw")</f>
        <v>http://www.youtube.com/channel/UCA3yny9R2owA5nfWuzi0oXw</v>
      </c>
      <c r="U50" s="81"/>
      <c r="V50" s="81" t="s">
        <v>1885</v>
      </c>
      <c r="W50" s="86" t="str">
        <f>HYPERLINK("https://www.youtube.com/watch?v=wadBvDPeE4E")</f>
        <v>https://www.youtube.com/watch?v=wadBvDPeE4E</v>
      </c>
      <c r="X50" s="81" t="s">
        <v>1886</v>
      </c>
      <c r="Y50" s="81">
        <v>0</v>
      </c>
      <c r="Z50" s="88">
        <v>41202.72929398148</v>
      </c>
      <c r="AA50" s="88">
        <v>41202.72929398148</v>
      </c>
      <c r="AB50" s="81"/>
      <c r="AC50" s="81"/>
      <c r="AD50" s="84" t="s">
        <v>1927</v>
      </c>
      <c r="AE50" s="82">
        <v>1</v>
      </c>
      <c r="AF50" s="83" t="str">
        <f>REPLACE(INDEX(GroupVertices[Group],MATCH(Edges[[#This Row],[Vertex 1]],GroupVertices[Vertex],0)),1,1,"")</f>
        <v>1</v>
      </c>
      <c r="AG50" s="83" t="str">
        <f>REPLACE(INDEX(GroupVertices[Group],MATCH(Edges[[#This Row],[Vertex 2]],GroupVertices[Vertex],0)),1,1,"")</f>
        <v>1</v>
      </c>
      <c r="AH50" s="111">
        <v>0</v>
      </c>
      <c r="AI50" s="112">
        <v>0</v>
      </c>
      <c r="AJ50" s="111">
        <v>1</v>
      </c>
      <c r="AK50" s="112">
        <v>8.333333333333334</v>
      </c>
      <c r="AL50" s="111">
        <v>0</v>
      </c>
      <c r="AM50" s="112">
        <v>0</v>
      </c>
      <c r="AN50" s="111">
        <v>11</v>
      </c>
      <c r="AO50" s="112">
        <v>91.66666666666667</v>
      </c>
      <c r="AP50" s="111">
        <v>12</v>
      </c>
    </row>
    <row r="51" spans="1:42" ht="15">
      <c r="A51" s="65" t="s">
        <v>377</v>
      </c>
      <c r="B51" s="65" t="s">
        <v>786</v>
      </c>
      <c r="C51" s="66" t="s">
        <v>4509</v>
      </c>
      <c r="D51" s="67">
        <v>3</v>
      </c>
      <c r="E51" s="68"/>
      <c r="F51" s="69">
        <v>40</v>
      </c>
      <c r="G51" s="66"/>
      <c r="H51" s="70"/>
      <c r="I51" s="71"/>
      <c r="J51" s="71"/>
      <c r="K51" s="35" t="s">
        <v>65</v>
      </c>
      <c r="L51" s="79">
        <v>51</v>
      </c>
      <c r="M51" s="79"/>
      <c r="N51" s="73"/>
      <c r="O51" s="81" t="s">
        <v>788</v>
      </c>
      <c r="P51" s="81" t="s">
        <v>325</v>
      </c>
      <c r="Q51" s="84" t="s">
        <v>839</v>
      </c>
      <c r="R51" s="81" t="s">
        <v>377</v>
      </c>
      <c r="S51" s="81" t="s">
        <v>1445</v>
      </c>
      <c r="T51" s="86" t="str">
        <f>HYPERLINK("http://www.youtube.com/channel/UC1gn0WQ7hdUVoSvG2xnINEQ")</f>
        <v>http://www.youtube.com/channel/UC1gn0WQ7hdUVoSvG2xnINEQ</v>
      </c>
      <c r="U51" s="81"/>
      <c r="V51" s="81" t="s">
        <v>1885</v>
      </c>
      <c r="W51" s="86" t="str">
        <f>HYPERLINK("https://www.youtube.com/watch?v=wadBvDPeE4E")</f>
        <v>https://www.youtube.com/watch?v=wadBvDPeE4E</v>
      </c>
      <c r="X51" s="81" t="s">
        <v>1886</v>
      </c>
      <c r="Y51" s="81">
        <v>0</v>
      </c>
      <c r="Z51" s="88">
        <v>41202.73</v>
      </c>
      <c r="AA51" s="88">
        <v>41202.73</v>
      </c>
      <c r="AB51" s="81"/>
      <c r="AC51" s="81"/>
      <c r="AD51" s="84" t="s">
        <v>1927</v>
      </c>
      <c r="AE51" s="82">
        <v>1</v>
      </c>
      <c r="AF51" s="83" t="str">
        <f>REPLACE(INDEX(GroupVertices[Group],MATCH(Edges[[#This Row],[Vertex 1]],GroupVertices[Vertex],0)),1,1,"")</f>
        <v>1</v>
      </c>
      <c r="AG51" s="83" t="str">
        <f>REPLACE(INDEX(GroupVertices[Group],MATCH(Edges[[#This Row],[Vertex 2]],GroupVertices[Vertex],0)),1,1,"")</f>
        <v>1</v>
      </c>
      <c r="AH51" s="111">
        <v>0</v>
      </c>
      <c r="AI51" s="112">
        <v>0</v>
      </c>
      <c r="AJ51" s="111">
        <v>0</v>
      </c>
      <c r="AK51" s="112">
        <v>0</v>
      </c>
      <c r="AL51" s="111">
        <v>0</v>
      </c>
      <c r="AM51" s="112">
        <v>0</v>
      </c>
      <c r="AN51" s="111">
        <v>3</v>
      </c>
      <c r="AO51" s="112">
        <v>100</v>
      </c>
      <c r="AP51" s="111">
        <v>3</v>
      </c>
    </row>
    <row r="52" spans="1:42" ht="15">
      <c r="A52" s="65" t="s">
        <v>378</v>
      </c>
      <c r="B52" s="65" t="s">
        <v>786</v>
      </c>
      <c r="C52" s="66" t="s">
        <v>4509</v>
      </c>
      <c r="D52" s="67">
        <v>3</v>
      </c>
      <c r="E52" s="68"/>
      <c r="F52" s="69">
        <v>40</v>
      </c>
      <c r="G52" s="66"/>
      <c r="H52" s="70"/>
      <c r="I52" s="71"/>
      <c r="J52" s="71"/>
      <c r="K52" s="35" t="s">
        <v>65</v>
      </c>
      <c r="L52" s="79">
        <v>52</v>
      </c>
      <c r="M52" s="79"/>
      <c r="N52" s="73"/>
      <c r="O52" s="81" t="s">
        <v>788</v>
      </c>
      <c r="P52" s="81" t="s">
        <v>325</v>
      </c>
      <c r="Q52" s="84" t="s">
        <v>840</v>
      </c>
      <c r="R52" s="81" t="s">
        <v>378</v>
      </c>
      <c r="S52" s="81" t="s">
        <v>1446</v>
      </c>
      <c r="T52" s="86" t="str">
        <f>HYPERLINK("http://www.youtube.com/channel/UCHbkFnLRFtHAo33c7BhmhsQ")</f>
        <v>http://www.youtube.com/channel/UCHbkFnLRFtHAo33c7BhmhsQ</v>
      </c>
      <c r="U52" s="81"/>
      <c r="V52" s="81" t="s">
        <v>1885</v>
      </c>
      <c r="W52" s="86" t="str">
        <f>HYPERLINK("https://www.youtube.com/watch?v=wadBvDPeE4E")</f>
        <v>https://www.youtube.com/watch?v=wadBvDPeE4E</v>
      </c>
      <c r="X52" s="81" t="s">
        <v>1886</v>
      </c>
      <c r="Y52" s="81">
        <v>1</v>
      </c>
      <c r="Z52" s="88">
        <v>41202.743252314816</v>
      </c>
      <c r="AA52" s="88">
        <v>41202.743252314816</v>
      </c>
      <c r="AB52" s="81"/>
      <c r="AC52" s="81"/>
      <c r="AD52" s="84" t="s">
        <v>1927</v>
      </c>
      <c r="AE52" s="82">
        <v>1</v>
      </c>
      <c r="AF52" s="83" t="str">
        <f>REPLACE(INDEX(GroupVertices[Group],MATCH(Edges[[#This Row],[Vertex 1]],GroupVertices[Vertex],0)),1,1,"")</f>
        <v>1</v>
      </c>
      <c r="AG52" s="83" t="str">
        <f>REPLACE(INDEX(GroupVertices[Group],MATCH(Edges[[#This Row],[Vertex 2]],GroupVertices[Vertex],0)),1,1,"")</f>
        <v>1</v>
      </c>
      <c r="AH52" s="111">
        <v>2</v>
      </c>
      <c r="AI52" s="112">
        <v>4.761904761904762</v>
      </c>
      <c r="AJ52" s="111">
        <v>2</v>
      </c>
      <c r="AK52" s="112">
        <v>4.761904761904762</v>
      </c>
      <c r="AL52" s="111">
        <v>0</v>
      </c>
      <c r="AM52" s="112">
        <v>0</v>
      </c>
      <c r="AN52" s="111">
        <v>38</v>
      </c>
      <c r="AO52" s="112">
        <v>90.47619047619048</v>
      </c>
      <c r="AP52" s="111">
        <v>42</v>
      </c>
    </row>
    <row r="53" spans="1:42" ht="15">
      <c r="A53" s="65" t="s">
        <v>379</v>
      </c>
      <c r="B53" s="65" t="s">
        <v>786</v>
      </c>
      <c r="C53" s="66" t="s">
        <v>4509</v>
      </c>
      <c r="D53" s="67">
        <v>3</v>
      </c>
      <c r="E53" s="68"/>
      <c r="F53" s="69">
        <v>40</v>
      </c>
      <c r="G53" s="66"/>
      <c r="H53" s="70"/>
      <c r="I53" s="71"/>
      <c r="J53" s="71"/>
      <c r="K53" s="35" t="s">
        <v>65</v>
      </c>
      <c r="L53" s="79">
        <v>53</v>
      </c>
      <c r="M53" s="79"/>
      <c r="N53" s="73"/>
      <c r="O53" s="81" t="s">
        <v>788</v>
      </c>
      <c r="P53" s="81" t="s">
        <v>325</v>
      </c>
      <c r="Q53" s="84" t="s">
        <v>841</v>
      </c>
      <c r="R53" s="81" t="s">
        <v>379</v>
      </c>
      <c r="S53" s="81" t="s">
        <v>1447</v>
      </c>
      <c r="T53" s="86" t="str">
        <f>HYPERLINK("http://www.youtube.com/channel/UCBL1yXa-8Q3PVpNyS80DkeQ")</f>
        <v>http://www.youtube.com/channel/UCBL1yXa-8Q3PVpNyS80DkeQ</v>
      </c>
      <c r="U53" s="81"/>
      <c r="V53" s="81" t="s">
        <v>1885</v>
      </c>
      <c r="W53" s="86" t="str">
        <f>HYPERLINK("https://www.youtube.com/watch?v=wadBvDPeE4E")</f>
        <v>https://www.youtube.com/watch?v=wadBvDPeE4E</v>
      </c>
      <c r="X53" s="81" t="s">
        <v>1886</v>
      </c>
      <c r="Y53" s="81">
        <v>0</v>
      </c>
      <c r="Z53" s="88">
        <v>41202.74630787037</v>
      </c>
      <c r="AA53" s="88">
        <v>41202.74630787037</v>
      </c>
      <c r="AB53" s="81"/>
      <c r="AC53" s="81"/>
      <c r="AD53" s="84" t="s">
        <v>1927</v>
      </c>
      <c r="AE53" s="82">
        <v>1</v>
      </c>
      <c r="AF53" s="83" t="str">
        <f>REPLACE(INDEX(GroupVertices[Group],MATCH(Edges[[#This Row],[Vertex 1]],GroupVertices[Vertex],0)),1,1,"")</f>
        <v>1</v>
      </c>
      <c r="AG53" s="83" t="str">
        <f>REPLACE(INDEX(GroupVertices[Group],MATCH(Edges[[#This Row],[Vertex 2]],GroupVertices[Vertex],0)),1,1,"")</f>
        <v>1</v>
      </c>
      <c r="AH53" s="111">
        <v>0</v>
      </c>
      <c r="AI53" s="112">
        <v>0</v>
      </c>
      <c r="AJ53" s="111">
        <v>0</v>
      </c>
      <c r="AK53" s="112">
        <v>0</v>
      </c>
      <c r="AL53" s="111">
        <v>0</v>
      </c>
      <c r="AM53" s="112">
        <v>0</v>
      </c>
      <c r="AN53" s="111">
        <v>7</v>
      </c>
      <c r="AO53" s="112">
        <v>100</v>
      </c>
      <c r="AP53" s="111">
        <v>7</v>
      </c>
    </row>
    <row r="54" spans="1:42" ht="15">
      <c r="A54" s="65" t="s">
        <v>380</v>
      </c>
      <c r="B54" s="65" t="s">
        <v>786</v>
      </c>
      <c r="C54" s="66" t="s">
        <v>4510</v>
      </c>
      <c r="D54" s="67">
        <v>5.333333333333334</v>
      </c>
      <c r="E54" s="68"/>
      <c r="F54" s="69">
        <v>31.666666666666664</v>
      </c>
      <c r="G54" s="66"/>
      <c r="H54" s="70"/>
      <c r="I54" s="71"/>
      <c r="J54" s="71"/>
      <c r="K54" s="35" t="s">
        <v>65</v>
      </c>
      <c r="L54" s="79">
        <v>54</v>
      </c>
      <c r="M54" s="79"/>
      <c r="N54" s="73"/>
      <c r="O54" s="81" t="s">
        <v>788</v>
      </c>
      <c r="P54" s="81" t="s">
        <v>325</v>
      </c>
      <c r="Q54" s="84" t="s">
        <v>842</v>
      </c>
      <c r="R54" s="81" t="s">
        <v>380</v>
      </c>
      <c r="S54" s="81" t="s">
        <v>1448</v>
      </c>
      <c r="T54" s="86" t="str">
        <f>HYPERLINK("http://www.youtube.com/channel/UCOnHdFlBWvRl_o-sgFXVYOw")</f>
        <v>http://www.youtube.com/channel/UCOnHdFlBWvRl_o-sgFXVYOw</v>
      </c>
      <c r="U54" s="81"/>
      <c r="V54" s="81" t="s">
        <v>1885</v>
      </c>
      <c r="W54" s="86" t="str">
        <f>HYPERLINK("https://www.youtube.com/watch?v=wadBvDPeE4E")</f>
        <v>https://www.youtube.com/watch?v=wadBvDPeE4E</v>
      </c>
      <c r="X54" s="81" t="s">
        <v>1886</v>
      </c>
      <c r="Y54" s="81">
        <v>0</v>
      </c>
      <c r="Z54" s="88">
        <v>41202.746400462966</v>
      </c>
      <c r="AA54" s="88">
        <v>41202.746400462966</v>
      </c>
      <c r="AB54" s="81"/>
      <c r="AC54" s="81"/>
      <c r="AD54" s="84" t="s">
        <v>1927</v>
      </c>
      <c r="AE54" s="82">
        <v>2</v>
      </c>
      <c r="AF54" s="83" t="str">
        <f>REPLACE(INDEX(GroupVertices[Group],MATCH(Edges[[#This Row],[Vertex 1]],GroupVertices[Vertex],0)),1,1,"")</f>
        <v>1</v>
      </c>
      <c r="AG54" s="83" t="str">
        <f>REPLACE(INDEX(GroupVertices[Group],MATCH(Edges[[#This Row],[Vertex 2]],GroupVertices[Vertex],0)),1,1,"")</f>
        <v>1</v>
      </c>
      <c r="AH54" s="111">
        <v>1</v>
      </c>
      <c r="AI54" s="112">
        <v>8.333333333333334</v>
      </c>
      <c r="AJ54" s="111">
        <v>0</v>
      </c>
      <c r="AK54" s="112">
        <v>0</v>
      </c>
      <c r="AL54" s="111">
        <v>0</v>
      </c>
      <c r="AM54" s="112">
        <v>0</v>
      </c>
      <c r="AN54" s="111">
        <v>11</v>
      </c>
      <c r="AO54" s="112">
        <v>91.66666666666667</v>
      </c>
      <c r="AP54" s="111">
        <v>12</v>
      </c>
    </row>
    <row r="55" spans="1:42" ht="15">
      <c r="A55" s="65" t="s">
        <v>380</v>
      </c>
      <c r="B55" s="65" t="s">
        <v>786</v>
      </c>
      <c r="C55" s="66" t="s">
        <v>4510</v>
      </c>
      <c r="D55" s="67">
        <v>5.333333333333334</v>
      </c>
      <c r="E55" s="68"/>
      <c r="F55" s="69">
        <v>31.666666666666664</v>
      </c>
      <c r="G55" s="66"/>
      <c r="H55" s="70"/>
      <c r="I55" s="71"/>
      <c r="J55" s="71"/>
      <c r="K55" s="35" t="s">
        <v>65</v>
      </c>
      <c r="L55" s="79">
        <v>55</v>
      </c>
      <c r="M55" s="79"/>
      <c r="N55" s="73"/>
      <c r="O55" s="81" t="s">
        <v>788</v>
      </c>
      <c r="P55" s="81" t="s">
        <v>325</v>
      </c>
      <c r="Q55" s="84" t="s">
        <v>843</v>
      </c>
      <c r="R55" s="81" t="s">
        <v>380</v>
      </c>
      <c r="S55" s="81" t="s">
        <v>1448</v>
      </c>
      <c r="T55" s="86" t="str">
        <f>HYPERLINK("http://www.youtube.com/channel/UCOnHdFlBWvRl_o-sgFXVYOw")</f>
        <v>http://www.youtube.com/channel/UCOnHdFlBWvRl_o-sgFXVYOw</v>
      </c>
      <c r="U55" s="81"/>
      <c r="V55" s="81" t="s">
        <v>1885</v>
      </c>
      <c r="W55" s="86" t="str">
        <f>HYPERLINK("https://www.youtube.com/watch?v=wadBvDPeE4E")</f>
        <v>https://www.youtube.com/watch?v=wadBvDPeE4E</v>
      </c>
      <c r="X55" s="81" t="s">
        <v>1886</v>
      </c>
      <c r="Y55" s="81">
        <v>0</v>
      </c>
      <c r="Z55" s="88">
        <v>41202.74732638889</v>
      </c>
      <c r="AA55" s="88">
        <v>41202.74732638889</v>
      </c>
      <c r="AB55" s="81"/>
      <c r="AC55" s="81"/>
      <c r="AD55" s="84" t="s">
        <v>1927</v>
      </c>
      <c r="AE55" s="82">
        <v>2</v>
      </c>
      <c r="AF55" s="83" t="str">
        <f>REPLACE(INDEX(GroupVertices[Group],MATCH(Edges[[#This Row],[Vertex 1]],GroupVertices[Vertex],0)),1,1,"")</f>
        <v>1</v>
      </c>
      <c r="AG55" s="83" t="str">
        <f>REPLACE(INDEX(GroupVertices[Group],MATCH(Edges[[#This Row],[Vertex 2]],GroupVertices[Vertex],0)),1,1,"")</f>
        <v>1</v>
      </c>
      <c r="AH55" s="111">
        <v>0</v>
      </c>
      <c r="AI55" s="112">
        <v>0</v>
      </c>
      <c r="AJ55" s="111">
        <v>0</v>
      </c>
      <c r="AK55" s="112">
        <v>0</v>
      </c>
      <c r="AL55" s="111">
        <v>0</v>
      </c>
      <c r="AM55" s="112">
        <v>0</v>
      </c>
      <c r="AN55" s="111">
        <v>8</v>
      </c>
      <c r="AO55" s="112">
        <v>100</v>
      </c>
      <c r="AP55" s="111">
        <v>8</v>
      </c>
    </row>
    <row r="56" spans="1:42" ht="15">
      <c r="A56" s="65" t="s">
        <v>381</v>
      </c>
      <c r="B56" s="65" t="s">
        <v>786</v>
      </c>
      <c r="C56" s="66" t="s">
        <v>4509</v>
      </c>
      <c r="D56" s="67">
        <v>3</v>
      </c>
      <c r="E56" s="68"/>
      <c r="F56" s="69">
        <v>40</v>
      </c>
      <c r="G56" s="66"/>
      <c r="H56" s="70"/>
      <c r="I56" s="71"/>
      <c r="J56" s="71"/>
      <c r="K56" s="35" t="s">
        <v>65</v>
      </c>
      <c r="L56" s="79">
        <v>56</v>
      </c>
      <c r="M56" s="79"/>
      <c r="N56" s="73"/>
      <c r="O56" s="81" t="s">
        <v>788</v>
      </c>
      <c r="P56" s="81" t="s">
        <v>325</v>
      </c>
      <c r="Q56" s="84" t="s">
        <v>844</v>
      </c>
      <c r="R56" s="81" t="s">
        <v>381</v>
      </c>
      <c r="S56" s="81" t="s">
        <v>1449</v>
      </c>
      <c r="T56" s="86" t="str">
        <f>HYPERLINK("http://www.youtube.com/channel/UCZUOkn4H_cviVOtuzw10PpA")</f>
        <v>http://www.youtube.com/channel/UCZUOkn4H_cviVOtuzw10PpA</v>
      </c>
      <c r="U56" s="81"/>
      <c r="V56" s="81" t="s">
        <v>1885</v>
      </c>
      <c r="W56" s="86" t="str">
        <f>HYPERLINK("https://www.youtube.com/watch?v=wadBvDPeE4E")</f>
        <v>https://www.youtube.com/watch?v=wadBvDPeE4E</v>
      </c>
      <c r="X56" s="81" t="s">
        <v>1886</v>
      </c>
      <c r="Y56" s="81">
        <v>0</v>
      </c>
      <c r="Z56" s="88">
        <v>41202.748402777775</v>
      </c>
      <c r="AA56" s="88">
        <v>41202.748402777775</v>
      </c>
      <c r="AB56" s="81"/>
      <c r="AC56" s="81"/>
      <c r="AD56" s="84" t="s">
        <v>1927</v>
      </c>
      <c r="AE56" s="82">
        <v>1</v>
      </c>
      <c r="AF56" s="83" t="str">
        <f>REPLACE(INDEX(GroupVertices[Group],MATCH(Edges[[#This Row],[Vertex 1]],GroupVertices[Vertex],0)),1,1,"")</f>
        <v>1</v>
      </c>
      <c r="AG56" s="83" t="str">
        <f>REPLACE(INDEX(GroupVertices[Group],MATCH(Edges[[#This Row],[Vertex 2]],GroupVertices[Vertex],0)),1,1,"")</f>
        <v>1</v>
      </c>
      <c r="AH56" s="111">
        <v>1</v>
      </c>
      <c r="AI56" s="112">
        <v>100</v>
      </c>
      <c r="AJ56" s="111">
        <v>0</v>
      </c>
      <c r="AK56" s="112">
        <v>0</v>
      </c>
      <c r="AL56" s="111">
        <v>0</v>
      </c>
      <c r="AM56" s="112">
        <v>0</v>
      </c>
      <c r="AN56" s="111">
        <v>0</v>
      </c>
      <c r="AO56" s="112">
        <v>0</v>
      </c>
      <c r="AP56" s="111">
        <v>1</v>
      </c>
    </row>
    <row r="57" spans="1:42" ht="15">
      <c r="A57" s="65" t="s">
        <v>382</v>
      </c>
      <c r="B57" s="65" t="s">
        <v>786</v>
      </c>
      <c r="C57" s="66" t="s">
        <v>4509</v>
      </c>
      <c r="D57" s="67">
        <v>3</v>
      </c>
      <c r="E57" s="68"/>
      <c r="F57" s="69">
        <v>40</v>
      </c>
      <c r="G57" s="66"/>
      <c r="H57" s="70"/>
      <c r="I57" s="71"/>
      <c r="J57" s="71"/>
      <c r="K57" s="35" t="s">
        <v>65</v>
      </c>
      <c r="L57" s="79">
        <v>57</v>
      </c>
      <c r="M57" s="79"/>
      <c r="N57" s="73"/>
      <c r="O57" s="81" t="s">
        <v>788</v>
      </c>
      <c r="P57" s="81" t="s">
        <v>325</v>
      </c>
      <c r="Q57" s="84" t="s">
        <v>845</v>
      </c>
      <c r="R57" s="81" t="s">
        <v>382</v>
      </c>
      <c r="S57" s="81" t="s">
        <v>1450</v>
      </c>
      <c r="T57" s="86" t="str">
        <f>HYPERLINK("http://www.youtube.com/channel/UCXTQpyzqA75bmnmNcnRdA1Q")</f>
        <v>http://www.youtube.com/channel/UCXTQpyzqA75bmnmNcnRdA1Q</v>
      </c>
      <c r="U57" s="81"/>
      <c r="V57" s="81" t="s">
        <v>1885</v>
      </c>
      <c r="W57" s="86" t="str">
        <f>HYPERLINK("https://www.youtube.com/watch?v=wadBvDPeE4E")</f>
        <v>https://www.youtube.com/watch?v=wadBvDPeE4E</v>
      </c>
      <c r="X57" s="81" t="s">
        <v>1886</v>
      </c>
      <c r="Y57" s="81">
        <v>1</v>
      </c>
      <c r="Z57" s="88">
        <v>41202.75334490741</v>
      </c>
      <c r="AA57" s="88">
        <v>41202.75334490741</v>
      </c>
      <c r="AB57" s="81"/>
      <c r="AC57" s="81"/>
      <c r="AD57" s="84" t="s">
        <v>1927</v>
      </c>
      <c r="AE57" s="82">
        <v>1</v>
      </c>
      <c r="AF57" s="83" t="str">
        <f>REPLACE(INDEX(GroupVertices[Group],MATCH(Edges[[#This Row],[Vertex 1]],GroupVertices[Vertex],0)),1,1,"")</f>
        <v>1</v>
      </c>
      <c r="AG57" s="83" t="str">
        <f>REPLACE(INDEX(GroupVertices[Group],MATCH(Edges[[#This Row],[Vertex 2]],GroupVertices[Vertex],0)),1,1,"")</f>
        <v>1</v>
      </c>
      <c r="AH57" s="111">
        <v>3</v>
      </c>
      <c r="AI57" s="112">
        <v>16.666666666666668</v>
      </c>
      <c r="AJ57" s="111">
        <v>0</v>
      </c>
      <c r="AK57" s="112">
        <v>0</v>
      </c>
      <c r="AL57" s="111">
        <v>0</v>
      </c>
      <c r="AM57" s="112">
        <v>0</v>
      </c>
      <c r="AN57" s="111">
        <v>15</v>
      </c>
      <c r="AO57" s="112">
        <v>83.33333333333333</v>
      </c>
      <c r="AP57" s="111">
        <v>18</v>
      </c>
    </row>
    <row r="58" spans="1:42" ht="15">
      <c r="A58" s="65" t="s">
        <v>383</v>
      </c>
      <c r="B58" s="65" t="s">
        <v>786</v>
      </c>
      <c r="C58" s="66" t="s">
        <v>4510</v>
      </c>
      <c r="D58" s="67">
        <v>5.333333333333334</v>
      </c>
      <c r="E58" s="68"/>
      <c r="F58" s="69">
        <v>31.666666666666664</v>
      </c>
      <c r="G58" s="66"/>
      <c r="H58" s="70"/>
      <c r="I58" s="71"/>
      <c r="J58" s="71"/>
      <c r="K58" s="35" t="s">
        <v>65</v>
      </c>
      <c r="L58" s="79">
        <v>58</v>
      </c>
      <c r="M58" s="79"/>
      <c r="N58" s="73"/>
      <c r="O58" s="81" t="s">
        <v>788</v>
      </c>
      <c r="P58" s="81" t="s">
        <v>325</v>
      </c>
      <c r="Q58" s="84" t="s">
        <v>846</v>
      </c>
      <c r="R58" s="81" t="s">
        <v>383</v>
      </c>
      <c r="S58" s="81" t="s">
        <v>1451</v>
      </c>
      <c r="T58" s="86" t="str">
        <f>HYPERLINK("http://www.youtube.com/channel/UCtIqDrquj5kLCIwxV9702dQ")</f>
        <v>http://www.youtube.com/channel/UCtIqDrquj5kLCIwxV9702dQ</v>
      </c>
      <c r="U58" s="81"/>
      <c r="V58" s="81" t="s">
        <v>1885</v>
      </c>
      <c r="W58" s="86" t="str">
        <f>HYPERLINK("https://www.youtube.com/watch?v=wadBvDPeE4E")</f>
        <v>https://www.youtube.com/watch?v=wadBvDPeE4E</v>
      </c>
      <c r="X58" s="81" t="s">
        <v>1886</v>
      </c>
      <c r="Y58" s="81">
        <v>1</v>
      </c>
      <c r="Z58" s="88">
        <v>41202.73908564815</v>
      </c>
      <c r="AA58" s="88">
        <v>41202.73908564815</v>
      </c>
      <c r="AB58" s="81"/>
      <c r="AC58" s="81"/>
      <c r="AD58" s="84" t="s">
        <v>1927</v>
      </c>
      <c r="AE58" s="82">
        <v>2</v>
      </c>
      <c r="AF58" s="83" t="str">
        <f>REPLACE(INDEX(GroupVertices[Group],MATCH(Edges[[#This Row],[Vertex 1]],GroupVertices[Vertex],0)),1,1,"")</f>
        <v>1</v>
      </c>
      <c r="AG58" s="83" t="str">
        <f>REPLACE(INDEX(GroupVertices[Group],MATCH(Edges[[#This Row],[Vertex 2]],GroupVertices[Vertex],0)),1,1,"")</f>
        <v>1</v>
      </c>
      <c r="AH58" s="111">
        <v>3</v>
      </c>
      <c r="AI58" s="112">
        <v>8.571428571428571</v>
      </c>
      <c r="AJ58" s="111">
        <v>0</v>
      </c>
      <c r="AK58" s="112">
        <v>0</v>
      </c>
      <c r="AL58" s="111">
        <v>0</v>
      </c>
      <c r="AM58" s="112">
        <v>0</v>
      </c>
      <c r="AN58" s="111">
        <v>32</v>
      </c>
      <c r="AO58" s="112">
        <v>91.42857142857143</v>
      </c>
      <c r="AP58" s="111">
        <v>35</v>
      </c>
    </row>
    <row r="59" spans="1:42" ht="15">
      <c r="A59" s="65" t="s">
        <v>383</v>
      </c>
      <c r="B59" s="65" t="s">
        <v>786</v>
      </c>
      <c r="C59" s="66" t="s">
        <v>4510</v>
      </c>
      <c r="D59" s="67">
        <v>5.333333333333334</v>
      </c>
      <c r="E59" s="68"/>
      <c r="F59" s="69">
        <v>31.666666666666664</v>
      </c>
      <c r="G59" s="66"/>
      <c r="H59" s="70"/>
      <c r="I59" s="71"/>
      <c r="J59" s="71"/>
      <c r="K59" s="35" t="s">
        <v>65</v>
      </c>
      <c r="L59" s="79">
        <v>59</v>
      </c>
      <c r="M59" s="79"/>
      <c r="N59" s="73"/>
      <c r="O59" s="81" t="s">
        <v>788</v>
      </c>
      <c r="P59" s="81" t="s">
        <v>325</v>
      </c>
      <c r="Q59" s="84" t="s">
        <v>847</v>
      </c>
      <c r="R59" s="81" t="s">
        <v>383</v>
      </c>
      <c r="S59" s="81" t="s">
        <v>1451</v>
      </c>
      <c r="T59" s="86" t="str">
        <f>HYPERLINK("http://www.youtube.com/channel/UCtIqDrquj5kLCIwxV9702dQ")</f>
        <v>http://www.youtube.com/channel/UCtIqDrquj5kLCIwxV9702dQ</v>
      </c>
      <c r="U59" s="81"/>
      <c r="V59" s="81" t="s">
        <v>1885</v>
      </c>
      <c r="W59" s="86" t="str">
        <f>HYPERLINK("https://www.youtube.com/watch?v=wadBvDPeE4E")</f>
        <v>https://www.youtube.com/watch?v=wadBvDPeE4E</v>
      </c>
      <c r="X59" s="81" t="s">
        <v>1886</v>
      </c>
      <c r="Y59" s="81">
        <v>0</v>
      </c>
      <c r="Z59" s="88">
        <v>41202.75392361111</v>
      </c>
      <c r="AA59" s="88">
        <v>41202.75392361111</v>
      </c>
      <c r="AB59" s="81"/>
      <c r="AC59" s="81"/>
      <c r="AD59" s="84" t="s">
        <v>1927</v>
      </c>
      <c r="AE59" s="82">
        <v>2</v>
      </c>
      <c r="AF59" s="83" t="str">
        <f>REPLACE(INDEX(GroupVertices[Group],MATCH(Edges[[#This Row],[Vertex 1]],GroupVertices[Vertex],0)),1,1,"")</f>
        <v>1</v>
      </c>
      <c r="AG59" s="83" t="str">
        <f>REPLACE(INDEX(GroupVertices[Group],MATCH(Edges[[#This Row],[Vertex 2]],GroupVertices[Vertex],0)),1,1,"")</f>
        <v>1</v>
      </c>
      <c r="AH59" s="111">
        <v>0</v>
      </c>
      <c r="AI59" s="112">
        <v>0</v>
      </c>
      <c r="AJ59" s="111">
        <v>0</v>
      </c>
      <c r="AK59" s="112">
        <v>0</v>
      </c>
      <c r="AL59" s="111">
        <v>0</v>
      </c>
      <c r="AM59" s="112">
        <v>0</v>
      </c>
      <c r="AN59" s="111">
        <v>1</v>
      </c>
      <c r="AO59" s="112">
        <v>100</v>
      </c>
      <c r="AP59" s="111">
        <v>1</v>
      </c>
    </row>
    <row r="60" spans="1:42" ht="15">
      <c r="A60" s="65" t="s">
        <v>384</v>
      </c>
      <c r="B60" s="65" t="s">
        <v>786</v>
      </c>
      <c r="C60" s="66" t="s">
        <v>4512</v>
      </c>
      <c r="D60" s="67">
        <v>10</v>
      </c>
      <c r="E60" s="68"/>
      <c r="F60" s="69">
        <v>15</v>
      </c>
      <c r="G60" s="66"/>
      <c r="H60" s="70"/>
      <c r="I60" s="71"/>
      <c r="J60" s="71"/>
      <c r="K60" s="35" t="s">
        <v>65</v>
      </c>
      <c r="L60" s="79">
        <v>60</v>
      </c>
      <c r="M60" s="79"/>
      <c r="N60" s="73"/>
      <c r="O60" s="81" t="s">
        <v>788</v>
      </c>
      <c r="P60" s="81" t="s">
        <v>325</v>
      </c>
      <c r="Q60" s="84" t="s">
        <v>848</v>
      </c>
      <c r="R60" s="81" t="s">
        <v>384</v>
      </c>
      <c r="S60" s="81" t="s">
        <v>1452</v>
      </c>
      <c r="T60" s="86" t="str">
        <f>HYPERLINK("http://www.youtube.com/channel/UCTXeu2cDZUoKtMW7DNfS8-g")</f>
        <v>http://www.youtube.com/channel/UCTXeu2cDZUoKtMW7DNfS8-g</v>
      </c>
      <c r="U60" s="81"/>
      <c r="V60" s="81" t="s">
        <v>1885</v>
      </c>
      <c r="W60" s="86" t="str">
        <f>HYPERLINK("https://www.youtube.com/watch?v=wadBvDPeE4E")</f>
        <v>https://www.youtube.com/watch?v=wadBvDPeE4E</v>
      </c>
      <c r="X60" s="81" t="s">
        <v>1886</v>
      </c>
      <c r="Y60" s="81">
        <v>0</v>
      </c>
      <c r="Z60" s="88">
        <v>41202.66449074074</v>
      </c>
      <c r="AA60" s="88">
        <v>41202.66449074074</v>
      </c>
      <c r="AB60" s="81"/>
      <c r="AC60" s="81"/>
      <c r="AD60" s="84" t="s">
        <v>1927</v>
      </c>
      <c r="AE60" s="82">
        <v>4</v>
      </c>
      <c r="AF60" s="83" t="str">
        <f>REPLACE(INDEX(GroupVertices[Group],MATCH(Edges[[#This Row],[Vertex 1]],GroupVertices[Vertex],0)),1,1,"")</f>
        <v>1</v>
      </c>
      <c r="AG60" s="83" t="str">
        <f>REPLACE(INDEX(GroupVertices[Group],MATCH(Edges[[#This Row],[Vertex 2]],GroupVertices[Vertex],0)),1,1,"")</f>
        <v>1</v>
      </c>
      <c r="AH60" s="111">
        <v>3</v>
      </c>
      <c r="AI60" s="112">
        <v>20</v>
      </c>
      <c r="AJ60" s="111">
        <v>0</v>
      </c>
      <c r="AK60" s="112">
        <v>0</v>
      </c>
      <c r="AL60" s="111">
        <v>0</v>
      </c>
      <c r="AM60" s="112">
        <v>0</v>
      </c>
      <c r="AN60" s="111">
        <v>12</v>
      </c>
      <c r="AO60" s="112">
        <v>80</v>
      </c>
      <c r="AP60" s="111">
        <v>15</v>
      </c>
    </row>
    <row r="61" spans="1:42" ht="15">
      <c r="A61" s="65" t="s">
        <v>384</v>
      </c>
      <c r="B61" s="65" t="s">
        <v>786</v>
      </c>
      <c r="C61" s="66" t="s">
        <v>4512</v>
      </c>
      <c r="D61" s="67">
        <v>10</v>
      </c>
      <c r="E61" s="68"/>
      <c r="F61" s="69">
        <v>15</v>
      </c>
      <c r="G61" s="66"/>
      <c r="H61" s="70"/>
      <c r="I61" s="71"/>
      <c r="J61" s="71"/>
      <c r="K61" s="35" t="s">
        <v>65</v>
      </c>
      <c r="L61" s="79">
        <v>61</v>
      </c>
      <c r="M61" s="79"/>
      <c r="N61" s="73"/>
      <c r="O61" s="81" t="s">
        <v>788</v>
      </c>
      <c r="P61" s="81" t="s">
        <v>325</v>
      </c>
      <c r="Q61" s="84" t="s">
        <v>849</v>
      </c>
      <c r="R61" s="81" t="s">
        <v>384</v>
      </c>
      <c r="S61" s="81" t="s">
        <v>1452</v>
      </c>
      <c r="T61" s="86" t="str">
        <f>HYPERLINK("http://www.youtube.com/channel/UCTXeu2cDZUoKtMW7DNfS8-g")</f>
        <v>http://www.youtube.com/channel/UCTXeu2cDZUoKtMW7DNfS8-g</v>
      </c>
      <c r="U61" s="81"/>
      <c r="V61" s="81" t="s">
        <v>1885</v>
      </c>
      <c r="W61" s="86" t="str">
        <f>HYPERLINK("https://www.youtube.com/watch?v=wadBvDPeE4E")</f>
        <v>https://www.youtube.com/watch?v=wadBvDPeE4E</v>
      </c>
      <c r="X61" s="81" t="s">
        <v>1886</v>
      </c>
      <c r="Y61" s="81">
        <v>0</v>
      </c>
      <c r="Z61" s="88">
        <v>41202.66694444444</v>
      </c>
      <c r="AA61" s="88">
        <v>41202.66694444444</v>
      </c>
      <c r="AB61" s="81"/>
      <c r="AC61" s="81"/>
      <c r="AD61" s="84" t="s">
        <v>1927</v>
      </c>
      <c r="AE61" s="82">
        <v>4</v>
      </c>
      <c r="AF61" s="83" t="str">
        <f>REPLACE(INDEX(GroupVertices[Group],MATCH(Edges[[#This Row],[Vertex 1]],GroupVertices[Vertex],0)),1,1,"")</f>
        <v>1</v>
      </c>
      <c r="AG61" s="83" t="str">
        <f>REPLACE(INDEX(GroupVertices[Group],MATCH(Edges[[#This Row],[Vertex 2]],GroupVertices[Vertex],0)),1,1,"")</f>
        <v>1</v>
      </c>
      <c r="AH61" s="111">
        <v>1</v>
      </c>
      <c r="AI61" s="112">
        <v>2.0408163265306123</v>
      </c>
      <c r="AJ61" s="111">
        <v>2</v>
      </c>
      <c r="AK61" s="112">
        <v>4.081632653061225</v>
      </c>
      <c r="AL61" s="111">
        <v>0</v>
      </c>
      <c r="AM61" s="112">
        <v>0</v>
      </c>
      <c r="AN61" s="111">
        <v>46</v>
      </c>
      <c r="AO61" s="112">
        <v>93.87755102040816</v>
      </c>
      <c r="AP61" s="111">
        <v>49</v>
      </c>
    </row>
    <row r="62" spans="1:42" ht="15">
      <c r="A62" s="65" t="s">
        <v>384</v>
      </c>
      <c r="B62" s="65" t="s">
        <v>786</v>
      </c>
      <c r="C62" s="66" t="s">
        <v>4512</v>
      </c>
      <c r="D62" s="67">
        <v>10</v>
      </c>
      <c r="E62" s="68"/>
      <c r="F62" s="69">
        <v>15</v>
      </c>
      <c r="G62" s="66"/>
      <c r="H62" s="70"/>
      <c r="I62" s="71"/>
      <c r="J62" s="71"/>
      <c r="K62" s="35" t="s">
        <v>65</v>
      </c>
      <c r="L62" s="79">
        <v>62</v>
      </c>
      <c r="M62" s="79"/>
      <c r="N62" s="73"/>
      <c r="O62" s="81" t="s">
        <v>788</v>
      </c>
      <c r="P62" s="81" t="s">
        <v>325</v>
      </c>
      <c r="Q62" s="84" t="s">
        <v>850</v>
      </c>
      <c r="R62" s="81" t="s">
        <v>384</v>
      </c>
      <c r="S62" s="81" t="s">
        <v>1452</v>
      </c>
      <c r="T62" s="86" t="str">
        <f>HYPERLINK("http://www.youtube.com/channel/UCTXeu2cDZUoKtMW7DNfS8-g")</f>
        <v>http://www.youtube.com/channel/UCTXeu2cDZUoKtMW7DNfS8-g</v>
      </c>
      <c r="U62" s="81"/>
      <c r="V62" s="81" t="s">
        <v>1885</v>
      </c>
      <c r="W62" s="86" t="str">
        <f>HYPERLINK("https://www.youtube.com/watch?v=wadBvDPeE4E")</f>
        <v>https://www.youtube.com/watch?v=wadBvDPeE4E</v>
      </c>
      <c r="X62" s="81" t="s">
        <v>1886</v>
      </c>
      <c r="Y62" s="81">
        <v>0</v>
      </c>
      <c r="Z62" s="88">
        <v>41202.731527777774</v>
      </c>
      <c r="AA62" s="88">
        <v>41202.731527777774</v>
      </c>
      <c r="AB62" s="81"/>
      <c r="AC62" s="81"/>
      <c r="AD62" s="84" t="s">
        <v>1927</v>
      </c>
      <c r="AE62" s="82">
        <v>4</v>
      </c>
      <c r="AF62" s="83" t="str">
        <f>REPLACE(INDEX(GroupVertices[Group],MATCH(Edges[[#This Row],[Vertex 1]],GroupVertices[Vertex],0)),1,1,"")</f>
        <v>1</v>
      </c>
      <c r="AG62" s="83" t="str">
        <f>REPLACE(INDEX(GroupVertices[Group],MATCH(Edges[[#This Row],[Vertex 2]],GroupVertices[Vertex],0)),1,1,"")</f>
        <v>1</v>
      </c>
      <c r="AH62" s="111">
        <v>3</v>
      </c>
      <c r="AI62" s="112">
        <v>3.1578947368421053</v>
      </c>
      <c r="AJ62" s="111">
        <v>5</v>
      </c>
      <c r="AK62" s="112">
        <v>5.2631578947368425</v>
      </c>
      <c r="AL62" s="111">
        <v>0</v>
      </c>
      <c r="AM62" s="112">
        <v>0</v>
      </c>
      <c r="AN62" s="111">
        <v>87</v>
      </c>
      <c r="AO62" s="112">
        <v>91.57894736842105</v>
      </c>
      <c r="AP62" s="111">
        <v>95</v>
      </c>
    </row>
    <row r="63" spans="1:42" ht="15">
      <c r="A63" s="65" t="s">
        <v>384</v>
      </c>
      <c r="B63" s="65" t="s">
        <v>786</v>
      </c>
      <c r="C63" s="66" t="s">
        <v>4512</v>
      </c>
      <c r="D63" s="67">
        <v>10</v>
      </c>
      <c r="E63" s="68"/>
      <c r="F63" s="69">
        <v>15</v>
      </c>
      <c r="G63" s="66"/>
      <c r="H63" s="70"/>
      <c r="I63" s="71"/>
      <c r="J63" s="71"/>
      <c r="K63" s="35" t="s">
        <v>65</v>
      </c>
      <c r="L63" s="79">
        <v>63</v>
      </c>
      <c r="M63" s="79"/>
      <c r="N63" s="73"/>
      <c r="O63" s="81" t="s">
        <v>788</v>
      </c>
      <c r="P63" s="81" t="s">
        <v>325</v>
      </c>
      <c r="Q63" s="84" t="s">
        <v>851</v>
      </c>
      <c r="R63" s="81" t="s">
        <v>384</v>
      </c>
      <c r="S63" s="81" t="s">
        <v>1452</v>
      </c>
      <c r="T63" s="86" t="str">
        <f>HYPERLINK("http://www.youtube.com/channel/UCTXeu2cDZUoKtMW7DNfS8-g")</f>
        <v>http://www.youtube.com/channel/UCTXeu2cDZUoKtMW7DNfS8-g</v>
      </c>
      <c r="U63" s="81"/>
      <c r="V63" s="81" t="s">
        <v>1885</v>
      </c>
      <c r="W63" s="86" t="str">
        <f>HYPERLINK("https://www.youtube.com/watch?v=wadBvDPeE4E")</f>
        <v>https://www.youtube.com/watch?v=wadBvDPeE4E</v>
      </c>
      <c r="X63" s="81" t="s">
        <v>1886</v>
      </c>
      <c r="Y63" s="81">
        <v>0</v>
      </c>
      <c r="Z63" s="88">
        <v>41202.757939814815</v>
      </c>
      <c r="AA63" s="88">
        <v>41202.757939814815</v>
      </c>
      <c r="AB63" s="81"/>
      <c r="AC63" s="81"/>
      <c r="AD63" s="84" t="s">
        <v>1927</v>
      </c>
      <c r="AE63" s="82">
        <v>4</v>
      </c>
      <c r="AF63" s="83" t="str">
        <f>REPLACE(INDEX(GroupVertices[Group],MATCH(Edges[[#This Row],[Vertex 1]],GroupVertices[Vertex],0)),1,1,"")</f>
        <v>1</v>
      </c>
      <c r="AG63" s="83" t="str">
        <f>REPLACE(INDEX(GroupVertices[Group],MATCH(Edges[[#This Row],[Vertex 2]],GroupVertices[Vertex],0)),1,1,"")</f>
        <v>1</v>
      </c>
      <c r="AH63" s="111">
        <v>1</v>
      </c>
      <c r="AI63" s="112">
        <v>2.1739130434782608</v>
      </c>
      <c r="AJ63" s="111">
        <v>0</v>
      </c>
      <c r="AK63" s="112">
        <v>0</v>
      </c>
      <c r="AL63" s="111">
        <v>0</v>
      </c>
      <c r="AM63" s="112">
        <v>0</v>
      </c>
      <c r="AN63" s="111">
        <v>45</v>
      </c>
      <c r="AO63" s="112">
        <v>97.82608695652173</v>
      </c>
      <c r="AP63" s="111">
        <v>46</v>
      </c>
    </row>
    <row r="64" spans="1:42" ht="15">
      <c r="A64" s="65" t="s">
        <v>385</v>
      </c>
      <c r="B64" s="65" t="s">
        <v>786</v>
      </c>
      <c r="C64" s="66" t="s">
        <v>4509</v>
      </c>
      <c r="D64" s="67">
        <v>3</v>
      </c>
      <c r="E64" s="68"/>
      <c r="F64" s="69">
        <v>40</v>
      </c>
      <c r="G64" s="66"/>
      <c r="H64" s="70"/>
      <c r="I64" s="71"/>
      <c r="J64" s="71"/>
      <c r="K64" s="35" t="s">
        <v>65</v>
      </c>
      <c r="L64" s="79">
        <v>64</v>
      </c>
      <c r="M64" s="79"/>
      <c r="N64" s="73"/>
      <c r="O64" s="81" t="s">
        <v>788</v>
      </c>
      <c r="P64" s="81" t="s">
        <v>325</v>
      </c>
      <c r="Q64" s="84" t="s">
        <v>852</v>
      </c>
      <c r="R64" s="81" t="s">
        <v>385</v>
      </c>
      <c r="S64" s="81" t="s">
        <v>1453</v>
      </c>
      <c r="T64" s="86" t="str">
        <f>HYPERLINK("http://www.youtube.com/channel/UCjzooJF75PHimiQo2pxwkVw")</f>
        <v>http://www.youtube.com/channel/UCjzooJF75PHimiQo2pxwkVw</v>
      </c>
      <c r="U64" s="81"/>
      <c r="V64" s="81" t="s">
        <v>1885</v>
      </c>
      <c r="W64" s="86" t="str">
        <f>HYPERLINK("https://www.youtube.com/watch?v=wadBvDPeE4E")</f>
        <v>https://www.youtube.com/watch?v=wadBvDPeE4E</v>
      </c>
      <c r="X64" s="81" t="s">
        <v>1886</v>
      </c>
      <c r="Y64" s="81">
        <v>4</v>
      </c>
      <c r="Z64" s="88">
        <v>41202.77413194445</v>
      </c>
      <c r="AA64" s="88">
        <v>41202.77413194445</v>
      </c>
      <c r="AB64" s="81"/>
      <c r="AC64" s="81"/>
      <c r="AD64" s="84" t="s">
        <v>1927</v>
      </c>
      <c r="AE64" s="82">
        <v>1</v>
      </c>
      <c r="AF64" s="83" t="str">
        <f>REPLACE(INDEX(GroupVertices[Group],MATCH(Edges[[#This Row],[Vertex 1]],GroupVertices[Vertex],0)),1,1,"")</f>
        <v>1</v>
      </c>
      <c r="AG64" s="83" t="str">
        <f>REPLACE(INDEX(GroupVertices[Group],MATCH(Edges[[#This Row],[Vertex 2]],GroupVertices[Vertex],0)),1,1,"")</f>
        <v>1</v>
      </c>
      <c r="AH64" s="111">
        <v>0</v>
      </c>
      <c r="AI64" s="112">
        <v>0</v>
      </c>
      <c r="AJ64" s="111">
        <v>0</v>
      </c>
      <c r="AK64" s="112">
        <v>0</v>
      </c>
      <c r="AL64" s="111">
        <v>0</v>
      </c>
      <c r="AM64" s="112">
        <v>0</v>
      </c>
      <c r="AN64" s="111">
        <v>15</v>
      </c>
      <c r="AO64" s="112">
        <v>100</v>
      </c>
      <c r="AP64" s="111">
        <v>15</v>
      </c>
    </row>
    <row r="65" spans="1:42" ht="15">
      <c r="A65" s="65" t="s">
        <v>386</v>
      </c>
      <c r="B65" s="65" t="s">
        <v>786</v>
      </c>
      <c r="C65" s="66" t="s">
        <v>4509</v>
      </c>
      <c r="D65" s="67">
        <v>3</v>
      </c>
      <c r="E65" s="68"/>
      <c r="F65" s="69">
        <v>40</v>
      </c>
      <c r="G65" s="66"/>
      <c r="H65" s="70"/>
      <c r="I65" s="71"/>
      <c r="J65" s="71"/>
      <c r="K65" s="35" t="s">
        <v>65</v>
      </c>
      <c r="L65" s="79">
        <v>65</v>
      </c>
      <c r="M65" s="79"/>
      <c r="N65" s="73"/>
      <c r="O65" s="81" t="s">
        <v>788</v>
      </c>
      <c r="P65" s="81" t="s">
        <v>325</v>
      </c>
      <c r="Q65" s="84" t="s">
        <v>853</v>
      </c>
      <c r="R65" s="81" t="s">
        <v>386</v>
      </c>
      <c r="S65" s="81" t="s">
        <v>1454</v>
      </c>
      <c r="T65" s="86" t="str">
        <f>HYPERLINK("http://www.youtube.com/channel/UCMMcwauwTAQyw0GUUhLBqSg")</f>
        <v>http://www.youtube.com/channel/UCMMcwauwTAQyw0GUUhLBqSg</v>
      </c>
      <c r="U65" s="81"/>
      <c r="V65" s="81" t="s">
        <v>1885</v>
      </c>
      <c r="W65" s="86" t="str">
        <f>HYPERLINK("https://www.youtube.com/watch?v=wadBvDPeE4E")</f>
        <v>https://www.youtube.com/watch?v=wadBvDPeE4E</v>
      </c>
      <c r="X65" s="81" t="s">
        <v>1886</v>
      </c>
      <c r="Y65" s="81">
        <v>0</v>
      </c>
      <c r="Z65" s="88">
        <v>41202.78244212963</v>
      </c>
      <c r="AA65" s="88">
        <v>41202.78244212963</v>
      </c>
      <c r="AB65" s="81"/>
      <c r="AC65" s="81"/>
      <c r="AD65" s="84" t="s">
        <v>1927</v>
      </c>
      <c r="AE65" s="82">
        <v>1</v>
      </c>
      <c r="AF65" s="83" t="str">
        <f>REPLACE(INDEX(GroupVertices[Group],MATCH(Edges[[#This Row],[Vertex 1]],GroupVertices[Vertex],0)),1,1,"")</f>
        <v>1</v>
      </c>
      <c r="AG65" s="83" t="str">
        <f>REPLACE(INDEX(GroupVertices[Group],MATCH(Edges[[#This Row],[Vertex 2]],GroupVertices[Vertex],0)),1,1,"")</f>
        <v>1</v>
      </c>
      <c r="AH65" s="111">
        <v>1</v>
      </c>
      <c r="AI65" s="112">
        <v>10</v>
      </c>
      <c r="AJ65" s="111">
        <v>0</v>
      </c>
      <c r="AK65" s="112">
        <v>0</v>
      </c>
      <c r="AL65" s="111">
        <v>0</v>
      </c>
      <c r="AM65" s="112">
        <v>0</v>
      </c>
      <c r="AN65" s="111">
        <v>9</v>
      </c>
      <c r="AO65" s="112">
        <v>90</v>
      </c>
      <c r="AP65" s="111">
        <v>10</v>
      </c>
    </row>
    <row r="66" spans="1:42" ht="15">
      <c r="A66" s="65" t="s">
        <v>387</v>
      </c>
      <c r="B66" s="65" t="s">
        <v>786</v>
      </c>
      <c r="C66" s="66" t="s">
        <v>4509</v>
      </c>
      <c r="D66" s="67">
        <v>3</v>
      </c>
      <c r="E66" s="68"/>
      <c r="F66" s="69">
        <v>40</v>
      </c>
      <c r="G66" s="66"/>
      <c r="H66" s="70"/>
      <c r="I66" s="71"/>
      <c r="J66" s="71"/>
      <c r="K66" s="35" t="s">
        <v>65</v>
      </c>
      <c r="L66" s="79">
        <v>66</v>
      </c>
      <c r="M66" s="79"/>
      <c r="N66" s="73"/>
      <c r="O66" s="81" t="s">
        <v>788</v>
      </c>
      <c r="P66" s="81" t="s">
        <v>325</v>
      </c>
      <c r="Q66" s="84" t="s">
        <v>854</v>
      </c>
      <c r="R66" s="81" t="s">
        <v>387</v>
      </c>
      <c r="S66" s="81" t="s">
        <v>1455</v>
      </c>
      <c r="T66" s="86" t="str">
        <f>HYPERLINK("http://www.youtube.com/channel/UCycWPjDGZnt381HX5ghKYFQ")</f>
        <v>http://www.youtube.com/channel/UCycWPjDGZnt381HX5ghKYFQ</v>
      </c>
      <c r="U66" s="81"/>
      <c r="V66" s="81" t="s">
        <v>1885</v>
      </c>
      <c r="W66" s="86" t="str">
        <f>HYPERLINK("https://www.youtube.com/watch?v=wadBvDPeE4E")</f>
        <v>https://www.youtube.com/watch?v=wadBvDPeE4E</v>
      </c>
      <c r="X66" s="81" t="s">
        <v>1886</v>
      </c>
      <c r="Y66" s="81">
        <v>0</v>
      </c>
      <c r="Z66" s="88">
        <v>41202.78292824074</v>
      </c>
      <c r="AA66" s="88">
        <v>41202.78292824074</v>
      </c>
      <c r="AB66" s="81"/>
      <c r="AC66" s="81"/>
      <c r="AD66" s="84" t="s">
        <v>1927</v>
      </c>
      <c r="AE66" s="82">
        <v>1</v>
      </c>
      <c r="AF66" s="83" t="str">
        <f>REPLACE(INDEX(GroupVertices[Group],MATCH(Edges[[#This Row],[Vertex 1]],GroupVertices[Vertex],0)),1,1,"")</f>
        <v>1</v>
      </c>
      <c r="AG66" s="83" t="str">
        <f>REPLACE(INDEX(GroupVertices[Group],MATCH(Edges[[#This Row],[Vertex 2]],GroupVertices[Vertex],0)),1,1,"")</f>
        <v>1</v>
      </c>
      <c r="AH66" s="111">
        <v>0</v>
      </c>
      <c r="AI66" s="112">
        <v>0</v>
      </c>
      <c r="AJ66" s="111">
        <v>0</v>
      </c>
      <c r="AK66" s="112">
        <v>0</v>
      </c>
      <c r="AL66" s="111">
        <v>0</v>
      </c>
      <c r="AM66" s="112">
        <v>0</v>
      </c>
      <c r="AN66" s="111">
        <v>12</v>
      </c>
      <c r="AO66" s="112">
        <v>100</v>
      </c>
      <c r="AP66" s="111">
        <v>12</v>
      </c>
    </row>
    <row r="67" spans="1:42" ht="15">
      <c r="A67" s="65" t="s">
        <v>388</v>
      </c>
      <c r="B67" s="65" t="s">
        <v>786</v>
      </c>
      <c r="C67" s="66" t="s">
        <v>4509</v>
      </c>
      <c r="D67" s="67">
        <v>3</v>
      </c>
      <c r="E67" s="68"/>
      <c r="F67" s="69">
        <v>40</v>
      </c>
      <c r="G67" s="66"/>
      <c r="H67" s="70"/>
      <c r="I67" s="71"/>
      <c r="J67" s="71"/>
      <c r="K67" s="35" t="s">
        <v>65</v>
      </c>
      <c r="L67" s="79">
        <v>67</v>
      </c>
      <c r="M67" s="79"/>
      <c r="N67" s="73"/>
      <c r="O67" s="81" t="s">
        <v>788</v>
      </c>
      <c r="P67" s="81" t="s">
        <v>325</v>
      </c>
      <c r="Q67" s="84" t="s">
        <v>855</v>
      </c>
      <c r="R67" s="81" t="s">
        <v>388</v>
      </c>
      <c r="S67" s="81" t="s">
        <v>1456</v>
      </c>
      <c r="T67" s="86" t="str">
        <f>HYPERLINK("http://www.youtube.com/channel/UCd6VYGFkZ3mFLPAyJwwTjMg")</f>
        <v>http://www.youtube.com/channel/UCd6VYGFkZ3mFLPAyJwwTjMg</v>
      </c>
      <c r="U67" s="81"/>
      <c r="V67" s="81" t="s">
        <v>1885</v>
      </c>
      <c r="W67" s="86" t="str">
        <f>HYPERLINK("https://www.youtube.com/watch?v=wadBvDPeE4E")</f>
        <v>https://www.youtube.com/watch?v=wadBvDPeE4E</v>
      </c>
      <c r="X67" s="81" t="s">
        <v>1886</v>
      </c>
      <c r="Y67" s="81">
        <v>1</v>
      </c>
      <c r="Z67" s="88">
        <v>41202.78412037037</v>
      </c>
      <c r="AA67" s="88">
        <v>41202.78412037037</v>
      </c>
      <c r="AB67" s="81"/>
      <c r="AC67" s="81"/>
      <c r="AD67" s="84" t="s">
        <v>1927</v>
      </c>
      <c r="AE67" s="82">
        <v>1</v>
      </c>
      <c r="AF67" s="83" t="str">
        <f>REPLACE(INDEX(GroupVertices[Group],MATCH(Edges[[#This Row],[Vertex 1]],GroupVertices[Vertex],0)),1,1,"")</f>
        <v>1</v>
      </c>
      <c r="AG67" s="83" t="str">
        <f>REPLACE(INDEX(GroupVertices[Group],MATCH(Edges[[#This Row],[Vertex 2]],GroupVertices[Vertex],0)),1,1,"")</f>
        <v>1</v>
      </c>
      <c r="AH67" s="111">
        <v>1</v>
      </c>
      <c r="AI67" s="112">
        <v>25</v>
      </c>
      <c r="AJ67" s="111">
        <v>0</v>
      </c>
      <c r="AK67" s="112">
        <v>0</v>
      </c>
      <c r="AL67" s="111">
        <v>0</v>
      </c>
      <c r="AM67" s="112">
        <v>0</v>
      </c>
      <c r="AN67" s="111">
        <v>3</v>
      </c>
      <c r="AO67" s="112">
        <v>75</v>
      </c>
      <c r="AP67" s="111">
        <v>4</v>
      </c>
    </row>
    <row r="68" spans="1:42" ht="15">
      <c r="A68" s="65" t="s">
        <v>389</v>
      </c>
      <c r="B68" s="65" t="s">
        <v>786</v>
      </c>
      <c r="C68" s="66" t="s">
        <v>4509</v>
      </c>
      <c r="D68" s="67">
        <v>3</v>
      </c>
      <c r="E68" s="68"/>
      <c r="F68" s="69">
        <v>40</v>
      </c>
      <c r="G68" s="66"/>
      <c r="H68" s="70"/>
      <c r="I68" s="71"/>
      <c r="J68" s="71"/>
      <c r="K68" s="35" t="s">
        <v>65</v>
      </c>
      <c r="L68" s="79">
        <v>68</v>
      </c>
      <c r="M68" s="79"/>
      <c r="N68" s="73"/>
      <c r="O68" s="81" t="s">
        <v>788</v>
      </c>
      <c r="P68" s="81" t="s">
        <v>325</v>
      </c>
      <c r="Q68" s="84" t="s">
        <v>856</v>
      </c>
      <c r="R68" s="81" t="s">
        <v>389</v>
      </c>
      <c r="S68" s="81" t="s">
        <v>1457</v>
      </c>
      <c r="T68" s="86" t="str">
        <f>HYPERLINK("http://www.youtube.com/channel/UCpBKCnFHDMEB_LLau0fxjKg")</f>
        <v>http://www.youtube.com/channel/UCpBKCnFHDMEB_LLau0fxjKg</v>
      </c>
      <c r="U68" s="81"/>
      <c r="V68" s="81" t="s">
        <v>1885</v>
      </c>
      <c r="W68" s="86" t="str">
        <f>HYPERLINK("https://www.youtube.com/watch?v=wadBvDPeE4E")</f>
        <v>https://www.youtube.com/watch?v=wadBvDPeE4E</v>
      </c>
      <c r="X68" s="81" t="s">
        <v>1886</v>
      </c>
      <c r="Y68" s="81">
        <v>0</v>
      </c>
      <c r="Z68" s="88">
        <v>41202.792349537034</v>
      </c>
      <c r="AA68" s="88">
        <v>41202.792349537034</v>
      </c>
      <c r="AB68" s="81"/>
      <c r="AC68" s="81"/>
      <c r="AD68" s="84" t="s">
        <v>1927</v>
      </c>
      <c r="AE68" s="82">
        <v>1</v>
      </c>
      <c r="AF68" s="83" t="str">
        <f>REPLACE(INDEX(GroupVertices[Group],MATCH(Edges[[#This Row],[Vertex 1]],GroupVertices[Vertex],0)),1,1,"")</f>
        <v>1</v>
      </c>
      <c r="AG68" s="83" t="str">
        <f>REPLACE(INDEX(GroupVertices[Group],MATCH(Edges[[#This Row],[Vertex 2]],GroupVertices[Vertex],0)),1,1,"")</f>
        <v>1</v>
      </c>
      <c r="AH68" s="111">
        <v>0</v>
      </c>
      <c r="AI68" s="112">
        <v>0</v>
      </c>
      <c r="AJ68" s="111">
        <v>0</v>
      </c>
      <c r="AK68" s="112">
        <v>0</v>
      </c>
      <c r="AL68" s="111">
        <v>0</v>
      </c>
      <c r="AM68" s="112">
        <v>0</v>
      </c>
      <c r="AN68" s="111">
        <v>7</v>
      </c>
      <c r="AO68" s="112">
        <v>100</v>
      </c>
      <c r="AP68" s="111">
        <v>7</v>
      </c>
    </row>
    <row r="69" spans="1:42" ht="15">
      <c r="A69" s="65" t="s">
        <v>390</v>
      </c>
      <c r="B69" s="65" t="s">
        <v>786</v>
      </c>
      <c r="C69" s="66" t="s">
        <v>4509</v>
      </c>
      <c r="D69" s="67">
        <v>3</v>
      </c>
      <c r="E69" s="68"/>
      <c r="F69" s="69">
        <v>40</v>
      </c>
      <c r="G69" s="66"/>
      <c r="H69" s="70"/>
      <c r="I69" s="71"/>
      <c r="J69" s="71"/>
      <c r="K69" s="35" t="s">
        <v>65</v>
      </c>
      <c r="L69" s="79">
        <v>69</v>
      </c>
      <c r="M69" s="79"/>
      <c r="N69" s="73"/>
      <c r="O69" s="81" t="s">
        <v>788</v>
      </c>
      <c r="P69" s="81" t="s">
        <v>325</v>
      </c>
      <c r="Q69" s="84" t="s">
        <v>857</v>
      </c>
      <c r="R69" s="81" t="s">
        <v>390</v>
      </c>
      <c r="S69" s="81" t="s">
        <v>1458</v>
      </c>
      <c r="T69" s="86" t="str">
        <f>HYPERLINK("http://www.youtube.com/channel/UCRpamvKjfym8ETggyULC6Jw")</f>
        <v>http://www.youtube.com/channel/UCRpamvKjfym8ETggyULC6Jw</v>
      </c>
      <c r="U69" s="81"/>
      <c r="V69" s="81" t="s">
        <v>1885</v>
      </c>
      <c r="W69" s="86" t="str">
        <f>HYPERLINK("https://www.youtube.com/watch?v=wadBvDPeE4E")</f>
        <v>https://www.youtube.com/watch?v=wadBvDPeE4E</v>
      </c>
      <c r="X69" s="81" t="s">
        <v>1886</v>
      </c>
      <c r="Y69" s="81">
        <v>0</v>
      </c>
      <c r="Z69" s="88">
        <v>41202.792662037034</v>
      </c>
      <c r="AA69" s="88">
        <v>41202.792662037034</v>
      </c>
      <c r="AB69" s="81"/>
      <c r="AC69" s="81"/>
      <c r="AD69" s="84" t="s">
        <v>1927</v>
      </c>
      <c r="AE69" s="82">
        <v>1</v>
      </c>
      <c r="AF69" s="83" t="str">
        <f>REPLACE(INDEX(GroupVertices[Group],MATCH(Edges[[#This Row],[Vertex 1]],GroupVertices[Vertex],0)),1,1,"")</f>
        <v>1</v>
      </c>
      <c r="AG69" s="83" t="str">
        <f>REPLACE(INDEX(GroupVertices[Group],MATCH(Edges[[#This Row],[Vertex 2]],GroupVertices[Vertex],0)),1,1,"")</f>
        <v>1</v>
      </c>
      <c r="AH69" s="111">
        <v>1</v>
      </c>
      <c r="AI69" s="112">
        <v>11.11111111111111</v>
      </c>
      <c r="AJ69" s="111">
        <v>0</v>
      </c>
      <c r="AK69" s="112">
        <v>0</v>
      </c>
      <c r="AL69" s="111">
        <v>0</v>
      </c>
      <c r="AM69" s="112">
        <v>0</v>
      </c>
      <c r="AN69" s="111">
        <v>8</v>
      </c>
      <c r="AO69" s="112">
        <v>88.88888888888889</v>
      </c>
      <c r="AP69" s="111">
        <v>9</v>
      </c>
    </row>
    <row r="70" spans="1:42" ht="15">
      <c r="A70" s="65" t="s">
        <v>391</v>
      </c>
      <c r="B70" s="65" t="s">
        <v>786</v>
      </c>
      <c r="C70" s="66" t="s">
        <v>4511</v>
      </c>
      <c r="D70" s="67">
        <v>7.666666666666667</v>
      </c>
      <c r="E70" s="68"/>
      <c r="F70" s="69">
        <v>23.333333333333332</v>
      </c>
      <c r="G70" s="66"/>
      <c r="H70" s="70"/>
      <c r="I70" s="71"/>
      <c r="J70" s="71"/>
      <c r="K70" s="35" t="s">
        <v>65</v>
      </c>
      <c r="L70" s="79">
        <v>70</v>
      </c>
      <c r="M70" s="79"/>
      <c r="N70" s="73"/>
      <c r="O70" s="81" t="s">
        <v>788</v>
      </c>
      <c r="P70" s="81" t="s">
        <v>325</v>
      </c>
      <c r="Q70" s="84" t="s">
        <v>858</v>
      </c>
      <c r="R70" s="81" t="s">
        <v>391</v>
      </c>
      <c r="S70" s="81" t="s">
        <v>1459</v>
      </c>
      <c r="T70" s="86" t="str">
        <f>HYPERLINK("http://www.youtube.com/channel/UCxq2E0zegPLF0voBqHlVyMQ")</f>
        <v>http://www.youtube.com/channel/UCxq2E0zegPLF0voBqHlVyMQ</v>
      </c>
      <c r="U70" s="81"/>
      <c r="V70" s="81" t="s">
        <v>1885</v>
      </c>
      <c r="W70" s="86" t="str">
        <f>HYPERLINK("https://www.youtube.com/watch?v=wadBvDPeE4E")</f>
        <v>https://www.youtube.com/watch?v=wadBvDPeE4E</v>
      </c>
      <c r="X70" s="81" t="s">
        <v>1886</v>
      </c>
      <c r="Y70" s="81">
        <v>0</v>
      </c>
      <c r="Z70" s="88">
        <v>41202.7891087963</v>
      </c>
      <c r="AA70" s="88">
        <v>41202.7891087963</v>
      </c>
      <c r="AB70" s="81"/>
      <c r="AC70" s="81"/>
      <c r="AD70" s="84" t="s">
        <v>1927</v>
      </c>
      <c r="AE70" s="82">
        <v>3</v>
      </c>
      <c r="AF70" s="83" t="str">
        <f>REPLACE(INDEX(GroupVertices[Group],MATCH(Edges[[#This Row],[Vertex 1]],GroupVertices[Vertex],0)),1,1,"")</f>
        <v>1</v>
      </c>
      <c r="AG70" s="83" t="str">
        <f>REPLACE(INDEX(GroupVertices[Group],MATCH(Edges[[#This Row],[Vertex 2]],GroupVertices[Vertex],0)),1,1,"")</f>
        <v>1</v>
      </c>
      <c r="AH70" s="111">
        <v>0</v>
      </c>
      <c r="AI70" s="112">
        <v>0</v>
      </c>
      <c r="AJ70" s="111">
        <v>0</v>
      </c>
      <c r="AK70" s="112">
        <v>0</v>
      </c>
      <c r="AL70" s="111">
        <v>0</v>
      </c>
      <c r="AM70" s="112">
        <v>0</v>
      </c>
      <c r="AN70" s="111">
        <v>10</v>
      </c>
      <c r="AO70" s="112">
        <v>100</v>
      </c>
      <c r="AP70" s="111">
        <v>10</v>
      </c>
    </row>
    <row r="71" spans="1:42" ht="15">
      <c r="A71" s="65" t="s">
        <v>391</v>
      </c>
      <c r="B71" s="65" t="s">
        <v>786</v>
      </c>
      <c r="C71" s="66" t="s">
        <v>4511</v>
      </c>
      <c r="D71" s="67">
        <v>7.666666666666667</v>
      </c>
      <c r="E71" s="68"/>
      <c r="F71" s="69">
        <v>23.333333333333332</v>
      </c>
      <c r="G71" s="66"/>
      <c r="H71" s="70"/>
      <c r="I71" s="71"/>
      <c r="J71" s="71"/>
      <c r="K71" s="35" t="s">
        <v>65</v>
      </c>
      <c r="L71" s="79">
        <v>71</v>
      </c>
      <c r="M71" s="79"/>
      <c r="N71" s="73"/>
      <c r="O71" s="81" t="s">
        <v>788</v>
      </c>
      <c r="P71" s="81" t="s">
        <v>325</v>
      </c>
      <c r="Q71" s="84" t="s">
        <v>859</v>
      </c>
      <c r="R71" s="81" t="s">
        <v>391</v>
      </c>
      <c r="S71" s="81" t="s">
        <v>1459</v>
      </c>
      <c r="T71" s="86" t="str">
        <f>HYPERLINK("http://www.youtube.com/channel/UCxq2E0zegPLF0voBqHlVyMQ")</f>
        <v>http://www.youtube.com/channel/UCxq2E0zegPLF0voBqHlVyMQ</v>
      </c>
      <c r="U71" s="81"/>
      <c r="V71" s="81" t="s">
        <v>1885</v>
      </c>
      <c r="W71" s="86" t="str">
        <f>HYPERLINK("https://www.youtube.com/watch?v=wadBvDPeE4E")</f>
        <v>https://www.youtube.com/watch?v=wadBvDPeE4E</v>
      </c>
      <c r="X71" s="81" t="s">
        <v>1886</v>
      </c>
      <c r="Y71" s="81">
        <v>0</v>
      </c>
      <c r="Z71" s="88">
        <v>41202.78986111111</v>
      </c>
      <c r="AA71" s="88">
        <v>41202.78986111111</v>
      </c>
      <c r="AB71" s="81"/>
      <c r="AC71" s="81"/>
      <c r="AD71" s="84" t="s">
        <v>1927</v>
      </c>
      <c r="AE71" s="82">
        <v>3</v>
      </c>
      <c r="AF71" s="83" t="str">
        <f>REPLACE(INDEX(GroupVertices[Group],MATCH(Edges[[#This Row],[Vertex 1]],GroupVertices[Vertex],0)),1,1,"")</f>
        <v>1</v>
      </c>
      <c r="AG71" s="83" t="str">
        <f>REPLACE(INDEX(GroupVertices[Group],MATCH(Edges[[#This Row],[Vertex 2]],GroupVertices[Vertex],0)),1,1,"")</f>
        <v>1</v>
      </c>
      <c r="AH71" s="111">
        <v>0</v>
      </c>
      <c r="AI71" s="112">
        <v>0</v>
      </c>
      <c r="AJ71" s="111">
        <v>0</v>
      </c>
      <c r="AK71" s="112">
        <v>0</v>
      </c>
      <c r="AL71" s="111">
        <v>0</v>
      </c>
      <c r="AM71" s="112">
        <v>0</v>
      </c>
      <c r="AN71" s="111">
        <v>1</v>
      </c>
      <c r="AO71" s="112">
        <v>100</v>
      </c>
      <c r="AP71" s="111">
        <v>1</v>
      </c>
    </row>
    <row r="72" spans="1:42" ht="15">
      <c r="A72" s="65" t="s">
        <v>391</v>
      </c>
      <c r="B72" s="65" t="s">
        <v>786</v>
      </c>
      <c r="C72" s="66" t="s">
        <v>4511</v>
      </c>
      <c r="D72" s="67">
        <v>7.666666666666667</v>
      </c>
      <c r="E72" s="68"/>
      <c r="F72" s="69">
        <v>23.333333333333332</v>
      </c>
      <c r="G72" s="66"/>
      <c r="H72" s="70"/>
      <c r="I72" s="71"/>
      <c r="J72" s="71"/>
      <c r="K72" s="35" t="s">
        <v>65</v>
      </c>
      <c r="L72" s="79">
        <v>72</v>
      </c>
      <c r="M72" s="79"/>
      <c r="N72" s="73"/>
      <c r="O72" s="81" t="s">
        <v>788</v>
      </c>
      <c r="P72" s="81" t="s">
        <v>325</v>
      </c>
      <c r="Q72" s="84" t="s">
        <v>860</v>
      </c>
      <c r="R72" s="81" t="s">
        <v>391</v>
      </c>
      <c r="S72" s="81" t="s">
        <v>1459</v>
      </c>
      <c r="T72" s="86" t="str">
        <f>HYPERLINK("http://www.youtube.com/channel/UCxq2E0zegPLF0voBqHlVyMQ")</f>
        <v>http://www.youtube.com/channel/UCxq2E0zegPLF0voBqHlVyMQ</v>
      </c>
      <c r="U72" s="81"/>
      <c r="V72" s="81" t="s">
        <v>1885</v>
      </c>
      <c r="W72" s="86" t="str">
        <f>HYPERLINK("https://www.youtube.com/watch?v=wadBvDPeE4E")</f>
        <v>https://www.youtube.com/watch?v=wadBvDPeE4E</v>
      </c>
      <c r="X72" s="81" t="s">
        <v>1886</v>
      </c>
      <c r="Y72" s="81">
        <v>0</v>
      </c>
      <c r="Z72" s="88">
        <v>41202.79394675926</v>
      </c>
      <c r="AA72" s="88">
        <v>41202.79394675926</v>
      </c>
      <c r="AB72" s="81"/>
      <c r="AC72" s="81"/>
      <c r="AD72" s="84" t="s">
        <v>1927</v>
      </c>
      <c r="AE72" s="82">
        <v>3</v>
      </c>
      <c r="AF72" s="83" t="str">
        <f>REPLACE(INDEX(GroupVertices[Group],MATCH(Edges[[#This Row],[Vertex 1]],GroupVertices[Vertex],0)),1,1,"")</f>
        <v>1</v>
      </c>
      <c r="AG72" s="83" t="str">
        <f>REPLACE(INDEX(GroupVertices[Group],MATCH(Edges[[#This Row],[Vertex 2]],GroupVertices[Vertex],0)),1,1,"")</f>
        <v>1</v>
      </c>
      <c r="AH72" s="111">
        <v>0</v>
      </c>
      <c r="AI72" s="112">
        <v>0</v>
      </c>
      <c r="AJ72" s="111">
        <v>0</v>
      </c>
      <c r="AK72" s="112">
        <v>0</v>
      </c>
      <c r="AL72" s="111">
        <v>0</v>
      </c>
      <c r="AM72" s="112">
        <v>0</v>
      </c>
      <c r="AN72" s="111">
        <v>21</v>
      </c>
      <c r="AO72" s="112">
        <v>100</v>
      </c>
      <c r="AP72" s="111">
        <v>21</v>
      </c>
    </row>
    <row r="73" spans="1:42" ht="15">
      <c r="A73" s="65" t="s">
        <v>392</v>
      </c>
      <c r="B73" s="65" t="s">
        <v>786</v>
      </c>
      <c r="C73" s="66" t="s">
        <v>4509</v>
      </c>
      <c r="D73" s="67">
        <v>3</v>
      </c>
      <c r="E73" s="68"/>
      <c r="F73" s="69">
        <v>40</v>
      </c>
      <c r="G73" s="66"/>
      <c r="H73" s="70"/>
      <c r="I73" s="71"/>
      <c r="J73" s="71"/>
      <c r="K73" s="35" t="s">
        <v>65</v>
      </c>
      <c r="L73" s="79">
        <v>73</v>
      </c>
      <c r="M73" s="79"/>
      <c r="N73" s="73"/>
      <c r="O73" s="81" t="s">
        <v>788</v>
      </c>
      <c r="P73" s="81" t="s">
        <v>325</v>
      </c>
      <c r="Q73" s="84" t="s">
        <v>861</v>
      </c>
      <c r="R73" s="81" t="s">
        <v>392</v>
      </c>
      <c r="S73" s="81" t="s">
        <v>1460</v>
      </c>
      <c r="T73" s="86" t="str">
        <f>HYPERLINK("http://www.youtube.com/channel/UC8PFjbcgC0E47I6aAmx4ewg")</f>
        <v>http://www.youtube.com/channel/UC8PFjbcgC0E47I6aAmx4ewg</v>
      </c>
      <c r="U73" s="81"/>
      <c r="V73" s="81" t="s">
        <v>1885</v>
      </c>
      <c r="W73" s="86" t="str">
        <f>HYPERLINK("https://www.youtube.com/watch?v=wadBvDPeE4E")</f>
        <v>https://www.youtube.com/watch?v=wadBvDPeE4E</v>
      </c>
      <c r="X73" s="81" t="s">
        <v>1886</v>
      </c>
      <c r="Y73" s="81">
        <v>0</v>
      </c>
      <c r="Z73" s="88">
        <v>41202.79783564815</v>
      </c>
      <c r="AA73" s="88">
        <v>41202.79783564815</v>
      </c>
      <c r="AB73" s="81"/>
      <c r="AC73" s="81"/>
      <c r="AD73" s="84" t="s">
        <v>1927</v>
      </c>
      <c r="AE73" s="82">
        <v>1</v>
      </c>
      <c r="AF73" s="83" t="str">
        <f>REPLACE(INDEX(GroupVertices[Group],MATCH(Edges[[#This Row],[Vertex 1]],GroupVertices[Vertex],0)),1,1,"")</f>
        <v>1</v>
      </c>
      <c r="AG73" s="83" t="str">
        <f>REPLACE(INDEX(GroupVertices[Group],MATCH(Edges[[#This Row],[Vertex 2]],GroupVertices[Vertex],0)),1,1,"")</f>
        <v>1</v>
      </c>
      <c r="AH73" s="111">
        <v>0</v>
      </c>
      <c r="AI73" s="112">
        <v>0</v>
      </c>
      <c r="AJ73" s="111">
        <v>2</v>
      </c>
      <c r="AK73" s="112">
        <v>8</v>
      </c>
      <c r="AL73" s="111">
        <v>0</v>
      </c>
      <c r="AM73" s="112">
        <v>0</v>
      </c>
      <c r="AN73" s="111">
        <v>23</v>
      </c>
      <c r="AO73" s="112">
        <v>92</v>
      </c>
      <c r="AP73" s="111">
        <v>25</v>
      </c>
    </row>
    <row r="74" spans="1:42" ht="15">
      <c r="A74" s="65" t="s">
        <v>393</v>
      </c>
      <c r="B74" s="65" t="s">
        <v>786</v>
      </c>
      <c r="C74" s="66" t="s">
        <v>4509</v>
      </c>
      <c r="D74" s="67">
        <v>3</v>
      </c>
      <c r="E74" s="68"/>
      <c r="F74" s="69">
        <v>40</v>
      </c>
      <c r="G74" s="66"/>
      <c r="H74" s="70"/>
      <c r="I74" s="71"/>
      <c r="J74" s="71"/>
      <c r="K74" s="35" t="s">
        <v>65</v>
      </c>
      <c r="L74" s="79">
        <v>74</v>
      </c>
      <c r="M74" s="79"/>
      <c r="N74" s="73"/>
      <c r="O74" s="81" t="s">
        <v>788</v>
      </c>
      <c r="P74" s="81" t="s">
        <v>325</v>
      </c>
      <c r="Q74" s="84" t="s">
        <v>862</v>
      </c>
      <c r="R74" s="81" t="s">
        <v>393</v>
      </c>
      <c r="S74" s="81" t="s">
        <v>1461</v>
      </c>
      <c r="T74" s="86" t="str">
        <f>HYPERLINK("http://www.youtube.com/channel/UCPegqTRcpYN2jYe3r2xSIow")</f>
        <v>http://www.youtube.com/channel/UCPegqTRcpYN2jYe3r2xSIow</v>
      </c>
      <c r="U74" s="81"/>
      <c r="V74" s="81" t="s">
        <v>1885</v>
      </c>
      <c r="W74" s="86" t="str">
        <f>HYPERLINK("https://www.youtube.com/watch?v=wadBvDPeE4E")</f>
        <v>https://www.youtube.com/watch?v=wadBvDPeE4E</v>
      </c>
      <c r="X74" s="81" t="s">
        <v>1886</v>
      </c>
      <c r="Y74" s="81">
        <v>0</v>
      </c>
      <c r="Z74" s="88">
        <v>41202.797847222224</v>
      </c>
      <c r="AA74" s="88">
        <v>41202.797847222224</v>
      </c>
      <c r="AB74" s="81"/>
      <c r="AC74" s="81"/>
      <c r="AD74" s="84" t="s">
        <v>1927</v>
      </c>
      <c r="AE74" s="82">
        <v>1</v>
      </c>
      <c r="AF74" s="83" t="str">
        <f>REPLACE(INDEX(GroupVertices[Group],MATCH(Edges[[#This Row],[Vertex 1]],GroupVertices[Vertex],0)),1,1,"")</f>
        <v>1</v>
      </c>
      <c r="AG74" s="83" t="str">
        <f>REPLACE(INDEX(GroupVertices[Group],MATCH(Edges[[#This Row],[Vertex 2]],GroupVertices[Vertex],0)),1,1,"")</f>
        <v>1</v>
      </c>
      <c r="AH74" s="111">
        <v>0</v>
      </c>
      <c r="AI74" s="112">
        <v>0</v>
      </c>
      <c r="AJ74" s="111">
        <v>0</v>
      </c>
      <c r="AK74" s="112">
        <v>0</v>
      </c>
      <c r="AL74" s="111">
        <v>0</v>
      </c>
      <c r="AM74" s="112">
        <v>0</v>
      </c>
      <c r="AN74" s="111">
        <v>9</v>
      </c>
      <c r="AO74" s="112">
        <v>100</v>
      </c>
      <c r="AP74" s="111">
        <v>9</v>
      </c>
    </row>
    <row r="75" spans="1:42" ht="15">
      <c r="A75" s="65" t="s">
        <v>394</v>
      </c>
      <c r="B75" s="65" t="s">
        <v>786</v>
      </c>
      <c r="C75" s="66" t="s">
        <v>4509</v>
      </c>
      <c r="D75" s="67">
        <v>3</v>
      </c>
      <c r="E75" s="68"/>
      <c r="F75" s="69">
        <v>40</v>
      </c>
      <c r="G75" s="66"/>
      <c r="H75" s="70"/>
      <c r="I75" s="71"/>
      <c r="J75" s="71"/>
      <c r="K75" s="35" t="s">
        <v>65</v>
      </c>
      <c r="L75" s="79">
        <v>75</v>
      </c>
      <c r="M75" s="79"/>
      <c r="N75" s="73"/>
      <c r="O75" s="81" t="s">
        <v>788</v>
      </c>
      <c r="P75" s="81" t="s">
        <v>325</v>
      </c>
      <c r="Q75" s="84" t="s">
        <v>863</v>
      </c>
      <c r="R75" s="81" t="s">
        <v>394</v>
      </c>
      <c r="S75" s="81" t="s">
        <v>1462</v>
      </c>
      <c r="T75" s="86" t="str">
        <f>HYPERLINK("http://www.youtube.com/channel/UCqzDy3oVUSbD_TH_z7eeUIQ")</f>
        <v>http://www.youtube.com/channel/UCqzDy3oVUSbD_TH_z7eeUIQ</v>
      </c>
      <c r="U75" s="81"/>
      <c r="V75" s="81" t="s">
        <v>1885</v>
      </c>
      <c r="W75" s="86" t="str">
        <f>HYPERLINK("https://www.youtube.com/watch?v=wadBvDPeE4E")</f>
        <v>https://www.youtube.com/watch?v=wadBvDPeE4E</v>
      </c>
      <c r="X75" s="81" t="s">
        <v>1886</v>
      </c>
      <c r="Y75" s="81">
        <v>0</v>
      </c>
      <c r="Z75" s="88">
        <v>41202.800891203704</v>
      </c>
      <c r="AA75" s="88">
        <v>41202.800891203704</v>
      </c>
      <c r="AB75" s="81"/>
      <c r="AC75" s="81"/>
      <c r="AD75" s="84" t="s">
        <v>1927</v>
      </c>
      <c r="AE75" s="82">
        <v>1</v>
      </c>
      <c r="AF75" s="83" t="str">
        <f>REPLACE(INDEX(GroupVertices[Group],MATCH(Edges[[#This Row],[Vertex 1]],GroupVertices[Vertex],0)),1,1,"")</f>
        <v>1</v>
      </c>
      <c r="AG75" s="83" t="str">
        <f>REPLACE(INDEX(GroupVertices[Group],MATCH(Edges[[#This Row],[Vertex 2]],GroupVertices[Vertex],0)),1,1,"")</f>
        <v>1</v>
      </c>
      <c r="AH75" s="111">
        <v>0</v>
      </c>
      <c r="AI75" s="112">
        <v>0</v>
      </c>
      <c r="AJ75" s="111">
        <v>1</v>
      </c>
      <c r="AK75" s="112">
        <v>11.11111111111111</v>
      </c>
      <c r="AL75" s="111">
        <v>0</v>
      </c>
      <c r="AM75" s="112">
        <v>0</v>
      </c>
      <c r="AN75" s="111">
        <v>8</v>
      </c>
      <c r="AO75" s="112">
        <v>88.88888888888889</v>
      </c>
      <c r="AP75" s="111">
        <v>9</v>
      </c>
    </row>
    <row r="76" spans="1:42" ht="15">
      <c r="A76" s="65" t="s">
        <v>395</v>
      </c>
      <c r="B76" s="65" t="s">
        <v>786</v>
      </c>
      <c r="C76" s="66" t="s">
        <v>4509</v>
      </c>
      <c r="D76" s="67">
        <v>3</v>
      </c>
      <c r="E76" s="68"/>
      <c r="F76" s="69">
        <v>40</v>
      </c>
      <c r="G76" s="66"/>
      <c r="H76" s="70"/>
      <c r="I76" s="71"/>
      <c r="J76" s="71"/>
      <c r="K76" s="35" t="s">
        <v>65</v>
      </c>
      <c r="L76" s="79">
        <v>76</v>
      </c>
      <c r="M76" s="79"/>
      <c r="N76" s="73"/>
      <c r="O76" s="81" t="s">
        <v>788</v>
      </c>
      <c r="P76" s="81" t="s">
        <v>325</v>
      </c>
      <c r="Q76" s="84" t="s">
        <v>864</v>
      </c>
      <c r="R76" s="81" t="s">
        <v>395</v>
      </c>
      <c r="S76" s="81" t="s">
        <v>1463</v>
      </c>
      <c r="T76" s="86" t="str">
        <f>HYPERLINK("http://www.youtube.com/channel/UCWhebpSUmDB59CUSsipsAHA")</f>
        <v>http://www.youtube.com/channel/UCWhebpSUmDB59CUSsipsAHA</v>
      </c>
      <c r="U76" s="81"/>
      <c r="V76" s="81" t="s">
        <v>1885</v>
      </c>
      <c r="W76" s="86" t="str">
        <f>HYPERLINK("https://www.youtube.com/watch?v=wadBvDPeE4E")</f>
        <v>https://www.youtube.com/watch?v=wadBvDPeE4E</v>
      </c>
      <c r="X76" s="81" t="s">
        <v>1886</v>
      </c>
      <c r="Y76" s="81">
        <v>0</v>
      </c>
      <c r="Z76" s="88">
        <v>41202.80155092593</v>
      </c>
      <c r="AA76" s="88">
        <v>41202.80155092593</v>
      </c>
      <c r="AB76" s="81"/>
      <c r="AC76" s="81"/>
      <c r="AD76" s="84" t="s">
        <v>1927</v>
      </c>
      <c r="AE76" s="82">
        <v>1</v>
      </c>
      <c r="AF76" s="83" t="str">
        <f>REPLACE(INDEX(GroupVertices[Group],MATCH(Edges[[#This Row],[Vertex 1]],GroupVertices[Vertex],0)),1,1,"")</f>
        <v>1</v>
      </c>
      <c r="AG76" s="83" t="str">
        <f>REPLACE(INDEX(GroupVertices[Group],MATCH(Edges[[#This Row],[Vertex 2]],GroupVertices[Vertex],0)),1,1,"")</f>
        <v>1</v>
      </c>
      <c r="AH76" s="111">
        <v>7</v>
      </c>
      <c r="AI76" s="112">
        <v>7.777777777777778</v>
      </c>
      <c r="AJ76" s="111">
        <v>1</v>
      </c>
      <c r="AK76" s="112">
        <v>1.1111111111111112</v>
      </c>
      <c r="AL76" s="111">
        <v>0</v>
      </c>
      <c r="AM76" s="112">
        <v>0</v>
      </c>
      <c r="AN76" s="111">
        <v>82</v>
      </c>
      <c r="AO76" s="112">
        <v>91.11111111111111</v>
      </c>
      <c r="AP76" s="111">
        <v>90</v>
      </c>
    </row>
    <row r="77" spans="1:42" ht="15">
      <c r="A77" s="65" t="s">
        <v>396</v>
      </c>
      <c r="B77" s="65" t="s">
        <v>786</v>
      </c>
      <c r="C77" s="66" t="s">
        <v>4509</v>
      </c>
      <c r="D77" s="67">
        <v>3</v>
      </c>
      <c r="E77" s="68"/>
      <c r="F77" s="69">
        <v>40</v>
      </c>
      <c r="G77" s="66"/>
      <c r="H77" s="70"/>
      <c r="I77" s="71"/>
      <c r="J77" s="71"/>
      <c r="K77" s="35" t="s">
        <v>65</v>
      </c>
      <c r="L77" s="79">
        <v>77</v>
      </c>
      <c r="M77" s="79"/>
      <c r="N77" s="73"/>
      <c r="O77" s="81" t="s">
        <v>788</v>
      </c>
      <c r="P77" s="81" t="s">
        <v>325</v>
      </c>
      <c r="Q77" s="84" t="s">
        <v>865</v>
      </c>
      <c r="R77" s="81" t="s">
        <v>396</v>
      </c>
      <c r="S77" s="81" t="s">
        <v>1464</v>
      </c>
      <c r="T77" s="86" t="str">
        <f>HYPERLINK("http://www.youtube.com/channel/UCcjsNvQ5ybOhrxX4TQ35vtg")</f>
        <v>http://www.youtube.com/channel/UCcjsNvQ5ybOhrxX4TQ35vtg</v>
      </c>
      <c r="U77" s="81"/>
      <c r="V77" s="81" t="s">
        <v>1885</v>
      </c>
      <c r="W77" s="86" t="str">
        <f>HYPERLINK("https://www.youtube.com/watch?v=wadBvDPeE4E")</f>
        <v>https://www.youtube.com/watch?v=wadBvDPeE4E</v>
      </c>
      <c r="X77" s="81" t="s">
        <v>1886</v>
      </c>
      <c r="Y77" s="81">
        <v>0</v>
      </c>
      <c r="Z77" s="88">
        <v>41202.80701388889</v>
      </c>
      <c r="AA77" s="88">
        <v>41202.80701388889</v>
      </c>
      <c r="AB77" s="81"/>
      <c r="AC77" s="81"/>
      <c r="AD77" s="84" t="s">
        <v>1927</v>
      </c>
      <c r="AE77" s="82">
        <v>1</v>
      </c>
      <c r="AF77" s="83" t="str">
        <f>REPLACE(INDEX(GroupVertices[Group],MATCH(Edges[[#This Row],[Vertex 1]],GroupVertices[Vertex],0)),1,1,"")</f>
        <v>1</v>
      </c>
      <c r="AG77" s="83" t="str">
        <f>REPLACE(INDEX(GroupVertices[Group],MATCH(Edges[[#This Row],[Vertex 2]],GroupVertices[Vertex],0)),1,1,"")</f>
        <v>1</v>
      </c>
      <c r="AH77" s="111">
        <v>0</v>
      </c>
      <c r="AI77" s="112">
        <v>0</v>
      </c>
      <c r="AJ77" s="111">
        <v>2</v>
      </c>
      <c r="AK77" s="112">
        <v>6.896551724137931</v>
      </c>
      <c r="AL77" s="111">
        <v>0</v>
      </c>
      <c r="AM77" s="112">
        <v>0</v>
      </c>
      <c r="AN77" s="111">
        <v>27</v>
      </c>
      <c r="AO77" s="112">
        <v>93.10344827586206</v>
      </c>
      <c r="AP77" s="111">
        <v>29</v>
      </c>
    </row>
    <row r="78" spans="1:42" ht="15">
      <c r="A78" s="65" t="s">
        <v>397</v>
      </c>
      <c r="B78" s="65" t="s">
        <v>786</v>
      </c>
      <c r="C78" s="66" t="s">
        <v>4509</v>
      </c>
      <c r="D78" s="67">
        <v>3</v>
      </c>
      <c r="E78" s="68"/>
      <c r="F78" s="69">
        <v>40</v>
      </c>
      <c r="G78" s="66"/>
      <c r="H78" s="70"/>
      <c r="I78" s="71"/>
      <c r="J78" s="71"/>
      <c r="K78" s="35" t="s">
        <v>65</v>
      </c>
      <c r="L78" s="79">
        <v>78</v>
      </c>
      <c r="M78" s="79"/>
      <c r="N78" s="73"/>
      <c r="O78" s="81" t="s">
        <v>788</v>
      </c>
      <c r="P78" s="81" t="s">
        <v>325</v>
      </c>
      <c r="Q78" s="84" t="s">
        <v>866</v>
      </c>
      <c r="R78" s="81" t="s">
        <v>397</v>
      </c>
      <c r="S78" s="81" t="s">
        <v>1465</v>
      </c>
      <c r="T78" s="86" t="str">
        <f>HYPERLINK("http://www.youtube.com/channel/UCzNGnhHx4GloytmXQxoi9LQ")</f>
        <v>http://www.youtube.com/channel/UCzNGnhHx4GloytmXQxoi9LQ</v>
      </c>
      <c r="U78" s="81"/>
      <c r="V78" s="81" t="s">
        <v>1885</v>
      </c>
      <c r="W78" s="86" t="str">
        <f>HYPERLINK("https://www.youtube.com/watch?v=wadBvDPeE4E")</f>
        <v>https://www.youtube.com/watch?v=wadBvDPeE4E</v>
      </c>
      <c r="X78" s="81" t="s">
        <v>1886</v>
      </c>
      <c r="Y78" s="81">
        <v>0</v>
      </c>
      <c r="Z78" s="88">
        <v>41202.80878472222</v>
      </c>
      <c r="AA78" s="88">
        <v>41202.80878472222</v>
      </c>
      <c r="AB78" s="81"/>
      <c r="AC78" s="81"/>
      <c r="AD78" s="84" t="s">
        <v>1927</v>
      </c>
      <c r="AE78" s="82">
        <v>1</v>
      </c>
      <c r="AF78" s="83" t="str">
        <f>REPLACE(INDEX(GroupVertices[Group],MATCH(Edges[[#This Row],[Vertex 1]],GroupVertices[Vertex],0)),1,1,"")</f>
        <v>1</v>
      </c>
      <c r="AG78" s="83" t="str">
        <f>REPLACE(INDEX(GroupVertices[Group],MATCH(Edges[[#This Row],[Vertex 2]],GroupVertices[Vertex],0)),1,1,"")</f>
        <v>1</v>
      </c>
      <c r="AH78" s="111">
        <v>0</v>
      </c>
      <c r="AI78" s="112">
        <v>0</v>
      </c>
      <c r="AJ78" s="111">
        <v>1</v>
      </c>
      <c r="AK78" s="112">
        <v>5.2631578947368425</v>
      </c>
      <c r="AL78" s="111">
        <v>0</v>
      </c>
      <c r="AM78" s="112">
        <v>0</v>
      </c>
      <c r="AN78" s="111">
        <v>18</v>
      </c>
      <c r="AO78" s="112">
        <v>94.73684210526316</v>
      </c>
      <c r="AP78" s="111">
        <v>19</v>
      </c>
    </row>
    <row r="79" spans="1:42" ht="15">
      <c r="A79" s="65" t="s">
        <v>398</v>
      </c>
      <c r="B79" s="65" t="s">
        <v>786</v>
      </c>
      <c r="C79" s="66" t="s">
        <v>4509</v>
      </c>
      <c r="D79" s="67">
        <v>3</v>
      </c>
      <c r="E79" s="68"/>
      <c r="F79" s="69">
        <v>40</v>
      </c>
      <c r="G79" s="66"/>
      <c r="H79" s="70"/>
      <c r="I79" s="71"/>
      <c r="J79" s="71"/>
      <c r="K79" s="35" t="s">
        <v>65</v>
      </c>
      <c r="L79" s="79">
        <v>79</v>
      </c>
      <c r="M79" s="79"/>
      <c r="N79" s="73"/>
      <c r="O79" s="81" t="s">
        <v>788</v>
      </c>
      <c r="P79" s="81" t="s">
        <v>325</v>
      </c>
      <c r="Q79" s="84" t="s">
        <v>867</v>
      </c>
      <c r="R79" s="81" t="s">
        <v>398</v>
      </c>
      <c r="S79" s="81" t="s">
        <v>1466</v>
      </c>
      <c r="T79" s="86" t="str">
        <f>HYPERLINK("http://www.youtube.com/channel/UCTKClOWRmfua8LzwcClBsHQ")</f>
        <v>http://www.youtube.com/channel/UCTKClOWRmfua8LzwcClBsHQ</v>
      </c>
      <c r="U79" s="81"/>
      <c r="V79" s="81" t="s">
        <v>1885</v>
      </c>
      <c r="W79" s="86" t="str">
        <f>HYPERLINK("https://www.youtube.com/watch?v=wadBvDPeE4E")</f>
        <v>https://www.youtube.com/watch?v=wadBvDPeE4E</v>
      </c>
      <c r="X79" s="81" t="s">
        <v>1886</v>
      </c>
      <c r="Y79" s="81">
        <v>0</v>
      </c>
      <c r="Z79" s="88">
        <v>41202.81076388889</v>
      </c>
      <c r="AA79" s="88">
        <v>41202.81076388889</v>
      </c>
      <c r="AB79" s="81"/>
      <c r="AC79" s="81"/>
      <c r="AD79" s="84" t="s">
        <v>1927</v>
      </c>
      <c r="AE79" s="82">
        <v>1</v>
      </c>
      <c r="AF79" s="83" t="str">
        <f>REPLACE(INDEX(GroupVertices[Group],MATCH(Edges[[#This Row],[Vertex 1]],GroupVertices[Vertex],0)),1,1,"")</f>
        <v>1</v>
      </c>
      <c r="AG79" s="83" t="str">
        <f>REPLACE(INDEX(GroupVertices[Group],MATCH(Edges[[#This Row],[Vertex 2]],GroupVertices[Vertex],0)),1,1,"")</f>
        <v>1</v>
      </c>
      <c r="AH79" s="111">
        <v>1</v>
      </c>
      <c r="AI79" s="112">
        <v>2.9411764705882355</v>
      </c>
      <c r="AJ79" s="111">
        <v>0</v>
      </c>
      <c r="AK79" s="112">
        <v>0</v>
      </c>
      <c r="AL79" s="111">
        <v>0</v>
      </c>
      <c r="AM79" s="112">
        <v>0</v>
      </c>
      <c r="AN79" s="111">
        <v>33</v>
      </c>
      <c r="AO79" s="112">
        <v>97.05882352941177</v>
      </c>
      <c r="AP79" s="111">
        <v>34</v>
      </c>
    </row>
    <row r="80" spans="1:42" ht="15">
      <c r="A80" s="65" t="s">
        <v>399</v>
      </c>
      <c r="B80" s="65" t="s">
        <v>786</v>
      </c>
      <c r="C80" s="66" t="s">
        <v>4509</v>
      </c>
      <c r="D80" s="67">
        <v>3</v>
      </c>
      <c r="E80" s="68"/>
      <c r="F80" s="69">
        <v>40</v>
      </c>
      <c r="G80" s="66"/>
      <c r="H80" s="70"/>
      <c r="I80" s="71"/>
      <c r="J80" s="71"/>
      <c r="K80" s="35" t="s">
        <v>65</v>
      </c>
      <c r="L80" s="79">
        <v>80</v>
      </c>
      <c r="M80" s="79"/>
      <c r="N80" s="73"/>
      <c r="O80" s="81" t="s">
        <v>788</v>
      </c>
      <c r="P80" s="81" t="s">
        <v>325</v>
      </c>
      <c r="Q80" s="84" t="s">
        <v>868</v>
      </c>
      <c r="R80" s="81" t="s">
        <v>399</v>
      </c>
      <c r="S80" s="81" t="s">
        <v>1467</v>
      </c>
      <c r="T80" s="86" t="str">
        <f>HYPERLINK("http://www.youtube.com/channel/UCwqjRTk9ErnOhEoHVbUj8qQ")</f>
        <v>http://www.youtube.com/channel/UCwqjRTk9ErnOhEoHVbUj8qQ</v>
      </c>
      <c r="U80" s="81"/>
      <c r="V80" s="81" t="s">
        <v>1885</v>
      </c>
      <c r="W80" s="86" t="str">
        <f>HYPERLINK("https://www.youtube.com/watch?v=wadBvDPeE4E")</f>
        <v>https://www.youtube.com/watch?v=wadBvDPeE4E</v>
      </c>
      <c r="X80" s="81" t="s">
        <v>1886</v>
      </c>
      <c r="Y80" s="81">
        <v>0</v>
      </c>
      <c r="Z80" s="88">
        <v>41202.82320601852</v>
      </c>
      <c r="AA80" s="88">
        <v>41202.82320601852</v>
      </c>
      <c r="AB80" s="81"/>
      <c r="AC80" s="81"/>
      <c r="AD80" s="84" t="s">
        <v>1927</v>
      </c>
      <c r="AE80" s="82">
        <v>1</v>
      </c>
      <c r="AF80" s="83" t="str">
        <f>REPLACE(INDEX(GroupVertices[Group],MATCH(Edges[[#This Row],[Vertex 1]],GroupVertices[Vertex],0)),1,1,"")</f>
        <v>1</v>
      </c>
      <c r="AG80" s="83" t="str">
        <f>REPLACE(INDEX(GroupVertices[Group],MATCH(Edges[[#This Row],[Vertex 2]],GroupVertices[Vertex],0)),1,1,"")</f>
        <v>1</v>
      </c>
      <c r="AH80" s="111">
        <v>0</v>
      </c>
      <c r="AI80" s="112">
        <v>0</v>
      </c>
      <c r="AJ80" s="111">
        <v>1</v>
      </c>
      <c r="AK80" s="112">
        <v>9.090909090909092</v>
      </c>
      <c r="AL80" s="111">
        <v>0</v>
      </c>
      <c r="AM80" s="112">
        <v>0</v>
      </c>
      <c r="AN80" s="111">
        <v>10</v>
      </c>
      <c r="AO80" s="112">
        <v>90.9090909090909</v>
      </c>
      <c r="AP80" s="111">
        <v>11</v>
      </c>
    </row>
    <row r="81" spans="1:42" ht="15">
      <c r="A81" s="65" t="s">
        <v>400</v>
      </c>
      <c r="B81" s="65" t="s">
        <v>786</v>
      </c>
      <c r="C81" s="66" t="s">
        <v>4510</v>
      </c>
      <c r="D81" s="67">
        <v>5.333333333333334</v>
      </c>
      <c r="E81" s="68"/>
      <c r="F81" s="69">
        <v>31.666666666666664</v>
      </c>
      <c r="G81" s="66"/>
      <c r="H81" s="70"/>
      <c r="I81" s="71"/>
      <c r="J81" s="71"/>
      <c r="K81" s="35" t="s">
        <v>65</v>
      </c>
      <c r="L81" s="79">
        <v>81</v>
      </c>
      <c r="M81" s="79"/>
      <c r="N81" s="73"/>
      <c r="O81" s="81" t="s">
        <v>788</v>
      </c>
      <c r="P81" s="81" t="s">
        <v>325</v>
      </c>
      <c r="Q81" s="84" t="s">
        <v>869</v>
      </c>
      <c r="R81" s="81" t="s">
        <v>400</v>
      </c>
      <c r="S81" s="81" t="s">
        <v>1468</v>
      </c>
      <c r="T81" s="86" t="str">
        <f>HYPERLINK("http://www.youtube.com/channel/UCS3kJcJij9JogEyHBlHLwfg")</f>
        <v>http://www.youtube.com/channel/UCS3kJcJij9JogEyHBlHLwfg</v>
      </c>
      <c r="U81" s="81"/>
      <c r="V81" s="81" t="s">
        <v>1885</v>
      </c>
      <c r="W81" s="86" t="str">
        <f>HYPERLINK("https://www.youtube.com/watch?v=wadBvDPeE4E")</f>
        <v>https://www.youtube.com/watch?v=wadBvDPeE4E</v>
      </c>
      <c r="X81" s="81" t="s">
        <v>1886</v>
      </c>
      <c r="Y81" s="81">
        <v>0</v>
      </c>
      <c r="Z81" s="88">
        <v>41202.82021990741</v>
      </c>
      <c r="AA81" s="88">
        <v>41202.82021990741</v>
      </c>
      <c r="AB81" s="81"/>
      <c r="AC81" s="81"/>
      <c r="AD81" s="84" t="s">
        <v>1927</v>
      </c>
      <c r="AE81" s="82">
        <v>2</v>
      </c>
      <c r="AF81" s="83" t="str">
        <f>REPLACE(INDEX(GroupVertices[Group],MATCH(Edges[[#This Row],[Vertex 1]],GroupVertices[Vertex],0)),1,1,"")</f>
        <v>1</v>
      </c>
      <c r="AG81" s="83" t="str">
        <f>REPLACE(INDEX(GroupVertices[Group],MATCH(Edges[[#This Row],[Vertex 2]],GroupVertices[Vertex],0)),1,1,"")</f>
        <v>1</v>
      </c>
      <c r="AH81" s="111">
        <v>1</v>
      </c>
      <c r="AI81" s="112">
        <v>6.25</v>
      </c>
      <c r="AJ81" s="111">
        <v>1</v>
      </c>
      <c r="AK81" s="112">
        <v>6.25</v>
      </c>
      <c r="AL81" s="111">
        <v>0</v>
      </c>
      <c r="AM81" s="112">
        <v>0</v>
      </c>
      <c r="AN81" s="111">
        <v>14</v>
      </c>
      <c r="AO81" s="112">
        <v>87.5</v>
      </c>
      <c r="AP81" s="111">
        <v>16</v>
      </c>
    </row>
    <row r="82" spans="1:42" ht="15">
      <c r="A82" s="65" t="s">
        <v>400</v>
      </c>
      <c r="B82" s="65" t="s">
        <v>786</v>
      </c>
      <c r="C82" s="66" t="s">
        <v>4510</v>
      </c>
      <c r="D82" s="67">
        <v>5.333333333333334</v>
      </c>
      <c r="E82" s="68"/>
      <c r="F82" s="69">
        <v>31.666666666666664</v>
      </c>
      <c r="G82" s="66"/>
      <c r="H82" s="70"/>
      <c r="I82" s="71"/>
      <c r="J82" s="71"/>
      <c r="K82" s="35" t="s">
        <v>65</v>
      </c>
      <c r="L82" s="79">
        <v>82</v>
      </c>
      <c r="M82" s="79"/>
      <c r="N82" s="73"/>
      <c r="O82" s="81" t="s">
        <v>788</v>
      </c>
      <c r="P82" s="81" t="s">
        <v>325</v>
      </c>
      <c r="Q82" s="84" t="s">
        <v>870</v>
      </c>
      <c r="R82" s="81" t="s">
        <v>400</v>
      </c>
      <c r="S82" s="81" t="s">
        <v>1468</v>
      </c>
      <c r="T82" s="86" t="str">
        <f>HYPERLINK("http://www.youtube.com/channel/UCS3kJcJij9JogEyHBlHLwfg")</f>
        <v>http://www.youtube.com/channel/UCS3kJcJij9JogEyHBlHLwfg</v>
      </c>
      <c r="U82" s="81"/>
      <c r="V82" s="81" t="s">
        <v>1885</v>
      </c>
      <c r="W82" s="86" t="str">
        <f>HYPERLINK("https://www.youtube.com/watch?v=wadBvDPeE4E")</f>
        <v>https://www.youtube.com/watch?v=wadBvDPeE4E</v>
      </c>
      <c r="X82" s="81" t="s">
        <v>1886</v>
      </c>
      <c r="Y82" s="81">
        <v>0</v>
      </c>
      <c r="Z82" s="88">
        <v>41202.82667824074</v>
      </c>
      <c r="AA82" s="88">
        <v>41202.82667824074</v>
      </c>
      <c r="AB82" s="81"/>
      <c r="AC82" s="81"/>
      <c r="AD82" s="84" t="s">
        <v>1927</v>
      </c>
      <c r="AE82" s="82">
        <v>2</v>
      </c>
      <c r="AF82" s="83" t="str">
        <f>REPLACE(INDEX(GroupVertices[Group],MATCH(Edges[[#This Row],[Vertex 1]],GroupVertices[Vertex],0)),1,1,"")</f>
        <v>1</v>
      </c>
      <c r="AG82" s="83" t="str">
        <f>REPLACE(INDEX(GroupVertices[Group],MATCH(Edges[[#This Row],[Vertex 2]],GroupVertices[Vertex],0)),1,1,"")</f>
        <v>1</v>
      </c>
      <c r="AH82" s="111">
        <v>1</v>
      </c>
      <c r="AI82" s="112">
        <v>1.1764705882352942</v>
      </c>
      <c r="AJ82" s="111">
        <v>4</v>
      </c>
      <c r="AK82" s="112">
        <v>4.705882352941177</v>
      </c>
      <c r="AL82" s="111">
        <v>0</v>
      </c>
      <c r="AM82" s="112">
        <v>0</v>
      </c>
      <c r="AN82" s="111">
        <v>80</v>
      </c>
      <c r="AO82" s="112">
        <v>94.11764705882354</v>
      </c>
      <c r="AP82" s="111">
        <v>85</v>
      </c>
    </row>
    <row r="83" spans="1:42" ht="15">
      <c r="A83" s="65" t="s">
        <v>401</v>
      </c>
      <c r="B83" s="65" t="s">
        <v>786</v>
      </c>
      <c r="C83" s="66" t="s">
        <v>4509</v>
      </c>
      <c r="D83" s="67">
        <v>3</v>
      </c>
      <c r="E83" s="68"/>
      <c r="F83" s="69">
        <v>40</v>
      </c>
      <c r="G83" s="66"/>
      <c r="H83" s="70"/>
      <c r="I83" s="71"/>
      <c r="J83" s="71"/>
      <c r="K83" s="35" t="s">
        <v>65</v>
      </c>
      <c r="L83" s="79">
        <v>83</v>
      </c>
      <c r="M83" s="79"/>
      <c r="N83" s="73"/>
      <c r="O83" s="81" t="s">
        <v>788</v>
      </c>
      <c r="P83" s="81" t="s">
        <v>325</v>
      </c>
      <c r="Q83" s="84" t="s">
        <v>871</v>
      </c>
      <c r="R83" s="81" t="s">
        <v>401</v>
      </c>
      <c r="S83" s="81" t="s">
        <v>1469</v>
      </c>
      <c r="T83" s="86" t="str">
        <f>HYPERLINK("http://www.youtube.com/channel/UC1RFEg9OTTkrdsrvJwn0SCw")</f>
        <v>http://www.youtube.com/channel/UC1RFEg9OTTkrdsrvJwn0SCw</v>
      </c>
      <c r="U83" s="81"/>
      <c r="V83" s="81" t="s">
        <v>1885</v>
      </c>
      <c r="W83" s="86" t="str">
        <f>HYPERLINK("https://www.youtube.com/watch?v=wadBvDPeE4E")</f>
        <v>https://www.youtube.com/watch?v=wadBvDPeE4E</v>
      </c>
      <c r="X83" s="81" t="s">
        <v>1886</v>
      </c>
      <c r="Y83" s="81">
        <v>4</v>
      </c>
      <c r="Z83" s="88">
        <v>41202.83017361111</v>
      </c>
      <c r="AA83" s="88">
        <v>41202.83017361111</v>
      </c>
      <c r="AB83" s="81"/>
      <c r="AC83" s="81"/>
      <c r="AD83" s="84" t="s">
        <v>1927</v>
      </c>
      <c r="AE83" s="82">
        <v>1</v>
      </c>
      <c r="AF83" s="83" t="str">
        <f>REPLACE(INDEX(GroupVertices[Group],MATCH(Edges[[#This Row],[Vertex 1]],GroupVertices[Vertex],0)),1,1,"")</f>
        <v>1</v>
      </c>
      <c r="AG83" s="83" t="str">
        <f>REPLACE(INDEX(GroupVertices[Group],MATCH(Edges[[#This Row],[Vertex 2]],GroupVertices[Vertex],0)),1,1,"")</f>
        <v>1</v>
      </c>
      <c r="AH83" s="111">
        <v>3</v>
      </c>
      <c r="AI83" s="112">
        <v>27.272727272727273</v>
      </c>
      <c r="AJ83" s="111">
        <v>0</v>
      </c>
      <c r="AK83" s="112">
        <v>0</v>
      </c>
      <c r="AL83" s="111">
        <v>0</v>
      </c>
      <c r="AM83" s="112">
        <v>0</v>
      </c>
      <c r="AN83" s="111">
        <v>8</v>
      </c>
      <c r="AO83" s="112">
        <v>72.72727272727273</v>
      </c>
      <c r="AP83" s="111">
        <v>11</v>
      </c>
    </row>
    <row r="84" spans="1:42" ht="15">
      <c r="A84" s="65" t="s">
        <v>402</v>
      </c>
      <c r="B84" s="65" t="s">
        <v>786</v>
      </c>
      <c r="C84" s="66" t="s">
        <v>4509</v>
      </c>
      <c r="D84" s="67">
        <v>3</v>
      </c>
      <c r="E84" s="68"/>
      <c r="F84" s="69">
        <v>40</v>
      </c>
      <c r="G84" s="66"/>
      <c r="H84" s="70"/>
      <c r="I84" s="71"/>
      <c r="J84" s="71"/>
      <c r="K84" s="35" t="s">
        <v>65</v>
      </c>
      <c r="L84" s="79">
        <v>84</v>
      </c>
      <c r="M84" s="79"/>
      <c r="N84" s="73"/>
      <c r="O84" s="81" t="s">
        <v>788</v>
      </c>
      <c r="P84" s="81" t="s">
        <v>325</v>
      </c>
      <c r="Q84" s="84" t="s">
        <v>872</v>
      </c>
      <c r="R84" s="81" t="s">
        <v>402</v>
      </c>
      <c r="S84" s="81" t="s">
        <v>1470</v>
      </c>
      <c r="T84" s="86" t="str">
        <f>HYPERLINK("http://www.youtube.com/channel/UCs3P7y7CS0yF7RpLONNwWUw")</f>
        <v>http://www.youtube.com/channel/UCs3P7y7CS0yF7RpLONNwWUw</v>
      </c>
      <c r="U84" s="81"/>
      <c r="V84" s="81" t="s">
        <v>1885</v>
      </c>
      <c r="W84" s="86" t="str">
        <f>HYPERLINK("https://www.youtube.com/watch?v=wadBvDPeE4E")</f>
        <v>https://www.youtube.com/watch?v=wadBvDPeE4E</v>
      </c>
      <c r="X84" s="81" t="s">
        <v>1886</v>
      </c>
      <c r="Y84" s="81">
        <v>0</v>
      </c>
      <c r="Z84" s="88">
        <v>41202.83076388889</v>
      </c>
      <c r="AA84" s="88">
        <v>41202.83076388889</v>
      </c>
      <c r="AB84" s="81"/>
      <c r="AC84" s="81"/>
      <c r="AD84" s="84" t="s">
        <v>1927</v>
      </c>
      <c r="AE84" s="82">
        <v>1</v>
      </c>
      <c r="AF84" s="83" t="str">
        <f>REPLACE(INDEX(GroupVertices[Group],MATCH(Edges[[#This Row],[Vertex 1]],GroupVertices[Vertex],0)),1,1,"")</f>
        <v>1</v>
      </c>
      <c r="AG84" s="83" t="str">
        <f>REPLACE(INDEX(GroupVertices[Group],MATCH(Edges[[#This Row],[Vertex 2]],GroupVertices[Vertex],0)),1,1,"")</f>
        <v>1</v>
      </c>
      <c r="AH84" s="111">
        <v>0</v>
      </c>
      <c r="AI84" s="112">
        <v>0</v>
      </c>
      <c r="AJ84" s="111">
        <v>0</v>
      </c>
      <c r="AK84" s="112">
        <v>0</v>
      </c>
      <c r="AL84" s="111">
        <v>0</v>
      </c>
      <c r="AM84" s="112">
        <v>0</v>
      </c>
      <c r="AN84" s="111">
        <v>20</v>
      </c>
      <c r="AO84" s="112">
        <v>100</v>
      </c>
      <c r="AP84" s="111">
        <v>20</v>
      </c>
    </row>
    <row r="85" spans="1:42" ht="15">
      <c r="A85" s="65" t="s">
        <v>403</v>
      </c>
      <c r="B85" s="65" t="s">
        <v>786</v>
      </c>
      <c r="C85" s="66" t="s">
        <v>4509</v>
      </c>
      <c r="D85" s="67">
        <v>3</v>
      </c>
      <c r="E85" s="68"/>
      <c r="F85" s="69">
        <v>40</v>
      </c>
      <c r="G85" s="66"/>
      <c r="H85" s="70"/>
      <c r="I85" s="71"/>
      <c r="J85" s="71"/>
      <c r="K85" s="35" t="s">
        <v>65</v>
      </c>
      <c r="L85" s="79">
        <v>85</v>
      </c>
      <c r="M85" s="79"/>
      <c r="N85" s="73"/>
      <c r="O85" s="81" t="s">
        <v>788</v>
      </c>
      <c r="P85" s="81" t="s">
        <v>325</v>
      </c>
      <c r="Q85" s="84" t="s">
        <v>873</v>
      </c>
      <c r="R85" s="81" t="s">
        <v>403</v>
      </c>
      <c r="S85" s="81" t="s">
        <v>1471</v>
      </c>
      <c r="T85" s="86" t="str">
        <f>HYPERLINK("http://www.youtube.com/channel/UC0Dz0Z2yd3Jk9madzcmf4EQ")</f>
        <v>http://www.youtube.com/channel/UC0Dz0Z2yd3Jk9madzcmf4EQ</v>
      </c>
      <c r="U85" s="81"/>
      <c r="V85" s="81" t="s">
        <v>1885</v>
      </c>
      <c r="W85" s="86" t="str">
        <f>HYPERLINK("https://www.youtube.com/watch?v=wadBvDPeE4E")</f>
        <v>https://www.youtube.com/watch?v=wadBvDPeE4E</v>
      </c>
      <c r="X85" s="81" t="s">
        <v>1886</v>
      </c>
      <c r="Y85" s="81">
        <v>0</v>
      </c>
      <c r="Z85" s="88">
        <v>41202.835</v>
      </c>
      <c r="AA85" s="88">
        <v>41202.835</v>
      </c>
      <c r="AB85" s="81"/>
      <c r="AC85" s="81"/>
      <c r="AD85" s="84" t="s">
        <v>1927</v>
      </c>
      <c r="AE85" s="82">
        <v>1</v>
      </c>
      <c r="AF85" s="83" t="str">
        <f>REPLACE(INDEX(GroupVertices[Group],MATCH(Edges[[#This Row],[Vertex 1]],GroupVertices[Vertex],0)),1,1,"")</f>
        <v>1</v>
      </c>
      <c r="AG85" s="83" t="str">
        <f>REPLACE(INDEX(GroupVertices[Group],MATCH(Edges[[#This Row],[Vertex 2]],GroupVertices[Vertex],0)),1,1,"")</f>
        <v>1</v>
      </c>
      <c r="AH85" s="111">
        <v>0</v>
      </c>
      <c r="AI85" s="112">
        <v>0</v>
      </c>
      <c r="AJ85" s="111">
        <v>0</v>
      </c>
      <c r="AK85" s="112">
        <v>0</v>
      </c>
      <c r="AL85" s="111">
        <v>0</v>
      </c>
      <c r="AM85" s="112">
        <v>0</v>
      </c>
      <c r="AN85" s="111">
        <v>12</v>
      </c>
      <c r="AO85" s="112">
        <v>100</v>
      </c>
      <c r="AP85" s="111">
        <v>12</v>
      </c>
    </row>
    <row r="86" spans="1:42" ht="15">
      <c r="A86" s="65" t="s">
        <v>404</v>
      </c>
      <c r="B86" s="65" t="s">
        <v>786</v>
      </c>
      <c r="C86" s="66" t="s">
        <v>4510</v>
      </c>
      <c r="D86" s="67">
        <v>5.333333333333334</v>
      </c>
      <c r="E86" s="68"/>
      <c r="F86" s="69">
        <v>31.666666666666664</v>
      </c>
      <c r="G86" s="66"/>
      <c r="H86" s="70"/>
      <c r="I86" s="71"/>
      <c r="J86" s="71"/>
      <c r="K86" s="35" t="s">
        <v>65</v>
      </c>
      <c r="L86" s="79">
        <v>86</v>
      </c>
      <c r="M86" s="79"/>
      <c r="N86" s="73"/>
      <c r="O86" s="81" t="s">
        <v>788</v>
      </c>
      <c r="P86" s="81" t="s">
        <v>325</v>
      </c>
      <c r="Q86" s="84" t="s">
        <v>874</v>
      </c>
      <c r="R86" s="81" t="s">
        <v>404</v>
      </c>
      <c r="S86" s="81" t="s">
        <v>1472</v>
      </c>
      <c r="T86" s="86" t="str">
        <f>HYPERLINK("http://www.youtube.com/channel/UCq4VnrOhYuN2IdwITTdQkDw")</f>
        <v>http://www.youtube.com/channel/UCq4VnrOhYuN2IdwITTdQkDw</v>
      </c>
      <c r="U86" s="81"/>
      <c r="V86" s="81" t="s">
        <v>1885</v>
      </c>
      <c r="W86" s="86" t="str">
        <f>HYPERLINK("https://www.youtube.com/watch?v=wadBvDPeE4E")</f>
        <v>https://www.youtube.com/watch?v=wadBvDPeE4E</v>
      </c>
      <c r="X86" s="81" t="s">
        <v>1886</v>
      </c>
      <c r="Y86" s="81">
        <v>0</v>
      </c>
      <c r="Z86" s="88">
        <v>41202.64204861111</v>
      </c>
      <c r="AA86" s="88">
        <v>41202.64204861111</v>
      </c>
      <c r="AB86" s="81"/>
      <c r="AC86" s="81"/>
      <c r="AD86" s="84" t="s">
        <v>1927</v>
      </c>
      <c r="AE86" s="82">
        <v>2</v>
      </c>
      <c r="AF86" s="83" t="str">
        <f>REPLACE(INDEX(GroupVertices[Group],MATCH(Edges[[#This Row],[Vertex 1]],GroupVertices[Vertex],0)),1,1,"")</f>
        <v>1</v>
      </c>
      <c r="AG86" s="83" t="str">
        <f>REPLACE(INDEX(GroupVertices[Group],MATCH(Edges[[#This Row],[Vertex 2]],GroupVertices[Vertex],0)),1,1,"")</f>
        <v>1</v>
      </c>
      <c r="AH86" s="111">
        <v>2</v>
      </c>
      <c r="AI86" s="112">
        <v>9.523809523809524</v>
      </c>
      <c r="AJ86" s="111">
        <v>0</v>
      </c>
      <c r="AK86" s="112">
        <v>0</v>
      </c>
      <c r="AL86" s="111">
        <v>0</v>
      </c>
      <c r="AM86" s="112">
        <v>0</v>
      </c>
      <c r="AN86" s="111">
        <v>19</v>
      </c>
      <c r="AO86" s="112">
        <v>90.47619047619048</v>
      </c>
      <c r="AP86" s="111">
        <v>21</v>
      </c>
    </row>
    <row r="87" spans="1:42" ht="15">
      <c r="A87" s="65" t="s">
        <v>404</v>
      </c>
      <c r="B87" s="65" t="s">
        <v>786</v>
      </c>
      <c r="C87" s="66" t="s">
        <v>4510</v>
      </c>
      <c r="D87" s="67">
        <v>5.333333333333334</v>
      </c>
      <c r="E87" s="68"/>
      <c r="F87" s="69">
        <v>31.666666666666664</v>
      </c>
      <c r="G87" s="66"/>
      <c r="H87" s="70"/>
      <c r="I87" s="71"/>
      <c r="J87" s="71"/>
      <c r="K87" s="35" t="s">
        <v>65</v>
      </c>
      <c r="L87" s="79">
        <v>87</v>
      </c>
      <c r="M87" s="79"/>
      <c r="N87" s="73"/>
      <c r="O87" s="81" t="s">
        <v>788</v>
      </c>
      <c r="P87" s="81" t="s">
        <v>325</v>
      </c>
      <c r="Q87" s="84" t="s">
        <v>875</v>
      </c>
      <c r="R87" s="81" t="s">
        <v>404</v>
      </c>
      <c r="S87" s="81" t="s">
        <v>1472</v>
      </c>
      <c r="T87" s="86" t="str">
        <f>HYPERLINK("http://www.youtube.com/channel/UCq4VnrOhYuN2IdwITTdQkDw")</f>
        <v>http://www.youtube.com/channel/UCq4VnrOhYuN2IdwITTdQkDw</v>
      </c>
      <c r="U87" s="81"/>
      <c r="V87" s="81" t="s">
        <v>1885</v>
      </c>
      <c r="W87" s="86" t="str">
        <f>HYPERLINK("https://www.youtube.com/watch?v=wadBvDPeE4E")</f>
        <v>https://www.youtube.com/watch?v=wadBvDPeE4E</v>
      </c>
      <c r="X87" s="81" t="s">
        <v>1886</v>
      </c>
      <c r="Y87" s="81">
        <v>0</v>
      </c>
      <c r="Z87" s="88">
        <v>41202.83552083333</v>
      </c>
      <c r="AA87" s="88">
        <v>41202.83552083333</v>
      </c>
      <c r="AB87" s="81"/>
      <c r="AC87" s="81"/>
      <c r="AD87" s="84" t="s">
        <v>1927</v>
      </c>
      <c r="AE87" s="82">
        <v>2</v>
      </c>
      <c r="AF87" s="83" t="str">
        <f>REPLACE(INDEX(GroupVertices[Group],MATCH(Edges[[#This Row],[Vertex 1]],GroupVertices[Vertex],0)),1,1,"")</f>
        <v>1</v>
      </c>
      <c r="AG87" s="83" t="str">
        <f>REPLACE(INDEX(GroupVertices[Group],MATCH(Edges[[#This Row],[Vertex 2]],GroupVertices[Vertex],0)),1,1,"")</f>
        <v>1</v>
      </c>
      <c r="AH87" s="111">
        <v>1</v>
      </c>
      <c r="AI87" s="112">
        <v>2.2222222222222223</v>
      </c>
      <c r="AJ87" s="111">
        <v>0</v>
      </c>
      <c r="AK87" s="112">
        <v>0</v>
      </c>
      <c r="AL87" s="111">
        <v>0</v>
      </c>
      <c r="AM87" s="112">
        <v>0</v>
      </c>
      <c r="AN87" s="111">
        <v>44</v>
      </c>
      <c r="AO87" s="112">
        <v>97.77777777777777</v>
      </c>
      <c r="AP87" s="111">
        <v>45</v>
      </c>
    </row>
    <row r="88" spans="1:42" ht="15">
      <c r="A88" s="65" t="s">
        <v>405</v>
      </c>
      <c r="B88" s="65" t="s">
        <v>786</v>
      </c>
      <c r="C88" s="66" t="s">
        <v>4509</v>
      </c>
      <c r="D88" s="67">
        <v>3</v>
      </c>
      <c r="E88" s="68"/>
      <c r="F88" s="69">
        <v>40</v>
      </c>
      <c r="G88" s="66"/>
      <c r="H88" s="70"/>
      <c r="I88" s="71"/>
      <c r="J88" s="71"/>
      <c r="K88" s="35" t="s">
        <v>65</v>
      </c>
      <c r="L88" s="79">
        <v>88</v>
      </c>
      <c r="M88" s="79"/>
      <c r="N88" s="73"/>
      <c r="O88" s="81" t="s">
        <v>788</v>
      </c>
      <c r="P88" s="81" t="s">
        <v>325</v>
      </c>
      <c r="Q88" s="84" t="s">
        <v>876</v>
      </c>
      <c r="R88" s="81" t="s">
        <v>405</v>
      </c>
      <c r="S88" s="81" t="s">
        <v>1473</v>
      </c>
      <c r="T88" s="86" t="str">
        <f>HYPERLINK("http://www.youtube.com/channel/UC3Z92jD5KxL5ll7cW9eR94Q")</f>
        <v>http://www.youtube.com/channel/UC3Z92jD5KxL5ll7cW9eR94Q</v>
      </c>
      <c r="U88" s="81"/>
      <c r="V88" s="81" t="s">
        <v>1885</v>
      </c>
      <c r="W88" s="86" t="str">
        <f>HYPERLINK("https://www.youtube.com/watch?v=wadBvDPeE4E")</f>
        <v>https://www.youtube.com/watch?v=wadBvDPeE4E</v>
      </c>
      <c r="X88" s="81" t="s">
        <v>1886</v>
      </c>
      <c r="Y88" s="81">
        <v>2</v>
      </c>
      <c r="Z88" s="88">
        <v>41202.83833333333</v>
      </c>
      <c r="AA88" s="88">
        <v>41202.83833333333</v>
      </c>
      <c r="AB88" s="81"/>
      <c r="AC88" s="81"/>
      <c r="AD88" s="84" t="s">
        <v>1927</v>
      </c>
      <c r="AE88" s="82">
        <v>1</v>
      </c>
      <c r="AF88" s="83" t="str">
        <f>REPLACE(INDEX(GroupVertices[Group],MATCH(Edges[[#This Row],[Vertex 1]],GroupVertices[Vertex],0)),1,1,"")</f>
        <v>1</v>
      </c>
      <c r="AG88" s="83" t="str">
        <f>REPLACE(INDEX(GroupVertices[Group],MATCH(Edges[[#This Row],[Vertex 2]],GroupVertices[Vertex],0)),1,1,"")</f>
        <v>1</v>
      </c>
      <c r="AH88" s="111">
        <v>1</v>
      </c>
      <c r="AI88" s="112">
        <v>6.25</v>
      </c>
      <c r="AJ88" s="111">
        <v>0</v>
      </c>
      <c r="AK88" s="112">
        <v>0</v>
      </c>
      <c r="AL88" s="111">
        <v>0</v>
      </c>
      <c r="AM88" s="112">
        <v>0</v>
      </c>
      <c r="AN88" s="111">
        <v>15</v>
      </c>
      <c r="AO88" s="112">
        <v>93.75</v>
      </c>
      <c r="AP88" s="111">
        <v>16</v>
      </c>
    </row>
    <row r="89" spans="1:42" ht="15">
      <c r="A89" s="65" t="s">
        <v>406</v>
      </c>
      <c r="B89" s="65" t="s">
        <v>786</v>
      </c>
      <c r="C89" s="66" t="s">
        <v>4509</v>
      </c>
      <c r="D89" s="67">
        <v>3</v>
      </c>
      <c r="E89" s="68"/>
      <c r="F89" s="69">
        <v>40</v>
      </c>
      <c r="G89" s="66"/>
      <c r="H89" s="70"/>
      <c r="I89" s="71"/>
      <c r="J89" s="71"/>
      <c r="K89" s="35" t="s">
        <v>65</v>
      </c>
      <c r="L89" s="79">
        <v>89</v>
      </c>
      <c r="M89" s="79"/>
      <c r="N89" s="73"/>
      <c r="O89" s="81" t="s">
        <v>788</v>
      </c>
      <c r="P89" s="81" t="s">
        <v>325</v>
      </c>
      <c r="Q89" s="84" t="s">
        <v>877</v>
      </c>
      <c r="R89" s="81" t="s">
        <v>406</v>
      </c>
      <c r="S89" s="81" t="s">
        <v>1474</v>
      </c>
      <c r="T89" s="86" t="str">
        <f>HYPERLINK("http://www.youtube.com/channel/UCKdZVIR5_xlawOW-gFludbA")</f>
        <v>http://www.youtube.com/channel/UCKdZVIR5_xlawOW-gFludbA</v>
      </c>
      <c r="U89" s="81"/>
      <c r="V89" s="81" t="s">
        <v>1885</v>
      </c>
      <c r="W89" s="86" t="str">
        <f>HYPERLINK("https://www.youtube.com/watch?v=wadBvDPeE4E")</f>
        <v>https://www.youtube.com/watch?v=wadBvDPeE4E</v>
      </c>
      <c r="X89" s="81" t="s">
        <v>1886</v>
      </c>
      <c r="Y89" s="81">
        <v>0</v>
      </c>
      <c r="Z89" s="88">
        <v>41202.84443287037</v>
      </c>
      <c r="AA89" s="88">
        <v>41202.84443287037</v>
      </c>
      <c r="AB89" s="81"/>
      <c r="AC89" s="81"/>
      <c r="AD89" s="84" t="s">
        <v>1927</v>
      </c>
      <c r="AE89" s="82">
        <v>1</v>
      </c>
      <c r="AF89" s="83" t="str">
        <f>REPLACE(INDEX(GroupVertices[Group],MATCH(Edges[[#This Row],[Vertex 1]],GroupVertices[Vertex],0)),1,1,"")</f>
        <v>1</v>
      </c>
      <c r="AG89" s="83" t="str">
        <f>REPLACE(INDEX(GroupVertices[Group],MATCH(Edges[[#This Row],[Vertex 2]],GroupVertices[Vertex],0)),1,1,"")</f>
        <v>1</v>
      </c>
      <c r="AH89" s="111">
        <v>0</v>
      </c>
      <c r="AI89" s="112">
        <v>0</v>
      </c>
      <c r="AJ89" s="111">
        <v>0</v>
      </c>
      <c r="AK89" s="112">
        <v>0</v>
      </c>
      <c r="AL89" s="111">
        <v>0</v>
      </c>
      <c r="AM89" s="112">
        <v>0</v>
      </c>
      <c r="AN89" s="111">
        <v>29</v>
      </c>
      <c r="AO89" s="112">
        <v>100</v>
      </c>
      <c r="AP89" s="111">
        <v>29</v>
      </c>
    </row>
    <row r="90" spans="1:42" ht="15">
      <c r="A90" s="65" t="s">
        <v>407</v>
      </c>
      <c r="B90" s="65" t="s">
        <v>786</v>
      </c>
      <c r="C90" s="66" t="s">
        <v>4509</v>
      </c>
      <c r="D90" s="67">
        <v>3</v>
      </c>
      <c r="E90" s="68"/>
      <c r="F90" s="69">
        <v>40</v>
      </c>
      <c r="G90" s="66"/>
      <c r="H90" s="70"/>
      <c r="I90" s="71"/>
      <c r="J90" s="71"/>
      <c r="K90" s="35" t="s">
        <v>65</v>
      </c>
      <c r="L90" s="79">
        <v>90</v>
      </c>
      <c r="M90" s="79"/>
      <c r="N90" s="73"/>
      <c r="O90" s="81" t="s">
        <v>788</v>
      </c>
      <c r="P90" s="81" t="s">
        <v>325</v>
      </c>
      <c r="Q90" s="84" t="s">
        <v>878</v>
      </c>
      <c r="R90" s="81" t="s">
        <v>407</v>
      </c>
      <c r="S90" s="81" t="s">
        <v>1475</v>
      </c>
      <c r="T90" s="86" t="str">
        <f>HYPERLINK("http://www.youtube.com/channel/UCoppdEzz15CEiXMiO5idh7A")</f>
        <v>http://www.youtube.com/channel/UCoppdEzz15CEiXMiO5idh7A</v>
      </c>
      <c r="U90" s="81"/>
      <c r="V90" s="81" t="s">
        <v>1885</v>
      </c>
      <c r="W90" s="86" t="str">
        <f>HYPERLINK("https://www.youtube.com/watch?v=wadBvDPeE4E")</f>
        <v>https://www.youtube.com/watch?v=wadBvDPeE4E</v>
      </c>
      <c r="X90" s="81" t="s">
        <v>1886</v>
      </c>
      <c r="Y90" s="81">
        <v>0</v>
      </c>
      <c r="Z90" s="88">
        <v>41202.84931712963</v>
      </c>
      <c r="AA90" s="88">
        <v>41202.84931712963</v>
      </c>
      <c r="AB90" s="81"/>
      <c r="AC90" s="81"/>
      <c r="AD90" s="84" t="s">
        <v>1927</v>
      </c>
      <c r="AE90" s="82">
        <v>1</v>
      </c>
      <c r="AF90" s="83" t="str">
        <f>REPLACE(INDEX(GroupVertices[Group],MATCH(Edges[[#This Row],[Vertex 1]],GroupVertices[Vertex],0)),1,1,"")</f>
        <v>1</v>
      </c>
      <c r="AG90" s="83" t="str">
        <f>REPLACE(INDEX(GroupVertices[Group],MATCH(Edges[[#This Row],[Vertex 2]],GroupVertices[Vertex],0)),1,1,"")</f>
        <v>1</v>
      </c>
      <c r="AH90" s="111">
        <v>1</v>
      </c>
      <c r="AI90" s="112">
        <v>7.6923076923076925</v>
      </c>
      <c r="AJ90" s="111">
        <v>0</v>
      </c>
      <c r="AK90" s="112">
        <v>0</v>
      </c>
      <c r="AL90" s="111">
        <v>0</v>
      </c>
      <c r="AM90" s="112">
        <v>0</v>
      </c>
      <c r="AN90" s="111">
        <v>12</v>
      </c>
      <c r="AO90" s="112">
        <v>92.3076923076923</v>
      </c>
      <c r="AP90" s="111">
        <v>13</v>
      </c>
    </row>
    <row r="91" spans="1:42" ht="15">
      <c r="A91" s="65" t="s">
        <v>408</v>
      </c>
      <c r="B91" s="65" t="s">
        <v>786</v>
      </c>
      <c r="C91" s="66" t="s">
        <v>4509</v>
      </c>
      <c r="D91" s="67">
        <v>3</v>
      </c>
      <c r="E91" s="68"/>
      <c r="F91" s="69">
        <v>40</v>
      </c>
      <c r="G91" s="66"/>
      <c r="H91" s="70"/>
      <c r="I91" s="71"/>
      <c r="J91" s="71"/>
      <c r="K91" s="35" t="s">
        <v>65</v>
      </c>
      <c r="L91" s="79">
        <v>91</v>
      </c>
      <c r="M91" s="79"/>
      <c r="N91" s="73"/>
      <c r="O91" s="81" t="s">
        <v>788</v>
      </c>
      <c r="P91" s="81" t="s">
        <v>325</v>
      </c>
      <c r="Q91" s="84" t="s">
        <v>879</v>
      </c>
      <c r="R91" s="81" t="s">
        <v>408</v>
      </c>
      <c r="S91" s="81" t="s">
        <v>1476</v>
      </c>
      <c r="T91" s="86" t="str">
        <f>HYPERLINK("http://www.youtube.com/channel/UCCoIMMcJ4llQn9jwl7efsZA")</f>
        <v>http://www.youtube.com/channel/UCCoIMMcJ4llQn9jwl7efsZA</v>
      </c>
      <c r="U91" s="81"/>
      <c r="V91" s="81" t="s">
        <v>1885</v>
      </c>
      <c r="W91" s="86" t="str">
        <f>HYPERLINK("https://www.youtube.com/watch?v=wadBvDPeE4E")</f>
        <v>https://www.youtube.com/watch?v=wadBvDPeE4E</v>
      </c>
      <c r="X91" s="81" t="s">
        <v>1886</v>
      </c>
      <c r="Y91" s="81">
        <v>0</v>
      </c>
      <c r="Z91" s="88">
        <v>41202.85171296296</v>
      </c>
      <c r="AA91" s="88">
        <v>41202.85171296296</v>
      </c>
      <c r="AB91" s="81"/>
      <c r="AC91" s="81"/>
      <c r="AD91" s="84" t="s">
        <v>1927</v>
      </c>
      <c r="AE91" s="82">
        <v>1</v>
      </c>
      <c r="AF91" s="83" t="str">
        <f>REPLACE(INDEX(GroupVertices[Group],MATCH(Edges[[#This Row],[Vertex 1]],GroupVertices[Vertex],0)),1,1,"")</f>
        <v>1</v>
      </c>
      <c r="AG91" s="83" t="str">
        <f>REPLACE(INDEX(GroupVertices[Group],MATCH(Edges[[#This Row],[Vertex 2]],GroupVertices[Vertex],0)),1,1,"")</f>
        <v>1</v>
      </c>
      <c r="AH91" s="111">
        <v>1</v>
      </c>
      <c r="AI91" s="112">
        <v>3.4482758620689653</v>
      </c>
      <c r="AJ91" s="111">
        <v>0</v>
      </c>
      <c r="AK91" s="112">
        <v>0</v>
      </c>
      <c r="AL91" s="111">
        <v>0</v>
      </c>
      <c r="AM91" s="112">
        <v>0</v>
      </c>
      <c r="AN91" s="111">
        <v>28</v>
      </c>
      <c r="AO91" s="112">
        <v>96.55172413793103</v>
      </c>
      <c r="AP91" s="111">
        <v>29</v>
      </c>
    </row>
    <row r="92" spans="1:42" ht="15">
      <c r="A92" s="65" t="s">
        <v>409</v>
      </c>
      <c r="B92" s="65" t="s">
        <v>786</v>
      </c>
      <c r="C92" s="66" t="s">
        <v>4511</v>
      </c>
      <c r="D92" s="67">
        <v>7.666666666666667</v>
      </c>
      <c r="E92" s="68"/>
      <c r="F92" s="69">
        <v>23.333333333333332</v>
      </c>
      <c r="G92" s="66"/>
      <c r="H92" s="70"/>
      <c r="I92" s="71"/>
      <c r="J92" s="71"/>
      <c r="K92" s="35" t="s">
        <v>65</v>
      </c>
      <c r="L92" s="79">
        <v>92</v>
      </c>
      <c r="M92" s="79"/>
      <c r="N92" s="73"/>
      <c r="O92" s="81" t="s">
        <v>788</v>
      </c>
      <c r="P92" s="81" t="s">
        <v>325</v>
      </c>
      <c r="Q92" s="84" t="s">
        <v>880</v>
      </c>
      <c r="R92" s="81" t="s">
        <v>409</v>
      </c>
      <c r="S92" s="81" t="s">
        <v>1477</v>
      </c>
      <c r="T92" s="86" t="str">
        <f>HYPERLINK("http://www.youtube.com/channel/UCFufvdhbQ9oOSsEpp9de5SQ")</f>
        <v>http://www.youtube.com/channel/UCFufvdhbQ9oOSsEpp9de5SQ</v>
      </c>
      <c r="U92" s="81"/>
      <c r="V92" s="81" t="s">
        <v>1885</v>
      </c>
      <c r="W92" s="86" t="str">
        <f>HYPERLINK("https://www.youtube.com/watch?v=wadBvDPeE4E")</f>
        <v>https://www.youtube.com/watch?v=wadBvDPeE4E</v>
      </c>
      <c r="X92" s="81" t="s">
        <v>1886</v>
      </c>
      <c r="Y92" s="81">
        <v>0</v>
      </c>
      <c r="Z92" s="88">
        <v>41202.80631944445</v>
      </c>
      <c r="AA92" s="88">
        <v>41202.80631944445</v>
      </c>
      <c r="AB92" s="81"/>
      <c r="AC92" s="81"/>
      <c r="AD92" s="84" t="s">
        <v>1927</v>
      </c>
      <c r="AE92" s="82">
        <v>3</v>
      </c>
      <c r="AF92" s="83" t="str">
        <f>REPLACE(INDEX(GroupVertices[Group],MATCH(Edges[[#This Row],[Vertex 1]],GroupVertices[Vertex],0)),1,1,"")</f>
        <v>1</v>
      </c>
      <c r="AG92" s="83" t="str">
        <f>REPLACE(INDEX(GroupVertices[Group],MATCH(Edges[[#This Row],[Vertex 2]],GroupVertices[Vertex],0)),1,1,"")</f>
        <v>1</v>
      </c>
      <c r="AH92" s="111">
        <v>2</v>
      </c>
      <c r="AI92" s="112">
        <v>8</v>
      </c>
      <c r="AJ92" s="111">
        <v>1</v>
      </c>
      <c r="AK92" s="112">
        <v>4</v>
      </c>
      <c r="AL92" s="111">
        <v>0</v>
      </c>
      <c r="AM92" s="112">
        <v>0</v>
      </c>
      <c r="AN92" s="111">
        <v>22</v>
      </c>
      <c r="AO92" s="112">
        <v>88</v>
      </c>
      <c r="AP92" s="111">
        <v>25</v>
      </c>
    </row>
    <row r="93" spans="1:42" ht="15">
      <c r="A93" s="65" t="s">
        <v>409</v>
      </c>
      <c r="B93" s="65" t="s">
        <v>786</v>
      </c>
      <c r="C93" s="66" t="s">
        <v>4511</v>
      </c>
      <c r="D93" s="67">
        <v>7.666666666666667</v>
      </c>
      <c r="E93" s="68"/>
      <c r="F93" s="69">
        <v>23.333333333333332</v>
      </c>
      <c r="G93" s="66"/>
      <c r="H93" s="70"/>
      <c r="I93" s="71"/>
      <c r="J93" s="71"/>
      <c r="K93" s="35" t="s">
        <v>65</v>
      </c>
      <c r="L93" s="79">
        <v>93</v>
      </c>
      <c r="M93" s="79"/>
      <c r="N93" s="73"/>
      <c r="O93" s="81" t="s">
        <v>788</v>
      </c>
      <c r="P93" s="81" t="s">
        <v>325</v>
      </c>
      <c r="Q93" s="84" t="s">
        <v>881</v>
      </c>
      <c r="R93" s="81" t="s">
        <v>409</v>
      </c>
      <c r="S93" s="81" t="s">
        <v>1477</v>
      </c>
      <c r="T93" s="86" t="str">
        <f>HYPERLINK("http://www.youtube.com/channel/UCFufvdhbQ9oOSsEpp9de5SQ")</f>
        <v>http://www.youtube.com/channel/UCFufvdhbQ9oOSsEpp9de5SQ</v>
      </c>
      <c r="U93" s="81"/>
      <c r="V93" s="81" t="s">
        <v>1885</v>
      </c>
      <c r="W93" s="86" t="str">
        <f>HYPERLINK("https://www.youtube.com/watch?v=wadBvDPeE4E")</f>
        <v>https://www.youtube.com/watch?v=wadBvDPeE4E</v>
      </c>
      <c r="X93" s="81" t="s">
        <v>1886</v>
      </c>
      <c r="Y93" s="81">
        <v>0</v>
      </c>
      <c r="Z93" s="88">
        <v>41202.81381944445</v>
      </c>
      <c r="AA93" s="88">
        <v>41202.81381944445</v>
      </c>
      <c r="AB93" s="81"/>
      <c r="AC93" s="81"/>
      <c r="AD93" s="84" t="s">
        <v>1927</v>
      </c>
      <c r="AE93" s="82">
        <v>3</v>
      </c>
      <c r="AF93" s="83" t="str">
        <f>REPLACE(INDEX(GroupVertices[Group],MATCH(Edges[[#This Row],[Vertex 1]],GroupVertices[Vertex],0)),1,1,"")</f>
        <v>1</v>
      </c>
      <c r="AG93" s="83" t="str">
        <f>REPLACE(INDEX(GroupVertices[Group],MATCH(Edges[[#This Row],[Vertex 2]],GroupVertices[Vertex],0)),1,1,"")</f>
        <v>1</v>
      </c>
      <c r="AH93" s="111">
        <v>5</v>
      </c>
      <c r="AI93" s="112">
        <v>4.62962962962963</v>
      </c>
      <c r="AJ93" s="111">
        <v>5</v>
      </c>
      <c r="AK93" s="112">
        <v>4.62962962962963</v>
      </c>
      <c r="AL93" s="111">
        <v>0</v>
      </c>
      <c r="AM93" s="112">
        <v>0</v>
      </c>
      <c r="AN93" s="111">
        <v>98</v>
      </c>
      <c r="AO93" s="112">
        <v>90.74074074074075</v>
      </c>
      <c r="AP93" s="111">
        <v>108</v>
      </c>
    </row>
    <row r="94" spans="1:42" ht="15">
      <c r="A94" s="65" t="s">
        <v>409</v>
      </c>
      <c r="B94" s="65" t="s">
        <v>786</v>
      </c>
      <c r="C94" s="66" t="s">
        <v>4511</v>
      </c>
      <c r="D94" s="67">
        <v>7.666666666666667</v>
      </c>
      <c r="E94" s="68"/>
      <c r="F94" s="69">
        <v>23.333333333333332</v>
      </c>
      <c r="G94" s="66"/>
      <c r="H94" s="70"/>
      <c r="I94" s="71"/>
      <c r="J94" s="71"/>
      <c r="K94" s="35" t="s">
        <v>65</v>
      </c>
      <c r="L94" s="79">
        <v>94</v>
      </c>
      <c r="M94" s="79"/>
      <c r="N94" s="73"/>
      <c r="O94" s="81" t="s">
        <v>788</v>
      </c>
      <c r="P94" s="81" t="s">
        <v>325</v>
      </c>
      <c r="Q94" s="84" t="s">
        <v>882</v>
      </c>
      <c r="R94" s="81" t="s">
        <v>409</v>
      </c>
      <c r="S94" s="81" t="s">
        <v>1477</v>
      </c>
      <c r="T94" s="86" t="str">
        <f>HYPERLINK("http://www.youtube.com/channel/UCFufvdhbQ9oOSsEpp9de5SQ")</f>
        <v>http://www.youtube.com/channel/UCFufvdhbQ9oOSsEpp9de5SQ</v>
      </c>
      <c r="U94" s="81"/>
      <c r="V94" s="81" t="s">
        <v>1885</v>
      </c>
      <c r="W94" s="86" t="str">
        <f>HYPERLINK("https://www.youtube.com/watch?v=wadBvDPeE4E")</f>
        <v>https://www.youtube.com/watch?v=wadBvDPeE4E</v>
      </c>
      <c r="X94" s="81" t="s">
        <v>1886</v>
      </c>
      <c r="Y94" s="81">
        <v>0</v>
      </c>
      <c r="Z94" s="88">
        <v>41202.85607638889</v>
      </c>
      <c r="AA94" s="88">
        <v>41202.85607638889</v>
      </c>
      <c r="AB94" s="81"/>
      <c r="AC94" s="81"/>
      <c r="AD94" s="84" t="s">
        <v>1927</v>
      </c>
      <c r="AE94" s="82">
        <v>3</v>
      </c>
      <c r="AF94" s="83" t="str">
        <f>REPLACE(INDEX(GroupVertices[Group],MATCH(Edges[[#This Row],[Vertex 1]],GroupVertices[Vertex],0)),1,1,"")</f>
        <v>1</v>
      </c>
      <c r="AG94" s="83" t="str">
        <f>REPLACE(INDEX(GroupVertices[Group],MATCH(Edges[[#This Row],[Vertex 2]],GroupVertices[Vertex],0)),1,1,"")</f>
        <v>1</v>
      </c>
      <c r="AH94" s="111">
        <v>9</v>
      </c>
      <c r="AI94" s="112">
        <v>9.278350515463918</v>
      </c>
      <c r="AJ94" s="111">
        <v>6</v>
      </c>
      <c r="AK94" s="112">
        <v>6.185567010309279</v>
      </c>
      <c r="AL94" s="111">
        <v>0</v>
      </c>
      <c r="AM94" s="112">
        <v>0</v>
      </c>
      <c r="AN94" s="111">
        <v>82</v>
      </c>
      <c r="AO94" s="112">
        <v>84.5360824742268</v>
      </c>
      <c r="AP94" s="111">
        <v>97</v>
      </c>
    </row>
    <row r="95" spans="1:42" ht="15">
      <c r="A95" s="65" t="s">
        <v>410</v>
      </c>
      <c r="B95" s="65" t="s">
        <v>786</v>
      </c>
      <c r="C95" s="66" t="s">
        <v>4509</v>
      </c>
      <c r="D95" s="67">
        <v>3</v>
      </c>
      <c r="E95" s="68"/>
      <c r="F95" s="69">
        <v>40</v>
      </c>
      <c r="G95" s="66"/>
      <c r="H95" s="70"/>
      <c r="I95" s="71"/>
      <c r="J95" s="71"/>
      <c r="K95" s="35" t="s">
        <v>65</v>
      </c>
      <c r="L95" s="79">
        <v>95</v>
      </c>
      <c r="M95" s="79"/>
      <c r="N95" s="73"/>
      <c r="O95" s="81" t="s">
        <v>788</v>
      </c>
      <c r="P95" s="81" t="s">
        <v>325</v>
      </c>
      <c r="Q95" s="84" t="s">
        <v>883</v>
      </c>
      <c r="R95" s="81" t="s">
        <v>410</v>
      </c>
      <c r="S95" s="81" t="s">
        <v>1478</v>
      </c>
      <c r="T95" s="86" t="str">
        <f>HYPERLINK("http://www.youtube.com/channel/UC9A52USZMcDhwqdOsHJBLdA")</f>
        <v>http://www.youtube.com/channel/UC9A52USZMcDhwqdOsHJBLdA</v>
      </c>
      <c r="U95" s="81"/>
      <c r="V95" s="81" t="s">
        <v>1885</v>
      </c>
      <c r="W95" s="86" t="str">
        <f>HYPERLINK("https://www.youtube.com/watch?v=wadBvDPeE4E")</f>
        <v>https://www.youtube.com/watch?v=wadBvDPeE4E</v>
      </c>
      <c r="X95" s="81" t="s">
        <v>1886</v>
      </c>
      <c r="Y95" s="81">
        <v>0</v>
      </c>
      <c r="Z95" s="88">
        <v>41202.86608796296</v>
      </c>
      <c r="AA95" s="88">
        <v>41202.86608796296</v>
      </c>
      <c r="AB95" s="81"/>
      <c r="AC95" s="81"/>
      <c r="AD95" s="84" t="s">
        <v>1927</v>
      </c>
      <c r="AE95" s="82">
        <v>1</v>
      </c>
      <c r="AF95" s="83" t="str">
        <f>REPLACE(INDEX(GroupVertices[Group],MATCH(Edges[[#This Row],[Vertex 1]],GroupVertices[Vertex],0)),1,1,"")</f>
        <v>1</v>
      </c>
      <c r="AG95" s="83" t="str">
        <f>REPLACE(INDEX(GroupVertices[Group],MATCH(Edges[[#This Row],[Vertex 2]],GroupVertices[Vertex],0)),1,1,"")</f>
        <v>1</v>
      </c>
      <c r="AH95" s="111">
        <v>1</v>
      </c>
      <c r="AI95" s="112">
        <v>12.5</v>
      </c>
      <c r="AJ95" s="111">
        <v>4</v>
      </c>
      <c r="AK95" s="112">
        <v>50</v>
      </c>
      <c r="AL95" s="111">
        <v>0</v>
      </c>
      <c r="AM95" s="112">
        <v>0</v>
      </c>
      <c r="AN95" s="111">
        <v>3</v>
      </c>
      <c r="AO95" s="112">
        <v>37.5</v>
      </c>
      <c r="AP95" s="111">
        <v>8</v>
      </c>
    </row>
    <row r="96" spans="1:42" ht="15">
      <c r="A96" s="65" t="s">
        <v>411</v>
      </c>
      <c r="B96" s="65" t="s">
        <v>786</v>
      </c>
      <c r="C96" s="66" t="s">
        <v>4509</v>
      </c>
      <c r="D96" s="67">
        <v>3</v>
      </c>
      <c r="E96" s="68"/>
      <c r="F96" s="69">
        <v>40</v>
      </c>
      <c r="G96" s="66"/>
      <c r="H96" s="70"/>
      <c r="I96" s="71"/>
      <c r="J96" s="71"/>
      <c r="K96" s="35" t="s">
        <v>65</v>
      </c>
      <c r="L96" s="79">
        <v>96</v>
      </c>
      <c r="M96" s="79"/>
      <c r="N96" s="73"/>
      <c r="O96" s="81" t="s">
        <v>788</v>
      </c>
      <c r="P96" s="81" t="s">
        <v>325</v>
      </c>
      <c r="Q96" s="84" t="s">
        <v>884</v>
      </c>
      <c r="R96" s="81" t="s">
        <v>411</v>
      </c>
      <c r="S96" s="81" t="s">
        <v>1479</v>
      </c>
      <c r="T96" s="86" t="str">
        <f>HYPERLINK("http://www.youtube.com/channel/UCVmJY1uho-bA_lofr8djVJA")</f>
        <v>http://www.youtube.com/channel/UCVmJY1uho-bA_lofr8djVJA</v>
      </c>
      <c r="U96" s="81"/>
      <c r="V96" s="81" t="s">
        <v>1885</v>
      </c>
      <c r="W96" s="86" t="str">
        <f>HYPERLINK("https://www.youtube.com/watch?v=wadBvDPeE4E")</f>
        <v>https://www.youtube.com/watch?v=wadBvDPeE4E</v>
      </c>
      <c r="X96" s="81" t="s">
        <v>1886</v>
      </c>
      <c r="Y96" s="81">
        <v>0</v>
      </c>
      <c r="Z96" s="88">
        <v>41202.868125</v>
      </c>
      <c r="AA96" s="88">
        <v>41202.868125</v>
      </c>
      <c r="AB96" s="81"/>
      <c r="AC96" s="81"/>
      <c r="AD96" s="84" t="s">
        <v>1927</v>
      </c>
      <c r="AE96" s="82">
        <v>1</v>
      </c>
      <c r="AF96" s="83" t="str">
        <f>REPLACE(INDEX(GroupVertices[Group],MATCH(Edges[[#This Row],[Vertex 1]],GroupVertices[Vertex],0)),1,1,"")</f>
        <v>1</v>
      </c>
      <c r="AG96" s="83" t="str">
        <f>REPLACE(INDEX(GroupVertices[Group],MATCH(Edges[[#This Row],[Vertex 2]],GroupVertices[Vertex],0)),1,1,"")</f>
        <v>1</v>
      </c>
      <c r="AH96" s="111">
        <v>0</v>
      </c>
      <c r="AI96" s="112">
        <v>0</v>
      </c>
      <c r="AJ96" s="111">
        <v>0</v>
      </c>
      <c r="AK96" s="112">
        <v>0</v>
      </c>
      <c r="AL96" s="111">
        <v>0</v>
      </c>
      <c r="AM96" s="112">
        <v>0</v>
      </c>
      <c r="AN96" s="111">
        <v>5</v>
      </c>
      <c r="AO96" s="112">
        <v>100</v>
      </c>
      <c r="AP96" s="111">
        <v>5</v>
      </c>
    </row>
    <row r="97" spans="1:42" ht="15">
      <c r="A97" s="65" t="s">
        <v>412</v>
      </c>
      <c r="B97" s="65" t="s">
        <v>786</v>
      </c>
      <c r="C97" s="66" t="s">
        <v>4509</v>
      </c>
      <c r="D97" s="67">
        <v>3</v>
      </c>
      <c r="E97" s="68"/>
      <c r="F97" s="69">
        <v>40</v>
      </c>
      <c r="G97" s="66"/>
      <c r="H97" s="70"/>
      <c r="I97" s="71"/>
      <c r="J97" s="71"/>
      <c r="K97" s="35" t="s">
        <v>65</v>
      </c>
      <c r="L97" s="79">
        <v>97</v>
      </c>
      <c r="M97" s="79"/>
      <c r="N97" s="73"/>
      <c r="O97" s="81" t="s">
        <v>788</v>
      </c>
      <c r="P97" s="81" t="s">
        <v>325</v>
      </c>
      <c r="Q97" s="84" t="s">
        <v>885</v>
      </c>
      <c r="R97" s="81" t="s">
        <v>412</v>
      </c>
      <c r="S97" s="81" t="s">
        <v>1480</v>
      </c>
      <c r="T97" s="86" t="str">
        <f>HYPERLINK("http://www.youtube.com/channel/UCJkq6kQK2Xwng9aROec3P5Q")</f>
        <v>http://www.youtube.com/channel/UCJkq6kQK2Xwng9aROec3P5Q</v>
      </c>
      <c r="U97" s="81"/>
      <c r="V97" s="81" t="s">
        <v>1885</v>
      </c>
      <c r="W97" s="86" t="str">
        <f>HYPERLINK("https://www.youtube.com/watch?v=wadBvDPeE4E")</f>
        <v>https://www.youtube.com/watch?v=wadBvDPeE4E</v>
      </c>
      <c r="X97" s="81" t="s">
        <v>1886</v>
      </c>
      <c r="Y97" s="81">
        <v>0</v>
      </c>
      <c r="Z97" s="88">
        <v>41202.869733796295</v>
      </c>
      <c r="AA97" s="88">
        <v>41202.869733796295</v>
      </c>
      <c r="AB97" s="81"/>
      <c r="AC97" s="81"/>
      <c r="AD97" s="84" t="s">
        <v>1927</v>
      </c>
      <c r="AE97" s="82">
        <v>1</v>
      </c>
      <c r="AF97" s="83" t="str">
        <f>REPLACE(INDEX(GroupVertices[Group],MATCH(Edges[[#This Row],[Vertex 1]],GroupVertices[Vertex],0)),1,1,"")</f>
        <v>1</v>
      </c>
      <c r="AG97" s="83" t="str">
        <f>REPLACE(INDEX(GroupVertices[Group],MATCH(Edges[[#This Row],[Vertex 2]],GroupVertices[Vertex],0)),1,1,"")</f>
        <v>1</v>
      </c>
      <c r="AH97" s="111">
        <v>2</v>
      </c>
      <c r="AI97" s="112">
        <v>22.22222222222222</v>
      </c>
      <c r="AJ97" s="111">
        <v>1</v>
      </c>
      <c r="AK97" s="112">
        <v>11.11111111111111</v>
      </c>
      <c r="AL97" s="111">
        <v>0</v>
      </c>
      <c r="AM97" s="112">
        <v>0</v>
      </c>
      <c r="AN97" s="111">
        <v>6</v>
      </c>
      <c r="AO97" s="112">
        <v>66.66666666666667</v>
      </c>
      <c r="AP97" s="111">
        <v>9</v>
      </c>
    </row>
    <row r="98" spans="1:42" ht="15">
      <c r="A98" s="65" t="s">
        <v>413</v>
      </c>
      <c r="B98" s="65" t="s">
        <v>786</v>
      </c>
      <c r="C98" s="66" t="s">
        <v>4513</v>
      </c>
      <c r="D98" s="67">
        <v>10</v>
      </c>
      <c r="E98" s="68"/>
      <c r="F98" s="69">
        <v>15</v>
      </c>
      <c r="G98" s="66"/>
      <c r="H98" s="70"/>
      <c r="I98" s="71"/>
      <c r="J98" s="71"/>
      <c r="K98" s="35" t="s">
        <v>65</v>
      </c>
      <c r="L98" s="79">
        <v>98</v>
      </c>
      <c r="M98" s="79"/>
      <c r="N98" s="73"/>
      <c r="O98" s="81" t="s">
        <v>788</v>
      </c>
      <c r="P98" s="81" t="s">
        <v>325</v>
      </c>
      <c r="Q98" s="84" t="s">
        <v>886</v>
      </c>
      <c r="R98" s="81" t="s">
        <v>413</v>
      </c>
      <c r="S98" s="81" t="s">
        <v>1481</v>
      </c>
      <c r="T98" s="86" t="str">
        <f>HYPERLINK("http://www.youtube.com/channel/UCvEQYyis-vvepurg0Nbys_Q")</f>
        <v>http://www.youtube.com/channel/UCvEQYyis-vvepurg0Nbys_Q</v>
      </c>
      <c r="U98" s="81"/>
      <c r="V98" s="81" t="s">
        <v>1885</v>
      </c>
      <c r="W98" s="86" t="str">
        <f>HYPERLINK("https://www.youtube.com/watch?v=wadBvDPeE4E")</f>
        <v>https://www.youtube.com/watch?v=wadBvDPeE4E</v>
      </c>
      <c r="X98" s="81" t="s">
        <v>1886</v>
      </c>
      <c r="Y98" s="81">
        <v>1</v>
      </c>
      <c r="Z98" s="88">
        <v>41202.600902777776</v>
      </c>
      <c r="AA98" s="88">
        <v>41202.600902777776</v>
      </c>
      <c r="AB98" s="81"/>
      <c r="AC98" s="81"/>
      <c r="AD98" s="84" t="s">
        <v>1927</v>
      </c>
      <c r="AE98" s="82">
        <v>5</v>
      </c>
      <c r="AF98" s="83" t="str">
        <f>REPLACE(INDEX(GroupVertices[Group],MATCH(Edges[[#This Row],[Vertex 1]],GroupVertices[Vertex],0)),1,1,"")</f>
        <v>1</v>
      </c>
      <c r="AG98" s="83" t="str">
        <f>REPLACE(INDEX(GroupVertices[Group],MATCH(Edges[[#This Row],[Vertex 2]],GroupVertices[Vertex],0)),1,1,"")</f>
        <v>1</v>
      </c>
      <c r="AH98" s="111">
        <v>0</v>
      </c>
      <c r="AI98" s="112">
        <v>0</v>
      </c>
      <c r="AJ98" s="111">
        <v>0</v>
      </c>
      <c r="AK98" s="112">
        <v>0</v>
      </c>
      <c r="AL98" s="111">
        <v>0</v>
      </c>
      <c r="AM98" s="112">
        <v>0</v>
      </c>
      <c r="AN98" s="111">
        <v>13</v>
      </c>
      <c r="AO98" s="112">
        <v>100</v>
      </c>
      <c r="AP98" s="111">
        <v>13</v>
      </c>
    </row>
    <row r="99" spans="1:42" ht="15">
      <c r="A99" s="65" t="s">
        <v>413</v>
      </c>
      <c r="B99" s="65" t="s">
        <v>786</v>
      </c>
      <c r="C99" s="66" t="s">
        <v>4513</v>
      </c>
      <c r="D99" s="67">
        <v>10</v>
      </c>
      <c r="E99" s="68"/>
      <c r="F99" s="69">
        <v>15</v>
      </c>
      <c r="G99" s="66"/>
      <c r="H99" s="70"/>
      <c r="I99" s="71"/>
      <c r="J99" s="71"/>
      <c r="K99" s="35" t="s">
        <v>65</v>
      </c>
      <c r="L99" s="79">
        <v>99</v>
      </c>
      <c r="M99" s="79"/>
      <c r="N99" s="73"/>
      <c r="O99" s="81" t="s">
        <v>788</v>
      </c>
      <c r="P99" s="81" t="s">
        <v>325</v>
      </c>
      <c r="Q99" s="84" t="s">
        <v>887</v>
      </c>
      <c r="R99" s="81" t="s">
        <v>413</v>
      </c>
      <c r="S99" s="81" t="s">
        <v>1481</v>
      </c>
      <c r="T99" s="86" t="str">
        <f>HYPERLINK("http://www.youtube.com/channel/UCvEQYyis-vvepurg0Nbys_Q")</f>
        <v>http://www.youtube.com/channel/UCvEQYyis-vvepurg0Nbys_Q</v>
      </c>
      <c r="U99" s="81"/>
      <c r="V99" s="81" t="s">
        <v>1885</v>
      </c>
      <c r="W99" s="86" t="str">
        <f>HYPERLINK("https://www.youtube.com/watch?v=wadBvDPeE4E")</f>
        <v>https://www.youtube.com/watch?v=wadBvDPeE4E</v>
      </c>
      <c r="X99" s="81" t="s">
        <v>1886</v>
      </c>
      <c r="Y99" s="81">
        <v>0</v>
      </c>
      <c r="Z99" s="88">
        <v>41202.61179398148</v>
      </c>
      <c r="AA99" s="88">
        <v>41202.61179398148</v>
      </c>
      <c r="AB99" s="81"/>
      <c r="AC99" s="81"/>
      <c r="AD99" s="84" t="s">
        <v>1927</v>
      </c>
      <c r="AE99" s="82">
        <v>5</v>
      </c>
      <c r="AF99" s="83" t="str">
        <f>REPLACE(INDEX(GroupVertices[Group],MATCH(Edges[[#This Row],[Vertex 1]],GroupVertices[Vertex],0)),1,1,"")</f>
        <v>1</v>
      </c>
      <c r="AG99" s="83" t="str">
        <f>REPLACE(INDEX(GroupVertices[Group],MATCH(Edges[[#This Row],[Vertex 2]],GroupVertices[Vertex],0)),1,1,"")</f>
        <v>1</v>
      </c>
      <c r="AH99" s="111">
        <v>1</v>
      </c>
      <c r="AI99" s="112">
        <v>20</v>
      </c>
      <c r="AJ99" s="111">
        <v>0</v>
      </c>
      <c r="AK99" s="112">
        <v>0</v>
      </c>
      <c r="AL99" s="111">
        <v>0</v>
      </c>
      <c r="AM99" s="112">
        <v>0</v>
      </c>
      <c r="AN99" s="111">
        <v>4</v>
      </c>
      <c r="AO99" s="112">
        <v>80</v>
      </c>
      <c r="AP99" s="111">
        <v>5</v>
      </c>
    </row>
    <row r="100" spans="1:42" ht="15">
      <c r="A100" s="65" t="s">
        <v>413</v>
      </c>
      <c r="B100" s="65" t="s">
        <v>786</v>
      </c>
      <c r="C100" s="66" t="s">
        <v>4513</v>
      </c>
      <c r="D100" s="67">
        <v>10</v>
      </c>
      <c r="E100" s="68"/>
      <c r="F100" s="69">
        <v>15</v>
      </c>
      <c r="G100" s="66"/>
      <c r="H100" s="70"/>
      <c r="I100" s="71"/>
      <c r="J100" s="71"/>
      <c r="K100" s="35" t="s">
        <v>65</v>
      </c>
      <c r="L100" s="79">
        <v>100</v>
      </c>
      <c r="M100" s="79"/>
      <c r="N100" s="73"/>
      <c r="O100" s="81" t="s">
        <v>788</v>
      </c>
      <c r="P100" s="81" t="s">
        <v>325</v>
      </c>
      <c r="Q100" s="84" t="s">
        <v>888</v>
      </c>
      <c r="R100" s="81" t="s">
        <v>413</v>
      </c>
      <c r="S100" s="81" t="s">
        <v>1481</v>
      </c>
      <c r="T100" s="86" t="str">
        <f>HYPERLINK("http://www.youtube.com/channel/UCvEQYyis-vvepurg0Nbys_Q")</f>
        <v>http://www.youtube.com/channel/UCvEQYyis-vvepurg0Nbys_Q</v>
      </c>
      <c r="U100" s="81"/>
      <c r="V100" s="81" t="s">
        <v>1885</v>
      </c>
      <c r="W100" s="86" t="str">
        <f>HYPERLINK("https://www.youtube.com/watch?v=wadBvDPeE4E")</f>
        <v>https://www.youtube.com/watch?v=wadBvDPeE4E</v>
      </c>
      <c r="X100" s="81" t="s">
        <v>1886</v>
      </c>
      <c r="Y100" s="81">
        <v>0</v>
      </c>
      <c r="Z100" s="88">
        <v>41202.62446759259</v>
      </c>
      <c r="AA100" s="88">
        <v>41202.62446759259</v>
      </c>
      <c r="AB100" s="81"/>
      <c r="AC100" s="81"/>
      <c r="AD100" s="84" t="s">
        <v>1927</v>
      </c>
      <c r="AE100" s="82">
        <v>5</v>
      </c>
      <c r="AF100" s="83" t="str">
        <f>REPLACE(INDEX(GroupVertices[Group],MATCH(Edges[[#This Row],[Vertex 1]],GroupVertices[Vertex],0)),1,1,"")</f>
        <v>1</v>
      </c>
      <c r="AG100" s="83" t="str">
        <f>REPLACE(INDEX(GroupVertices[Group],MATCH(Edges[[#This Row],[Vertex 2]],GroupVertices[Vertex],0)),1,1,"")</f>
        <v>1</v>
      </c>
      <c r="AH100" s="111">
        <v>1</v>
      </c>
      <c r="AI100" s="112">
        <v>14.285714285714286</v>
      </c>
      <c r="AJ100" s="111">
        <v>0</v>
      </c>
      <c r="AK100" s="112">
        <v>0</v>
      </c>
      <c r="AL100" s="111">
        <v>0</v>
      </c>
      <c r="AM100" s="112">
        <v>0</v>
      </c>
      <c r="AN100" s="111">
        <v>6</v>
      </c>
      <c r="AO100" s="112">
        <v>85.71428571428571</v>
      </c>
      <c r="AP100" s="111">
        <v>7</v>
      </c>
    </row>
    <row r="101" spans="1:42" ht="15">
      <c r="A101" s="65" t="s">
        <v>413</v>
      </c>
      <c r="B101" s="65" t="s">
        <v>786</v>
      </c>
      <c r="C101" s="66" t="s">
        <v>4513</v>
      </c>
      <c r="D101" s="67">
        <v>10</v>
      </c>
      <c r="E101" s="68"/>
      <c r="F101" s="69">
        <v>15</v>
      </c>
      <c r="G101" s="66"/>
      <c r="H101" s="70"/>
      <c r="I101" s="71"/>
      <c r="J101" s="71"/>
      <c r="K101" s="35" t="s">
        <v>65</v>
      </c>
      <c r="L101" s="79">
        <v>101</v>
      </c>
      <c r="M101" s="79"/>
      <c r="N101" s="73"/>
      <c r="O101" s="81" t="s">
        <v>788</v>
      </c>
      <c r="P101" s="81" t="s">
        <v>325</v>
      </c>
      <c r="Q101" s="84" t="s">
        <v>889</v>
      </c>
      <c r="R101" s="81" t="s">
        <v>413</v>
      </c>
      <c r="S101" s="81" t="s">
        <v>1481</v>
      </c>
      <c r="T101" s="86" t="str">
        <f>HYPERLINK("http://www.youtube.com/channel/UCvEQYyis-vvepurg0Nbys_Q")</f>
        <v>http://www.youtube.com/channel/UCvEQYyis-vvepurg0Nbys_Q</v>
      </c>
      <c r="U101" s="81"/>
      <c r="V101" s="81" t="s">
        <v>1885</v>
      </c>
      <c r="W101" s="86" t="str">
        <f>HYPERLINK("https://www.youtube.com/watch?v=wadBvDPeE4E")</f>
        <v>https://www.youtube.com/watch?v=wadBvDPeE4E</v>
      </c>
      <c r="X101" s="81" t="s">
        <v>1886</v>
      </c>
      <c r="Y101" s="81">
        <v>0</v>
      </c>
      <c r="Z101" s="88">
        <v>41202.625914351855</v>
      </c>
      <c r="AA101" s="88">
        <v>41202.625914351855</v>
      </c>
      <c r="AB101" s="81"/>
      <c r="AC101" s="81"/>
      <c r="AD101" s="84" t="s">
        <v>1927</v>
      </c>
      <c r="AE101" s="82">
        <v>5</v>
      </c>
      <c r="AF101" s="83" t="str">
        <f>REPLACE(INDEX(GroupVertices[Group],MATCH(Edges[[#This Row],[Vertex 1]],GroupVertices[Vertex],0)),1,1,"")</f>
        <v>1</v>
      </c>
      <c r="AG101" s="83" t="str">
        <f>REPLACE(INDEX(GroupVertices[Group],MATCH(Edges[[#This Row],[Vertex 2]],GroupVertices[Vertex],0)),1,1,"")</f>
        <v>1</v>
      </c>
      <c r="AH101" s="111">
        <v>2</v>
      </c>
      <c r="AI101" s="112">
        <v>2.73972602739726</v>
      </c>
      <c r="AJ101" s="111">
        <v>0</v>
      </c>
      <c r="AK101" s="112">
        <v>0</v>
      </c>
      <c r="AL101" s="111">
        <v>0</v>
      </c>
      <c r="AM101" s="112">
        <v>0</v>
      </c>
      <c r="AN101" s="111">
        <v>71</v>
      </c>
      <c r="AO101" s="112">
        <v>97.26027397260275</v>
      </c>
      <c r="AP101" s="111">
        <v>73</v>
      </c>
    </row>
    <row r="102" spans="1:42" ht="15">
      <c r="A102" s="65" t="s">
        <v>413</v>
      </c>
      <c r="B102" s="65" t="s">
        <v>786</v>
      </c>
      <c r="C102" s="66" t="s">
        <v>4513</v>
      </c>
      <c r="D102" s="67">
        <v>10</v>
      </c>
      <c r="E102" s="68"/>
      <c r="F102" s="69">
        <v>15</v>
      </c>
      <c r="G102" s="66"/>
      <c r="H102" s="70"/>
      <c r="I102" s="71"/>
      <c r="J102" s="71"/>
      <c r="K102" s="35" t="s">
        <v>65</v>
      </c>
      <c r="L102" s="79">
        <v>102</v>
      </c>
      <c r="M102" s="79"/>
      <c r="N102" s="73"/>
      <c r="O102" s="81" t="s">
        <v>788</v>
      </c>
      <c r="P102" s="81" t="s">
        <v>325</v>
      </c>
      <c r="Q102" s="84" t="s">
        <v>890</v>
      </c>
      <c r="R102" s="81" t="s">
        <v>413</v>
      </c>
      <c r="S102" s="81" t="s">
        <v>1481</v>
      </c>
      <c r="T102" s="86" t="str">
        <f>HYPERLINK("http://www.youtube.com/channel/UCvEQYyis-vvepurg0Nbys_Q")</f>
        <v>http://www.youtube.com/channel/UCvEQYyis-vvepurg0Nbys_Q</v>
      </c>
      <c r="U102" s="81"/>
      <c r="V102" s="81" t="s">
        <v>1885</v>
      </c>
      <c r="W102" s="86" t="str">
        <f>HYPERLINK("https://www.youtube.com/watch?v=wadBvDPeE4E")</f>
        <v>https://www.youtube.com/watch?v=wadBvDPeE4E</v>
      </c>
      <c r="X102" s="81" t="s">
        <v>1886</v>
      </c>
      <c r="Y102" s="81">
        <v>0</v>
      </c>
      <c r="Z102" s="88">
        <v>41202.87584490741</v>
      </c>
      <c r="AA102" s="88">
        <v>41202.87584490741</v>
      </c>
      <c r="AB102" s="81"/>
      <c r="AC102" s="81"/>
      <c r="AD102" s="84" t="s">
        <v>1927</v>
      </c>
      <c r="AE102" s="82">
        <v>5</v>
      </c>
      <c r="AF102" s="83" t="str">
        <f>REPLACE(INDEX(GroupVertices[Group],MATCH(Edges[[#This Row],[Vertex 1]],GroupVertices[Vertex],0)),1,1,"")</f>
        <v>1</v>
      </c>
      <c r="AG102" s="83" t="str">
        <f>REPLACE(INDEX(GroupVertices[Group],MATCH(Edges[[#This Row],[Vertex 2]],GroupVertices[Vertex],0)),1,1,"")</f>
        <v>1</v>
      </c>
      <c r="AH102" s="111">
        <v>0</v>
      </c>
      <c r="AI102" s="112">
        <v>0</v>
      </c>
      <c r="AJ102" s="111">
        <v>0</v>
      </c>
      <c r="AK102" s="112">
        <v>0</v>
      </c>
      <c r="AL102" s="111">
        <v>0</v>
      </c>
      <c r="AM102" s="112">
        <v>0</v>
      </c>
      <c r="AN102" s="111">
        <v>3</v>
      </c>
      <c r="AO102" s="112">
        <v>100</v>
      </c>
      <c r="AP102" s="111">
        <v>3</v>
      </c>
    </row>
    <row r="103" spans="1:42" ht="15">
      <c r="A103" s="65" t="s">
        <v>414</v>
      </c>
      <c r="B103" s="65" t="s">
        <v>786</v>
      </c>
      <c r="C103" s="66" t="s">
        <v>4509</v>
      </c>
      <c r="D103" s="67">
        <v>3</v>
      </c>
      <c r="E103" s="68"/>
      <c r="F103" s="69">
        <v>40</v>
      </c>
      <c r="G103" s="66"/>
      <c r="H103" s="70"/>
      <c r="I103" s="71"/>
      <c r="J103" s="71"/>
      <c r="K103" s="35" t="s">
        <v>65</v>
      </c>
      <c r="L103" s="79">
        <v>103</v>
      </c>
      <c r="M103" s="79"/>
      <c r="N103" s="73"/>
      <c r="O103" s="81" t="s">
        <v>788</v>
      </c>
      <c r="P103" s="81" t="s">
        <v>325</v>
      </c>
      <c r="Q103" s="84" t="s">
        <v>891</v>
      </c>
      <c r="R103" s="81" t="s">
        <v>414</v>
      </c>
      <c r="S103" s="81" t="s">
        <v>1482</v>
      </c>
      <c r="T103" s="86" t="str">
        <f>HYPERLINK("http://www.youtube.com/channel/UChcsUKOjIQn3EN-ixotwjNQ")</f>
        <v>http://www.youtube.com/channel/UChcsUKOjIQn3EN-ixotwjNQ</v>
      </c>
      <c r="U103" s="81"/>
      <c r="V103" s="81" t="s">
        <v>1885</v>
      </c>
      <c r="W103" s="86" t="str">
        <f>HYPERLINK("https://www.youtube.com/watch?v=wadBvDPeE4E")</f>
        <v>https://www.youtube.com/watch?v=wadBvDPeE4E</v>
      </c>
      <c r="X103" s="81" t="s">
        <v>1886</v>
      </c>
      <c r="Y103" s="81">
        <v>0</v>
      </c>
      <c r="Z103" s="88">
        <v>41202.88518518519</v>
      </c>
      <c r="AA103" s="88">
        <v>41202.88518518519</v>
      </c>
      <c r="AB103" s="81"/>
      <c r="AC103" s="81"/>
      <c r="AD103" s="84" t="s">
        <v>1927</v>
      </c>
      <c r="AE103" s="82">
        <v>1</v>
      </c>
      <c r="AF103" s="83" t="str">
        <f>REPLACE(INDEX(GroupVertices[Group],MATCH(Edges[[#This Row],[Vertex 1]],GroupVertices[Vertex],0)),1,1,"")</f>
        <v>1</v>
      </c>
      <c r="AG103" s="83" t="str">
        <f>REPLACE(INDEX(GroupVertices[Group],MATCH(Edges[[#This Row],[Vertex 2]],GroupVertices[Vertex],0)),1,1,"")</f>
        <v>1</v>
      </c>
      <c r="AH103" s="111">
        <v>0</v>
      </c>
      <c r="AI103" s="112">
        <v>0</v>
      </c>
      <c r="AJ103" s="111">
        <v>1</v>
      </c>
      <c r="AK103" s="112">
        <v>6.666666666666667</v>
      </c>
      <c r="AL103" s="111">
        <v>0</v>
      </c>
      <c r="AM103" s="112">
        <v>0</v>
      </c>
      <c r="AN103" s="111">
        <v>14</v>
      </c>
      <c r="AO103" s="112">
        <v>93.33333333333333</v>
      </c>
      <c r="AP103" s="111">
        <v>15</v>
      </c>
    </row>
    <row r="104" spans="1:42" ht="15">
      <c r="A104" s="65" t="s">
        <v>415</v>
      </c>
      <c r="B104" s="65" t="s">
        <v>786</v>
      </c>
      <c r="C104" s="66" t="s">
        <v>4509</v>
      </c>
      <c r="D104" s="67">
        <v>3</v>
      </c>
      <c r="E104" s="68"/>
      <c r="F104" s="69">
        <v>40</v>
      </c>
      <c r="G104" s="66"/>
      <c r="H104" s="70"/>
      <c r="I104" s="71"/>
      <c r="J104" s="71"/>
      <c r="K104" s="35" t="s">
        <v>65</v>
      </c>
      <c r="L104" s="79">
        <v>104</v>
      </c>
      <c r="M104" s="79"/>
      <c r="N104" s="73"/>
      <c r="O104" s="81" t="s">
        <v>788</v>
      </c>
      <c r="P104" s="81" t="s">
        <v>325</v>
      </c>
      <c r="Q104" s="84" t="s">
        <v>892</v>
      </c>
      <c r="R104" s="81" t="s">
        <v>415</v>
      </c>
      <c r="S104" s="81" t="s">
        <v>1483</v>
      </c>
      <c r="T104" s="86" t="str">
        <f>HYPERLINK("http://www.youtube.com/channel/UCUNy-W4ExRBhmCbCR9dB97A")</f>
        <v>http://www.youtube.com/channel/UCUNy-W4ExRBhmCbCR9dB97A</v>
      </c>
      <c r="U104" s="81"/>
      <c r="V104" s="81" t="s">
        <v>1885</v>
      </c>
      <c r="W104" s="86" t="str">
        <f>HYPERLINK("https://www.youtube.com/watch?v=wadBvDPeE4E")</f>
        <v>https://www.youtube.com/watch?v=wadBvDPeE4E</v>
      </c>
      <c r="X104" s="81" t="s">
        <v>1886</v>
      </c>
      <c r="Y104" s="81">
        <v>0</v>
      </c>
      <c r="Z104" s="88">
        <v>41202.8900462963</v>
      </c>
      <c r="AA104" s="88">
        <v>41202.8900462963</v>
      </c>
      <c r="AB104" s="81"/>
      <c r="AC104" s="81"/>
      <c r="AD104" s="84" t="s">
        <v>1927</v>
      </c>
      <c r="AE104" s="82">
        <v>1</v>
      </c>
      <c r="AF104" s="83" t="str">
        <f>REPLACE(INDEX(GroupVertices[Group],MATCH(Edges[[#This Row],[Vertex 1]],GroupVertices[Vertex],0)),1,1,"")</f>
        <v>1</v>
      </c>
      <c r="AG104" s="83" t="str">
        <f>REPLACE(INDEX(GroupVertices[Group],MATCH(Edges[[#This Row],[Vertex 2]],GroupVertices[Vertex],0)),1,1,"")</f>
        <v>1</v>
      </c>
      <c r="AH104" s="111">
        <v>1</v>
      </c>
      <c r="AI104" s="112">
        <v>4.166666666666667</v>
      </c>
      <c r="AJ104" s="111">
        <v>0</v>
      </c>
      <c r="AK104" s="112">
        <v>0</v>
      </c>
      <c r="AL104" s="111">
        <v>0</v>
      </c>
      <c r="AM104" s="112">
        <v>0</v>
      </c>
      <c r="AN104" s="111">
        <v>23</v>
      </c>
      <c r="AO104" s="112">
        <v>95.83333333333333</v>
      </c>
      <c r="AP104" s="111">
        <v>24</v>
      </c>
    </row>
    <row r="105" spans="1:42" ht="15">
      <c r="A105" s="65" t="s">
        <v>416</v>
      </c>
      <c r="B105" s="65" t="s">
        <v>786</v>
      </c>
      <c r="C105" s="66" t="s">
        <v>4509</v>
      </c>
      <c r="D105" s="67">
        <v>3</v>
      </c>
      <c r="E105" s="68"/>
      <c r="F105" s="69">
        <v>40</v>
      </c>
      <c r="G105" s="66"/>
      <c r="H105" s="70"/>
      <c r="I105" s="71"/>
      <c r="J105" s="71"/>
      <c r="K105" s="35" t="s">
        <v>65</v>
      </c>
      <c r="L105" s="79">
        <v>105</v>
      </c>
      <c r="M105" s="79"/>
      <c r="N105" s="73"/>
      <c r="O105" s="81" t="s">
        <v>788</v>
      </c>
      <c r="P105" s="81" t="s">
        <v>325</v>
      </c>
      <c r="Q105" s="84" t="s">
        <v>893</v>
      </c>
      <c r="R105" s="81" t="s">
        <v>416</v>
      </c>
      <c r="S105" s="81" t="s">
        <v>1484</v>
      </c>
      <c r="T105" s="86" t="str">
        <f>HYPERLINK("http://www.youtube.com/channel/UCV7dUT5Zv3ymhtQKEIkKbhg")</f>
        <v>http://www.youtube.com/channel/UCV7dUT5Zv3ymhtQKEIkKbhg</v>
      </c>
      <c r="U105" s="81"/>
      <c r="V105" s="81" t="s">
        <v>1885</v>
      </c>
      <c r="W105" s="86" t="str">
        <f>HYPERLINK("https://www.youtube.com/watch?v=wadBvDPeE4E")</f>
        <v>https://www.youtube.com/watch?v=wadBvDPeE4E</v>
      </c>
      <c r="X105" s="81" t="s">
        <v>1886</v>
      </c>
      <c r="Y105" s="81">
        <v>0</v>
      </c>
      <c r="Z105" s="88">
        <v>41202.89306712963</v>
      </c>
      <c r="AA105" s="88">
        <v>41202.89306712963</v>
      </c>
      <c r="AB105" s="81"/>
      <c r="AC105" s="81"/>
      <c r="AD105" s="84" t="s">
        <v>1927</v>
      </c>
      <c r="AE105" s="82">
        <v>1</v>
      </c>
      <c r="AF105" s="83" t="str">
        <f>REPLACE(INDEX(GroupVertices[Group],MATCH(Edges[[#This Row],[Vertex 1]],GroupVertices[Vertex],0)),1,1,"")</f>
        <v>1</v>
      </c>
      <c r="AG105" s="83" t="str">
        <f>REPLACE(INDEX(GroupVertices[Group],MATCH(Edges[[#This Row],[Vertex 2]],GroupVertices[Vertex],0)),1,1,"")</f>
        <v>1</v>
      </c>
      <c r="AH105" s="111">
        <v>0</v>
      </c>
      <c r="AI105" s="112">
        <v>0</v>
      </c>
      <c r="AJ105" s="111">
        <v>1</v>
      </c>
      <c r="AK105" s="112">
        <v>11.11111111111111</v>
      </c>
      <c r="AL105" s="111">
        <v>0</v>
      </c>
      <c r="AM105" s="112">
        <v>0</v>
      </c>
      <c r="AN105" s="111">
        <v>8</v>
      </c>
      <c r="AO105" s="112">
        <v>88.88888888888889</v>
      </c>
      <c r="AP105" s="111">
        <v>9</v>
      </c>
    </row>
    <row r="106" spans="1:42" ht="15">
      <c r="A106" s="65" t="s">
        <v>417</v>
      </c>
      <c r="B106" s="65" t="s">
        <v>786</v>
      </c>
      <c r="C106" s="66" t="s">
        <v>4509</v>
      </c>
      <c r="D106" s="67">
        <v>3</v>
      </c>
      <c r="E106" s="68"/>
      <c r="F106" s="69">
        <v>40</v>
      </c>
      <c r="G106" s="66"/>
      <c r="H106" s="70"/>
      <c r="I106" s="71"/>
      <c r="J106" s="71"/>
      <c r="K106" s="35" t="s">
        <v>65</v>
      </c>
      <c r="L106" s="79">
        <v>106</v>
      </c>
      <c r="M106" s="79"/>
      <c r="N106" s="73"/>
      <c r="O106" s="81" t="s">
        <v>788</v>
      </c>
      <c r="P106" s="81" t="s">
        <v>325</v>
      </c>
      <c r="Q106" s="84" t="s">
        <v>894</v>
      </c>
      <c r="R106" s="81" t="s">
        <v>417</v>
      </c>
      <c r="S106" s="81" t="s">
        <v>1485</v>
      </c>
      <c r="T106" s="86" t="str">
        <f>HYPERLINK("http://www.youtube.com/channel/UC_6DgXMGiqWvMAc3BNqkAvA")</f>
        <v>http://www.youtube.com/channel/UC_6DgXMGiqWvMAc3BNqkAvA</v>
      </c>
      <c r="U106" s="81"/>
      <c r="V106" s="81" t="s">
        <v>1885</v>
      </c>
      <c r="W106" s="86" t="str">
        <f>HYPERLINK("https://www.youtube.com/watch?v=wadBvDPeE4E")</f>
        <v>https://www.youtube.com/watch?v=wadBvDPeE4E</v>
      </c>
      <c r="X106" s="81" t="s">
        <v>1886</v>
      </c>
      <c r="Y106" s="81">
        <v>2</v>
      </c>
      <c r="Z106" s="88">
        <v>41202.894328703704</v>
      </c>
      <c r="AA106" s="88">
        <v>41202.894328703704</v>
      </c>
      <c r="AB106" s="81"/>
      <c r="AC106" s="81"/>
      <c r="AD106" s="84" t="s">
        <v>1927</v>
      </c>
      <c r="AE106" s="82">
        <v>1</v>
      </c>
      <c r="AF106" s="83" t="str">
        <f>REPLACE(INDEX(GroupVertices[Group],MATCH(Edges[[#This Row],[Vertex 1]],GroupVertices[Vertex],0)),1,1,"")</f>
        <v>1</v>
      </c>
      <c r="AG106" s="83" t="str">
        <f>REPLACE(INDEX(GroupVertices[Group],MATCH(Edges[[#This Row],[Vertex 2]],GroupVertices[Vertex],0)),1,1,"")</f>
        <v>1</v>
      </c>
      <c r="AH106" s="111">
        <v>2</v>
      </c>
      <c r="AI106" s="112">
        <v>14.285714285714286</v>
      </c>
      <c r="AJ106" s="111">
        <v>0</v>
      </c>
      <c r="AK106" s="112">
        <v>0</v>
      </c>
      <c r="AL106" s="111">
        <v>0</v>
      </c>
      <c r="AM106" s="112">
        <v>0</v>
      </c>
      <c r="AN106" s="111">
        <v>12</v>
      </c>
      <c r="AO106" s="112">
        <v>85.71428571428571</v>
      </c>
      <c r="AP106" s="111">
        <v>14</v>
      </c>
    </row>
    <row r="107" spans="1:42" ht="15">
      <c r="A107" s="65" t="s">
        <v>418</v>
      </c>
      <c r="B107" s="65" t="s">
        <v>786</v>
      </c>
      <c r="C107" s="66" t="s">
        <v>4509</v>
      </c>
      <c r="D107" s="67">
        <v>3</v>
      </c>
      <c r="E107" s="68"/>
      <c r="F107" s="69">
        <v>40</v>
      </c>
      <c r="G107" s="66"/>
      <c r="H107" s="70"/>
      <c r="I107" s="71"/>
      <c r="J107" s="71"/>
      <c r="K107" s="35" t="s">
        <v>65</v>
      </c>
      <c r="L107" s="79">
        <v>107</v>
      </c>
      <c r="M107" s="79"/>
      <c r="N107" s="73"/>
      <c r="O107" s="81" t="s">
        <v>788</v>
      </c>
      <c r="P107" s="81" t="s">
        <v>325</v>
      </c>
      <c r="Q107" s="84" t="s">
        <v>895</v>
      </c>
      <c r="R107" s="81" t="s">
        <v>418</v>
      </c>
      <c r="S107" s="81" t="s">
        <v>1486</v>
      </c>
      <c r="T107" s="86" t="str">
        <f>HYPERLINK("http://www.youtube.com/channel/UCAwS---SMb4W58j0U6MscFw")</f>
        <v>http://www.youtube.com/channel/UCAwS---SMb4W58j0U6MscFw</v>
      </c>
      <c r="U107" s="81"/>
      <c r="V107" s="81" t="s">
        <v>1885</v>
      </c>
      <c r="W107" s="86" t="str">
        <f>HYPERLINK("https://www.youtube.com/watch?v=wadBvDPeE4E")</f>
        <v>https://www.youtube.com/watch?v=wadBvDPeE4E</v>
      </c>
      <c r="X107" s="81" t="s">
        <v>1886</v>
      </c>
      <c r="Y107" s="81">
        <v>0</v>
      </c>
      <c r="Z107" s="88">
        <v>41202.90288194444</v>
      </c>
      <c r="AA107" s="88">
        <v>41202.90288194444</v>
      </c>
      <c r="AB107" s="81"/>
      <c r="AC107" s="81"/>
      <c r="AD107" s="84" t="s">
        <v>1927</v>
      </c>
      <c r="AE107" s="82">
        <v>1</v>
      </c>
      <c r="AF107" s="83" t="str">
        <f>REPLACE(INDEX(GroupVertices[Group],MATCH(Edges[[#This Row],[Vertex 1]],GroupVertices[Vertex],0)),1,1,"")</f>
        <v>1</v>
      </c>
      <c r="AG107" s="83" t="str">
        <f>REPLACE(INDEX(GroupVertices[Group],MATCH(Edges[[#This Row],[Vertex 2]],GroupVertices[Vertex],0)),1,1,"")</f>
        <v>1</v>
      </c>
      <c r="AH107" s="111">
        <v>2</v>
      </c>
      <c r="AI107" s="112">
        <v>5.128205128205129</v>
      </c>
      <c r="AJ107" s="111">
        <v>1</v>
      </c>
      <c r="AK107" s="112">
        <v>2.5641025641025643</v>
      </c>
      <c r="AL107" s="111">
        <v>0</v>
      </c>
      <c r="AM107" s="112">
        <v>0</v>
      </c>
      <c r="AN107" s="111">
        <v>36</v>
      </c>
      <c r="AO107" s="112">
        <v>92.3076923076923</v>
      </c>
      <c r="AP107" s="111">
        <v>39</v>
      </c>
    </row>
    <row r="108" spans="1:42" ht="15">
      <c r="A108" s="65" t="s">
        <v>419</v>
      </c>
      <c r="B108" s="65" t="s">
        <v>786</v>
      </c>
      <c r="C108" s="66" t="s">
        <v>4509</v>
      </c>
      <c r="D108" s="67">
        <v>3</v>
      </c>
      <c r="E108" s="68"/>
      <c r="F108" s="69">
        <v>40</v>
      </c>
      <c r="G108" s="66"/>
      <c r="H108" s="70"/>
      <c r="I108" s="71"/>
      <c r="J108" s="71"/>
      <c r="K108" s="35" t="s">
        <v>65</v>
      </c>
      <c r="L108" s="79">
        <v>108</v>
      </c>
      <c r="M108" s="79"/>
      <c r="N108" s="73"/>
      <c r="O108" s="81" t="s">
        <v>788</v>
      </c>
      <c r="P108" s="81" t="s">
        <v>325</v>
      </c>
      <c r="Q108" s="84" t="s">
        <v>896</v>
      </c>
      <c r="R108" s="81" t="s">
        <v>419</v>
      </c>
      <c r="S108" s="81" t="s">
        <v>1487</v>
      </c>
      <c r="T108" s="86" t="str">
        <f>HYPERLINK("http://www.youtube.com/channel/UCnBCrWFGwSo0iw57PmtgXOQ")</f>
        <v>http://www.youtube.com/channel/UCnBCrWFGwSo0iw57PmtgXOQ</v>
      </c>
      <c r="U108" s="81"/>
      <c r="V108" s="81" t="s">
        <v>1885</v>
      </c>
      <c r="W108" s="86" t="str">
        <f>HYPERLINK("https://www.youtube.com/watch?v=wadBvDPeE4E")</f>
        <v>https://www.youtube.com/watch?v=wadBvDPeE4E</v>
      </c>
      <c r="X108" s="81" t="s">
        <v>1886</v>
      </c>
      <c r="Y108" s="81">
        <v>0</v>
      </c>
      <c r="Z108" s="88">
        <v>41202.90658564815</v>
      </c>
      <c r="AA108" s="88">
        <v>41202.90658564815</v>
      </c>
      <c r="AB108" s="81"/>
      <c r="AC108" s="81"/>
      <c r="AD108" s="84" t="s">
        <v>1927</v>
      </c>
      <c r="AE108" s="82">
        <v>1</v>
      </c>
      <c r="AF108" s="83" t="str">
        <f>REPLACE(INDEX(GroupVertices[Group],MATCH(Edges[[#This Row],[Vertex 1]],GroupVertices[Vertex],0)),1,1,"")</f>
        <v>1</v>
      </c>
      <c r="AG108" s="83" t="str">
        <f>REPLACE(INDEX(GroupVertices[Group],MATCH(Edges[[#This Row],[Vertex 2]],GroupVertices[Vertex],0)),1,1,"")</f>
        <v>1</v>
      </c>
      <c r="AH108" s="111">
        <v>0</v>
      </c>
      <c r="AI108" s="112">
        <v>0</v>
      </c>
      <c r="AJ108" s="111">
        <v>2</v>
      </c>
      <c r="AK108" s="112">
        <v>28.571428571428573</v>
      </c>
      <c r="AL108" s="111">
        <v>0</v>
      </c>
      <c r="AM108" s="112">
        <v>0</v>
      </c>
      <c r="AN108" s="111">
        <v>5</v>
      </c>
      <c r="AO108" s="112">
        <v>71.42857142857143</v>
      </c>
      <c r="AP108" s="111">
        <v>7</v>
      </c>
    </row>
    <row r="109" spans="1:42" ht="15">
      <c r="A109" s="65" t="s">
        <v>420</v>
      </c>
      <c r="B109" s="65" t="s">
        <v>786</v>
      </c>
      <c r="C109" s="66" t="s">
        <v>4509</v>
      </c>
      <c r="D109" s="67">
        <v>3</v>
      </c>
      <c r="E109" s="68"/>
      <c r="F109" s="69">
        <v>40</v>
      </c>
      <c r="G109" s="66"/>
      <c r="H109" s="70"/>
      <c r="I109" s="71"/>
      <c r="J109" s="71"/>
      <c r="K109" s="35" t="s">
        <v>65</v>
      </c>
      <c r="L109" s="79">
        <v>109</v>
      </c>
      <c r="M109" s="79"/>
      <c r="N109" s="73"/>
      <c r="O109" s="81" t="s">
        <v>788</v>
      </c>
      <c r="P109" s="81" t="s">
        <v>325</v>
      </c>
      <c r="Q109" s="84" t="s">
        <v>897</v>
      </c>
      <c r="R109" s="81" t="s">
        <v>420</v>
      </c>
      <c r="S109" s="81" t="s">
        <v>1488</v>
      </c>
      <c r="T109" s="86" t="str">
        <f>HYPERLINK("http://www.youtube.com/channel/UCQeHyoOmC4fF7wKK0qbbwWw")</f>
        <v>http://www.youtube.com/channel/UCQeHyoOmC4fF7wKK0qbbwWw</v>
      </c>
      <c r="U109" s="81"/>
      <c r="V109" s="81" t="s">
        <v>1885</v>
      </c>
      <c r="W109" s="86" t="str">
        <f>HYPERLINK("https://www.youtube.com/watch?v=wadBvDPeE4E")</f>
        <v>https://www.youtube.com/watch?v=wadBvDPeE4E</v>
      </c>
      <c r="X109" s="81" t="s">
        <v>1886</v>
      </c>
      <c r="Y109" s="81">
        <v>0</v>
      </c>
      <c r="Z109" s="88">
        <v>41202.93651620371</v>
      </c>
      <c r="AA109" s="88">
        <v>41202.93651620371</v>
      </c>
      <c r="AB109" s="81"/>
      <c r="AC109" s="81"/>
      <c r="AD109" s="84" t="s">
        <v>1927</v>
      </c>
      <c r="AE109" s="82">
        <v>1</v>
      </c>
      <c r="AF109" s="83" t="str">
        <f>REPLACE(INDEX(GroupVertices[Group],MATCH(Edges[[#This Row],[Vertex 1]],GroupVertices[Vertex],0)),1,1,"")</f>
        <v>1</v>
      </c>
      <c r="AG109" s="83" t="str">
        <f>REPLACE(INDEX(GroupVertices[Group],MATCH(Edges[[#This Row],[Vertex 2]],GroupVertices[Vertex],0)),1,1,"")</f>
        <v>1</v>
      </c>
      <c r="AH109" s="111">
        <v>0</v>
      </c>
      <c r="AI109" s="112">
        <v>0</v>
      </c>
      <c r="AJ109" s="111">
        <v>1</v>
      </c>
      <c r="AK109" s="112">
        <v>7.142857142857143</v>
      </c>
      <c r="AL109" s="111">
        <v>0</v>
      </c>
      <c r="AM109" s="112">
        <v>0</v>
      </c>
      <c r="AN109" s="111">
        <v>13</v>
      </c>
      <c r="AO109" s="112">
        <v>92.85714285714286</v>
      </c>
      <c r="AP109" s="111">
        <v>14</v>
      </c>
    </row>
    <row r="110" spans="1:42" ht="15">
      <c r="A110" s="65" t="s">
        <v>421</v>
      </c>
      <c r="B110" s="65" t="s">
        <v>786</v>
      </c>
      <c r="C110" s="66" t="s">
        <v>4509</v>
      </c>
      <c r="D110" s="67">
        <v>3</v>
      </c>
      <c r="E110" s="68"/>
      <c r="F110" s="69">
        <v>40</v>
      </c>
      <c r="G110" s="66"/>
      <c r="H110" s="70"/>
      <c r="I110" s="71"/>
      <c r="J110" s="71"/>
      <c r="K110" s="35" t="s">
        <v>65</v>
      </c>
      <c r="L110" s="79">
        <v>110</v>
      </c>
      <c r="M110" s="79"/>
      <c r="N110" s="73"/>
      <c r="O110" s="81" t="s">
        <v>788</v>
      </c>
      <c r="P110" s="81" t="s">
        <v>325</v>
      </c>
      <c r="Q110" s="84" t="s">
        <v>898</v>
      </c>
      <c r="R110" s="81" t="s">
        <v>421</v>
      </c>
      <c r="S110" s="81" t="s">
        <v>1489</v>
      </c>
      <c r="T110" s="86" t="str">
        <f>HYPERLINK("http://www.youtube.com/channel/UCmXeLhU-jhO_904i5g-3rYQ")</f>
        <v>http://www.youtube.com/channel/UCmXeLhU-jhO_904i5g-3rYQ</v>
      </c>
      <c r="U110" s="81"/>
      <c r="V110" s="81" t="s">
        <v>1885</v>
      </c>
      <c r="W110" s="86" t="str">
        <f>HYPERLINK("https://www.youtube.com/watch?v=wadBvDPeE4E")</f>
        <v>https://www.youtube.com/watch?v=wadBvDPeE4E</v>
      </c>
      <c r="X110" s="81" t="s">
        <v>1886</v>
      </c>
      <c r="Y110" s="81">
        <v>0</v>
      </c>
      <c r="Z110" s="88">
        <v>41202.95847222222</v>
      </c>
      <c r="AA110" s="88">
        <v>41202.95847222222</v>
      </c>
      <c r="AB110" s="81"/>
      <c r="AC110" s="81"/>
      <c r="AD110" s="84" t="s">
        <v>1927</v>
      </c>
      <c r="AE110" s="82">
        <v>1</v>
      </c>
      <c r="AF110" s="83" t="str">
        <f>REPLACE(INDEX(GroupVertices[Group],MATCH(Edges[[#This Row],[Vertex 1]],GroupVertices[Vertex],0)),1,1,"")</f>
        <v>1</v>
      </c>
      <c r="AG110" s="83" t="str">
        <f>REPLACE(INDEX(GroupVertices[Group],MATCH(Edges[[#This Row],[Vertex 2]],GroupVertices[Vertex],0)),1,1,"")</f>
        <v>1</v>
      </c>
      <c r="AH110" s="111">
        <v>0</v>
      </c>
      <c r="AI110" s="112">
        <v>0</v>
      </c>
      <c r="AJ110" s="111">
        <v>0</v>
      </c>
      <c r="AK110" s="112">
        <v>0</v>
      </c>
      <c r="AL110" s="111">
        <v>0</v>
      </c>
      <c r="AM110" s="112">
        <v>0</v>
      </c>
      <c r="AN110" s="111">
        <v>5</v>
      </c>
      <c r="AO110" s="112">
        <v>100</v>
      </c>
      <c r="AP110" s="111">
        <v>5</v>
      </c>
    </row>
    <row r="111" spans="1:42" ht="15">
      <c r="A111" s="65" t="s">
        <v>422</v>
      </c>
      <c r="B111" s="65" t="s">
        <v>786</v>
      </c>
      <c r="C111" s="66" t="s">
        <v>4509</v>
      </c>
      <c r="D111" s="67">
        <v>3</v>
      </c>
      <c r="E111" s="68"/>
      <c r="F111" s="69">
        <v>40</v>
      </c>
      <c r="G111" s="66"/>
      <c r="H111" s="70"/>
      <c r="I111" s="71"/>
      <c r="J111" s="71"/>
      <c r="K111" s="35" t="s">
        <v>65</v>
      </c>
      <c r="L111" s="79">
        <v>111</v>
      </c>
      <c r="M111" s="79"/>
      <c r="N111" s="73"/>
      <c r="O111" s="81" t="s">
        <v>788</v>
      </c>
      <c r="P111" s="81" t="s">
        <v>325</v>
      </c>
      <c r="Q111" s="84" t="s">
        <v>899</v>
      </c>
      <c r="R111" s="81" t="s">
        <v>422</v>
      </c>
      <c r="S111" s="81" t="s">
        <v>1490</v>
      </c>
      <c r="T111" s="86" t="str">
        <f>HYPERLINK("http://www.youtube.com/channel/UC8uVo-4Qkswfhh1JnIDHU1A")</f>
        <v>http://www.youtube.com/channel/UC8uVo-4Qkswfhh1JnIDHU1A</v>
      </c>
      <c r="U111" s="81"/>
      <c r="V111" s="81" t="s">
        <v>1885</v>
      </c>
      <c r="W111" s="86" t="str">
        <f>HYPERLINK("https://www.youtube.com/watch?v=wadBvDPeE4E")</f>
        <v>https://www.youtube.com/watch?v=wadBvDPeE4E</v>
      </c>
      <c r="X111" s="81" t="s">
        <v>1886</v>
      </c>
      <c r="Y111" s="81">
        <v>2</v>
      </c>
      <c r="Z111" s="88">
        <v>41202.96021990741</v>
      </c>
      <c r="AA111" s="88">
        <v>41202.96021990741</v>
      </c>
      <c r="AB111" s="81"/>
      <c r="AC111" s="81"/>
      <c r="AD111" s="84" t="s">
        <v>1927</v>
      </c>
      <c r="AE111" s="82">
        <v>1</v>
      </c>
      <c r="AF111" s="83" t="str">
        <f>REPLACE(INDEX(GroupVertices[Group],MATCH(Edges[[#This Row],[Vertex 1]],GroupVertices[Vertex],0)),1,1,"")</f>
        <v>1</v>
      </c>
      <c r="AG111" s="83" t="str">
        <f>REPLACE(INDEX(GroupVertices[Group],MATCH(Edges[[#This Row],[Vertex 2]],GroupVertices[Vertex],0)),1,1,"")</f>
        <v>1</v>
      </c>
      <c r="AH111" s="111">
        <v>2</v>
      </c>
      <c r="AI111" s="112">
        <v>9.090909090909092</v>
      </c>
      <c r="AJ111" s="111">
        <v>0</v>
      </c>
      <c r="AK111" s="112">
        <v>0</v>
      </c>
      <c r="AL111" s="111">
        <v>0</v>
      </c>
      <c r="AM111" s="112">
        <v>0</v>
      </c>
      <c r="AN111" s="111">
        <v>20</v>
      </c>
      <c r="AO111" s="112">
        <v>90.9090909090909</v>
      </c>
      <c r="AP111" s="111">
        <v>22</v>
      </c>
    </row>
    <row r="112" spans="1:42" ht="15">
      <c r="A112" s="65" t="s">
        <v>423</v>
      </c>
      <c r="B112" s="65" t="s">
        <v>786</v>
      </c>
      <c r="C112" s="66" t="s">
        <v>4509</v>
      </c>
      <c r="D112" s="67">
        <v>3</v>
      </c>
      <c r="E112" s="68"/>
      <c r="F112" s="69">
        <v>40</v>
      </c>
      <c r="G112" s="66"/>
      <c r="H112" s="70"/>
      <c r="I112" s="71"/>
      <c r="J112" s="71"/>
      <c r="K112" s="35" t="s">
        <v>65</v>
      </c>
      <c r="L112" s="79">
        <v>112</v>
      </c>
      <c r="M112" s="79"/>
      <c r="N112" s="73"/>
      <c r="O112" s="81" t="s">
        <v>788</v>
      </c>
      <c r="P112" s="81" t="s">
        <v>325</v>
      </c>
      <c r="Q112" s="84" t="s">
        <v>900</v>
      </c>
      <c r="R112" s="81" t="s">
        <v>423</v>
      </c>
      <c r="S112" s="81" t="s">
        <v>1491</v>
      </c>
      <c r="T112" s="86" t="str">
        <f>HYPERLINK("http://www.youtube.com/channel/UCzGAjyMHa46G5irNmSYkoww")</f>
        <v>http://www.youtube.com/channel/UCzGAjyMHa46G5irNmSYkoww</v>
      </c>
      <c r="U112" s="81"/>
      <c r="V112" s="81" t="s">
        <v>1885</v>
      </c>
      <c r="W112" s="86" t="str">
        <f>HYPERLINK("https://www.youtube.com/watch?v=wadBvDPeE4E")</f>
        <v>https://www.youtube.com/watch?v=wadBvDPeE4E</v>
      </c>
      <c r="X112" s="81" t="s">
        <v>1886</v>
      </c>
      <c r="Y112" s="81">
        <v>0</v>
      </c>
      <c r="Z112" s="88">
        <v>41202.96857638889</v>
      </c>
      <c r="AA112" s="88">
        <v>41202.96857638889</v>
      </c>
      <c r="AB112" s="81"/>
      <c r="AC112" s="81"/>
      <c r="AD112" s="84" t="s">
        <v>1927</v>
      </c>
      <c r="AE112" s="82">
        <v>1</v>
      </c>
      <c r="AF112" s="83" t="str">
        <f>REPLACE(INDEX(GroupVertices[Group],MATCH(Edges[[#This Row],[Vertex 1]],GroupVertices[Vertex],0)),1,1,"")</f>
        <v>1</v>
      </c>
      <c r="AG112" s="83" t="str">
        <f>REPLACE(INDEX(GroupVertices[Group],MATCH(Edges[[#This Row],[Vertex 2]],GroupVertices[Vertex],0)),1,1,"")</f>
        <v>1</v>
      </c>
      <c r="AH112" s="111">
        <v>0</v>
      </c>
      <c r="AI112" s="112">
        <v>0</v>
      </c>
      <c r="AJ112" s="111">
        <v>0</v>
      </c>
      <c r="AK112" s="112">
        <v>0</v>
      </c>
      <c r="AL112" s="111">
        <v>0</v>
      </c>
      <c r="AM112" s="112">
        <v>0</v>
      </c>
      <c r="AN112" s="111">
        <v>19</v>
      </c>
      <c r="AO112" s="112">
        <v>100</v>
      </c>
      <c r="AP112" s="111">
        <v>19</v>
      </c>
    </row>
    <row r="113" spans="1:42" ht="15">
      <c r="A113" s="65" t="s">
        <v>424</v>
      </c>
      <c r="B113" s="65" t="s">
        <v>786</v>
      </c>
      <c r="C113" s="66" t="s">
        <v>4510</v>
      </c>
      <c r="D113" s="67">
        <v>5.333333333333334</v>
      </c>
      <c r="E113" s="68"/>
      <c r="F113" s="69">
        <v>31.666666666666664</v>
      </c>
      <c r="G113" s="66"/>
      <c r="H113" s="70"/>
      <c r="I113" s="71"/>
      <c r="J113" s="71"/>
      <c r="K113" s="35" t="s">
        <v>65</v>
      </c>
      <c r="L113" s="79">
        <v>113</v>
      </c>
      <c r="M113" s="79"/>
      <c r="N113" s="73"/>
      <c r="O113" s="81" t="s">
        <v>788</v>
      </c>
      <c r="P113" s="81" t="s">
        <v>325</v>
      </c>
      <c r="Q113" s="84" t="s">
        <v>901</v>
      </c>
      <c r="R113" s="81" t="s">
        <v>424</v>
      </c>
      <c r="S113" s="81" t="s">
        <v>1492</v>
      </c>
      <c r="T113" s="86" t="str">
        <f>HYPERLINK("http://www.youtube.com/channel/UCSTY_QywABvaN4FXATnRIXA")</f>
        <v>http://www.youtube.com/channel/UCSTY_QywABvaN4FXATnRIXA</v>
      </c>
      <c r="U113" s="81"/>
      <c r="V113" s="81" t="s">
        <v>1885</v>
      </c>
      <c r="W113" s="86" t="str">
        <f>HYPERLINK("https://www.youtube.com/watch?v=wadBvDPeE4E")</f>
        <v>https://www.youtube.com/watch?v=wadBvDPeE4E</v>
      </c>
      <c r="X113" s="81" t="s">
        <v>1886</v>
      </c>
      <c r="Y113" s="81">
        <v>0</v>
      </c>
      <c r="Z113" s="88">
        <v>41202.77744212963</v>
      </c>
      <c r="AA113" s="88">
        <v>41202.77744212963</v>
      </c>
      <c r="AB113" s="81"/>
      <c r="AC113" s="81"/>
      <c r="AD113" s="84" t="s">
        <v>1927</v>
      </c>
      <c r="AE113" s="82">
        <v>2</v>
      </c>
      <c r="AF113" s="83" t="str">
        <f>REPLACE(INDEX(GroupVertices[Group],MATCH(Edges[[#This Row],[Vertex 1]],GroupVertices[Vertex],0)),1,1,"")</f>
        <v>1</v>
      </c>
      <c r="AG113" s="83" t="str">
        <f>REPLACE(INDEX(GroupVertices[Group],MATCH(Edges[[#This Row],[Vertex 2]],GroupVertices[Vertex],0)),1,1,"")</f>
        <v>1</v>
      </c>
      <c r="AH113" s="111">
        <v>2</v>
      </c>
      <c r="AI113" s="112">
        <v>1.9047619047619047</v>
      </c>
      <c r="AJ113" s="111">
        <v>2</v>
      </c>
      <c r="AK113" s="112">
        <v>1.9047619047619047</v>
      </c>
      <c r="AL113" s="111">
        <v>0</v>
      </c>
      <c r="AM113" s="112">
        <v>0</v>
      </c>
      <c r="AN113" s="111">
        <v>101</v>
      </c>
      <c r="AO113" s="112">
        <v>96.19047619047619</v>
      </c>
      <c r="AP113" s="111">
        <v>105</v>
      </c>
    </row>
    <row r="114" spans="1:42" ht="15">
      <c r="A114" s="65" t="s">
        <v>424</v>
      </c>
      <c r="B114" s="65" t="s">
        <v>786</v>
      </c>
      <c r="C114" s="66" t="s">
        <v>4510</v>
      </c>
      <c r="D114" s="67">
        <v>5.333333333333334</v>
      </c>
      <c r="E114" s="68"/>
      <c r="F114" s="69">
        <v>31.666666666666664</v>
      </c>
      <c r="G114" s="66"/>
      <c r="H114" s="70"/>
      <c r="I114" s="71"/>
      <c r="J114" s="71"/>
      <c r="K114" s="35" t="s">
        <v>65</v>
      </c>
      <c r="L114" s="79">
        <v>114</v>
      </c>
      <c r="M114" s="79"/>
      <c r="N114" s="73"/>
      <c r="O114" s="81" t="s">
        <v>788</v>
      </c>
      <c r="P114" s="81" t="s">
        <v>325</v>
      </c>
      <c r="Q114" s="84" t="s">
        <v>902</v>
      </c>
      <c r="R114" s="81" t="s">
        <v>424</v>
      </c>
      <c r="S114" s="81" t="s">
        <v>1492</v>
      </c>
      <c r="T114" s="86" t="str">
        <f>HYPERLINK("http://www.youtube.com/channel/UCSTY_QywABvaN4FXATnRIXA")</f>
        <v>http://www.youtube.com/channel/UCSTY_QywABvaN4FXATnRIXA</v>
      </c>
      <c r="U114" s="81"/>
      <c r="V114" s="81" t="s">
        <v>1885</v>
      </c>
      <c r="W114" s="86" t="str">
        <f>HYPERLINK("https://www.youtube.com/watch?v=wadBvDPeE4E")</f>
        <v>https://www.youtube.com/watch?v=wadBvDPeE4E</v>
      </c>
      <c r="X114" s="81" t="s">
        <v>1886</v>
      </c>
      <c r="Y114" s="81">
        <v>0</v>
      </c>
      <c r="Z114" s="88">
        <v>41202.98575231482</v>
      </c>
      <c r="AA114" s="88">
        <v>41202.98575231482</v>
      </c>
      <c r="AB114" s="81"/>
      <c r="AC114" s="81"/>
      <c r="AD114" s="84" t="s">
        <v>1927</v>
      </c>
      <c r="AE114" s="82">
        <v>2</v>
      </c>
      <c r="AF114" s="83" t="str">
        <f>REPLACE(INDEX(GroupVertices[Group],MATCH(Edges[[#This Row],[Vertex 1]],GroupVertices[Vertex],0)),1,1,"")</f>
        <v>1</v>
      </c>
      <c r="AG114" s="83" t="str">
        <f>REPLACE(INDEX(GroupVertices[Group],MATCH(Edges[[#This Row],[Vertex 2]],GroupVertices[Vertex],0)),1,1,"")</f>
        <v>1</v>
      </c>
      <c r="AH114" s="111">
        <v>2</v>
      </c>
      <c r="AI114" s="112">
        <v>25</v>
      </c>
      <c r="AJ114" s="111">
        <v>0</v>
      </c>
      <c r="AK114" s="112">
        <v>0</v>
      </c>
      <c r="AL114" s="111">
        <v>0</v>
      </c>
      <c r="AM114" s="112">
        <v>0</v>
      </c>
      <c r="AN114" s="111">
        <v>6</v>
      </c>
      <c r="AO114" s="112">
        <v>75</v>
      </c>
      <c r="AP114" s="111">
        <v>8</v>
      </c>
    </row>
    <row r="115" spans="1:42" ht="15">
      <c r="A115" s="65" t="s">
        <v>425</v>
      </c>
      <c r="B115" s="65" t="s">
        <v>786</v>
      </c>
      <c r="C115" s="66" t="s">
        <v>4509</v>
      </c>
      <c r="D115" s="67">
        <v>3</v>
      </c>
      <c r="E115" s="68"/>
      <c r="F115" s="69">
        <v>40</v>
      </c>
      <c r="G115" s="66"/>
      <c r="H115" s="70"/>
      <c r="I115" s="71"/>
      <c r="J115" s="71"/>
      <c r="K115" s="35" t="s">
        <v>65</v>
      </c>
      <c r="L115" s="79">
        <v>115</v>
      </c>
      <c r="M115" s="79"/>
      <c r="N115" s="73"/>
      <c r="O115" s="81" t="s">
        <v>788</v>
      </c>
      <c r="P115" s="81" t="s">
        <v>325</v>
      </c>
      <c r="Q115" s="84" t="s">
        <v>903</v>
      </c>
      <c r="R115" s="81" t="s">
        <v>425</v>
      </c>
      <c r="S115" s="81" t="s">
        <v>1493</v>
      </c>
      <c r="T115" s="86" t="str">
        <f>HYPERLINK("http://www.youtube.com/channel/UCPrGDitzcCE-AIYo3ePy-Qg")</f>
        <v>http://www.youtube.com/channel/UCPrGDitzcCE-AIYo3ePy-Qg</v>
      </c>
      <c r="U115" s="81"/>
      <c r="V115" s="81" t="s">
        <v>1885</v>
      </c>
      <c r="W115" s="86" t="str">
        <f>HYPERLINK("https://www.youtube.com/watch?v=wadBvDPeE4E")</f>
        <v>https://www.youtube.com/watch?v=wadBvDPeE4E</v>
      </c>
      <c r="X115" s="81" t="s">
        <v>1886</v>
      </c>
      <c r="Y115" s="81">
        <v>0</v>
      </c>
      <c r="Z115" s="88">
        <v>41203.00539351852</v>
      </c>
      <c r="AA115" s="88">
        <v>41203.00539351852</v>
      </c>
      <c r="AB115" s="81"/>
      <c r="AC115" s="81"/>
      <c r="AD115" s="84" t="s">
        <v>1927</v>
      </c>
      <c r="AE115" s="82">
        <v>1</v>
      </c>
      <c r="AF115" s="83" t="str">
        <f>REPLACE(INDEX(GroupVertices[Group],MATCH(Edges[[#This Row],[Vertex 1]],GroupVertices[Vertex],0)),1,1,"")</f>
        <v>1</v>
      </c>
      <c r="AG115" s="83" t="str">
        <f>REPLACE(INDEX(GroupVertices[Group],MATCH(Edges[[#This Row],[Vertex 2]],GroupVertices[Vertex],0)),1,1,"")</f>
        <v>1</v>
      </c>
      <c r="AH115" s="111">
        <v>0</v>
      </c>
      <c r="AI115" s="112">
        <v>0</v>
      </c>
      <c r="AJ115" s="111">
        <v>0</v>
      </c>
      <c r="AK115" s="112">
        <v>0</v>
      </c>
      <c r="AL115" s="111">
        <v>0</v>
      </c>
      <c r="AM115" s="112">
        <v>0</v>
      </c>
      <c r="AN115" s="111">
        <v>17</v>
      </c>
      <c r="AO115" s="112">
        <v>100</v>
      </c>
      <c r="AP115" s="111">
        <v>17</v>
      </c>
    </row>
    <row r="116" spans="1:42" ht="15">
      <c r="A116" s="65" t="s">
        <v>426</v>
      </c>
      <c r="B116" s="65" t="s">
        <v>786</v>
      </c>
      <c r="C116" s="66" t="s">
        <v>4514</v>
      </c>
      <c r="D116" s="67">
        <v>10</v>
      </c>
      <c r="E116" s="68"/>
      <c r="F116" s="69">
        <v>15</v>
      </c>
      <c r="G116" s="66"/>
      <c r="H116" s="70"/>
      <c r="I116" s="71"/>
      <c r="J116" s="71"/>
      <c r="K116" s="35" t="s">
        <v>65</v>
      </c>
      <c r="L116" s="79">
        <v>116</v>
      </c>
      <c r="M116" s="79"/>
      <c r="N116" s="73"/>
      <c r="O116" s="81" t="s">
        <v>788</v>
      </c>
      <c r="P116" s="81" t="s">
        <v>325</v>
      </c>
      <c r="Q116" s="84" t="s">
        <v>904</v>
      </c>
      <c r="R116" s="81" t="s">
        <v>426</v>
      </c>
      <c r="S116" s="81" t="s">
        <v>1494</v>
      </c>
      <c r="T116" s="86" t="str">
        <f>HYPERLINK("http://www.youtube.com/channel/UC1SiIVeKEpTKK_Amm_F3x9w")</f>
        <v>http://www.youtube.com/channel/UC1SiIVeKEpTKK_Amm_F3x9w</v>
      </c>
      <c r="U116" s="81"/>
      <c r="V116" s="81" t="s">
        <v>1885</v>
      </c>
      <c r="W116" s="86" t="str">
        <f>HYPERLINK("https://www.youtube.com/watch?v=wadBvDPeE4E")</f>
        <v>https://www.youtube.com/watch?v=wadBvDPeE4E</v>
      </c>
      <c r="X116" s="81" t="s">
        <v>1886</v>
      </c>
      <c r="Y116" s="81">
        <v>0</v>
      </c>
      <c r="Z116" s="88">
        <v>41202.57462962963</v>
      </c>
      <c r="AA116" s="88">
        <v>41202.57462962963</v>
      </c>
      <c r="AB116" s="81"/>
      <c r="AC116" s="81"/>
      <c r="AD116" s="84" t="s">
        <v>1927</v>
      </c>
      <c r="AE116" s="82">
        <v>7</v>
      </c>
      <c r="AF116" s="83" t="str">
        <f>REPLACE(INDEX(GroupVertices[Group],MATCH(Edges[[#This Row],[Vertex 1]],GroupVertices[Vertex],0)),1,1,"")</f>
        <v>1</v>
      </c>
      <c r="AG116" s="83" t="str">
        <f>REPLACE(INDEX(GroupVertices[Group],MATCH(Edges[[#This Row],[Vertex 2]],GroupVertices[Vertex],0)),1,1,"")</f>
        <v>1</v>
      </c>
      <c r="AH116" s="111">
        <v>0</v>
      </c>
      <c r="AI116" s="112">
        <v>0</v>
      </c>
      <c r="AJ116" s="111">
        <v>0</v>
      </c>
      <c r="AK116" s="112">
        <v>0</v>
      </c>
      <c r="AL116" s="111">
        <v>0</v>
      </c>
      <c r="AM116" s="112">
        <v>0</v>
      </c>
      <c r="AN116" s="111">
        <v>1</v>
      </c>
      <c r="AO116" s="112">
        <v>100</v>
      </c>
      <c r="AP116" s="111">
        <v>1</v>
      </c>
    </row>
    <row r="117" spans="1:42" ht="15">
      <c r="A117" s="65" t="s">
        <v>426</v>
      </c>
      <c r="B117" s="65" t="s">
        <v>786</v>
      </c>
      <c r="C117" s="66" t="s">
        <v>4514</v>
      </c>
      <c r="D117" s="67">
        <v>10</v>
      </c>
      <c r="E117" s="68"/>
      <c r="F117" s="69">
        <v>15</v>
      </c>
      <c r="G117" s="66"/>
      <c r="H117" s="70"/>
      <c r="I117" s="71"/>
      <c r="J117" s="71"/>
      <c r="K117" s="35" t="s">
        <v>65</v>
      </c>
      <c r="L117" s="79">
        <v>117</v>
      </c>
      <c r="M117" s="79"/>
      <c r="N117" s="73"/>
      <c r="O117" s="81" t="s">
        <v>788</v>
      </c>
      <c r="P117" s="81" t="s">
        <v>325</v>
      </c>
      <c r="Q117" s="84" t="s">
        <v>905</v>
      </c>
      <c r="R117" s="81" t="s">
        <v>426</v>
      </c>
      <c r="S117" s="81" t="s">
        <v>1494</v>
      </c>
      <c r="T117" s="86" t="str">
        <f>HYPERLINK("http://www.youtube.com/channel/UC1SiIVeKEpTKK_Amm_F3x9w")</f>
        <v>http://www.youtube.com/channel/UC1SiIVeKEpTKK_Amm_F3x9w</v>
      </c>
      <c r="U117" s="81"/>
      <c r="V117" s="81" t="s">
        <v>1885</v>
      </c>
      <c r="W117" s="86" t="str">
        <f>HYPERLINK("https://www.youtube.com/watch?v=wadBvDPeE4E")</f>
        <v>https://www.youtube.com/watch?v=wadBvDPeE4E</v>
      </c>
      <c r="X117" s="81" t="s">
        <v>1886</v>
      </c>
      <c r="Y117" s="81">
        <v>0</v>
      </c>
      <c r="Z117" s="88">
        <v>41202.575162037036</v>
      </c>
      <c r="AA117" s="88">
        <v>41202.575162037036</v>
      </c>
      <c r="AB117" s="81"/>
      <c r="AC117" s="81"/>
      <c r="AD117" s="84" t="s">
        <v>1927</v>
      </c>
      <c r="AE117" s="82">
        <v>7</v>
      </c>
      <c r="AF117" s="83" t="str">
        <f>REPLACE(INDEX(GroupVertices[Group],MATCH(Edges[[#This Row],[Vertex 1]],GroupVertices[Vertex],0)),1,1,"")</f>
        <v>1</v>
      </c>
      <c r="AG117" s="83" t="str">
        <f>REPLACE(INDEX(GroupVertices[Group],MATCH(Edges[[#This Row],[Vertex 2]],GroupVertices[Vertex],0)),1,1,"")</f>
        <v>1</v>
      </c>
      <c r="AH117" s="111">
        <v>1</v>
      </c>
      <c r="AI117" s="112">
        <v>16.666666666666668</v>
      </c>
      <c r="AJ117" s="111">
        <v>1</v>
      </c>
      <c r="AK117" s="112">
        <v>16.666666666666668</v>
      </c>
      <c r="AL117" s="111">
        <v>0</v>
      </c>
      <c r="AM117" s="112">
        <v>0</v>
      </c>
      <c r="AN117" s="111">
        <v>4</v>
      </c>
      <c r="AO117" s="112">
        <v>66.66666666666667</v>
      </c>
      <c r="AP117" s="111">
        <v>6</v>
      </c>
    </row>
    <row r="118" spans="1:42" ht="15">
      <c r="A118" s="65" t="s">
        <v>426</v>
      </c>
      <c r="B118" s="65" t="s">
        <v>786</v>
      </c>
      <c r="C118" s="66" t="s">
        <v>4514</v>
      </c>
      <c r="D118" s="67">
        <v>10</v>
      </c>
      <c r="E118" s="68"/>
      <c r="F118" s="69">
        <v>15</v>
      </c>
      <c r="G118" s="66"/>
      <c r="H118" s="70"/>
      <c r="I118" s="71"/>
      <c r="J118" s="71"/>
      <c r="K118" s="35" t="s">
        <v>65</v>
      </c>
      <c r="L118" s="79">
        <v>118</v>
      </c>
      <c r="M118" s="79"/>
      <c r="N118" s="73"/>
      <c r="O118" s="81" t="s">
        <v>788</v>
      </c>
      <c r="P118" s="81" t="s">
        <v>325</v>
      </c>
      <c r="Q118" s="84" t="s">
        <v>906</v>
      </c>
      <c r="R118" s="81" t="s">
        <v>426</v>
      </c>
      <c r="S118" s="81" t="s">
        <v>1494</v>
      </c>
      <c r="T118" s="86" t="str">
        <f>HYPERLINK("http://www.youtube.com/channel/UC1SiIVeKEpTKK_Amm_F3x9w")</f>
        <v>http://www.youtube.com/channel/UC1SiIVeKEpTKK_Amm_F3x9w</v>
      </c>
      <c r="U118" s="81"/>
      <c r="V118" s="81" t="s">
        <v>1885</v>
      </c>
      <c r="W118" s="86" t="str">
        <f>HYPERLINK("https://www.youtube.com/watch?v=wadBvDPeE4E")</f>
        <v>https://www.youtube.com/watch?v=wadBvDPeE4E</v>
      </c>
      <c r="X118" s="81" t="s">
        <v>1886</v>
      </c>
      <c r="Y118" s="81">
        <v>0</v>
      </c>
      <c r="Z118" s="88">
        <v>41202.58298611111</v>
      </c>
      <c r="AA118" s="88">
        <v>41202.58298611111</v>
      </c>
      <c r="AB118" s="81"/>
      <c r="AC118" s="81"/>
      <c r="AD118" s="84" t="s">
        <v>1927</v>
      </c>
      <c r="AE118" s="82">
        <v>7</v>
      </c>
      <c r="AF118" s="83" t="str">
        <f>REPLACE(INDEX(GroupVertices[Group],MATCH(Edges[[#This Row],[Vertex 1]],GroupVertices[Vertex],0)),1,1,"")</f>
        <v>1</v>
      </c>
      <c r="AG118" s="83" t="str">
        <f>REPLACE(INDEX(GroupVertices[Group],MATCH(Edges[[#This Row],[Vertex 2]],GroupVertices[Vertex],0)),1,1,"")</f>
        <v>1</v>
      </c>
      <c r="AH118" s="111">
        <v>0</v>
      </c>
      <c r="AI118" s="112">
        <v>0</v>
      </c>
      <c r="AJ118" s="111">
        <v>0</v>
      </c>
      <c r="AK118" s="112">
        <v>0</v>
      </c>
      <c r="AL118" s="111">
        <v>0</v>
      </c>
      <c r="AM118" s="112">
        <v>0</v>
      </c>
      <c r="AN118" s="111">
        <v>6</v>
      </c>
      <c r="AO118" s="112">
        <v>100</v>
      </c>
      <c r="AP118" s="111">
        <v>6</v>
      </c>
    </row>
    <row r="119" spans="1:42" ht="15">
      <c r="A119" s="65" t="s">
        <v>426</v>
      </c>
      <c r="B119" s="65" t="s">
        <v>786</v>
      </c>
      <c r="C119" s="66" t="s">
        <v>4514</v>
      </c>
      <c r="D119" s="67">
        <v>10</v>
      </c>
      <c r="E119" s="68"/>
      <c r="F119" s="69">
        <v>15</v>
      </c>
      <c r="G119" s="66"/>
      <c r="H119" s="70"/>
      <c r="I119" s="71"/>
      <c r="J119" s="71"/>
      <c r="K119" s="35" t="s">
        <v>65</v>
      </c>
      <c r="L119" s="79">
        <v>119</v>
      </c>
      <c r="M119" s="79"/>
      <c r="N119" s="73"/>
      <c r="O119" s="81" t="s">
        <v>788</v>
      </c>
      <c r="P119" s="81" t="s">
        <v>325</v>
      </c>
      <c r="Q119" s="84" t="s">
        <v>907</v>
      </c>
      <c r="R119" s="81" t="s">
        <v>426</v>
      </c>
      <c r="S119" s="81" t="s">
        <v>1494</v>
      </c>
      <c r="T119" s="86" t="str">
        <f>HYPERLINK("http://www.youtube.com/channel/UC1SiIVeKEpTKK_Amm_F3x9w")</f>
        <v>http://www.youtube.com/channel/UC1SiIVeKEpTKK_Amm_F3x9w</v>
      </c>
      <c r="U119" s="81"/>
      <c r="V119" s="81" t="s">
        <v>1885</v>
      </c>
      <c r="W119" s="86" t="str">
        <f>HYPERLINK("https://www.youtube.com/watch?v=wadBvDPeE4E")</f>
        <v>https://www.youtube.com/watch?v=wadBvDPeE4E</v>
      </c>
      <c r="X119" s="81" t="s">
        <v>1886</v>
      </c>
      <c r="Y119" s="81">
        <v>0</v>
      </c>
      <c r="Z119" s="88">
        <v>41202.58930555556</v>
      </c>
      <c r="AA119" s="88">
        <v>41202.58930555556</v>
      </c>
      <c r="AB119" s="81"/>
      <c r="AC119" s="81"/>
      <c r="AD119" s="84" t="s">
        <v>1927</v>
      </c>
      <c r="AE119" s="82">
        <v>7</v>
      </c>
      <c r="AF119" s="83" t="str">
        <f>REPLACE(INDEX(GroupVertices[Group],MATCH(Edges[[#This Row],[Vertex 1]],GroupVertices[Vertex],0)),1,1,"")</f>
        <v>1</v>
      </c>
      <c r="AG119" s="83" t="str">
        <f>REPLACE(INDEX(GroupVertices[Group],MATCH(Edges[[#This Row],[Vertex 2]],GroupVertices[Vertex],0)),1,1,"")</f>
        <v>1</v>
      </c>
      <c r="AH119" s="111">
        <v>0</v>
      </c>
      <c r="AI119" s="112">
        <v>0</v>
      </c>
      <c r="AJ119" s="111">
        <v>1</v>
      </c>
      <c r="AK119" s="112">
        <v>9.090909090909092</v>
      </c>
      <c r="AL119" s="111">
        <v>0</v>
      </c>
      <c r="AM119" s="112">
        <v>0</v>
      </c>
      <c r="AN119" s="111">
        <v>10</v>
      </c>
      <c r="AO119" s="112">
        <v>90.9090909090909</v>
      </c>
      <c r="AP119" s="111">
        <v>11</v>
      </c>
    </row>
    <row r="120" spans="1:42" ht="15">
      <c r="A120" s="65" t="s">
        <v>426</v>
      </c>
      <c r="B120" s="65" t="s">
        <v>786</v>
      </c>
      <c r="C120" s="66" t="s">
        <v>4514</v>
      </c>
      <c r="D120" s="67">
        <v>10</v>
      </c>
      <c r="E120" s="68"/>
      <c r="F120" s="69">
        <v>15</v>
      </c>
      <c r="G120" s="66"/>
      <c r="H120" s="70"/>
      <c r="I120" s="71"/>
      <c r="J120" s="71"/>
      <c r="K120" s="35" t="s">
        <v>65</v>
      </c>
      <c r="L120" s="79">
        <v>120</v>
      </c>
      <c r="M120" s="79"/>
      <c r="N120" s="73"/>
      <c r="O120" s="81" t="s">
        <v>788</v>
      </c>
      <c r="P120" s="81" t="s">
        <v>325</v>
      </c>
      <c r="Q120" s="84" t="s">
        <v>908</v>
      </c>
      <c r="R120" s="81" t="s">
        <v>426</v>
      </c>
      <c r="S120" s="81" t="s">
        <v>1494</v>
      </c>
      <c r="T120" s="86" t="str">
        <f>HYPERLINK("http://www.youtube.com/channel/UC1SiIVeKEpTKK_Amm_F3x9w")</f>
        <v>http://www.youtube.com/channel/UC1SiIVeKEpTKK_Amm_F3x9w</v>
      </c>
      <c r="U120" s="81"/>
      <c r="V120" s="81" t="s">
        <v>1885</v>
      </c>
      <c r="W120" s="86" t="str">
        <f>HYPERLINK("https://www.youtube.com/watch?v=wadBvDPeE4E")</f>
        <v>https://www.youtube.com/watch?v=wadBvDPeE4E</v>
      </c>
      <c r="X120" s="81" t="s">
        <v>1886</v>
      </c>
      <c r="Y120" s="81">
        <v>0</v>
      </c>
      <c r="Z120" s="88">
        <v>41202.798263888886</v>
      </c>
      <c r="AA120" s="88">
        <v>41202.798263888886</v>
      </c>
      <c r="AB120" s="81"/>
      <c r="AC120" s="81"/>
      <c r="AD120" s="84" t="s">
        <v>1927</v>
      </c>
      <c r="AE120" s="82">
        <v>7</v>
      </c>
      <c r="AF120" s="83" t="str">
        <f>REPLACE(INDEX(GroupVertices[Group],MATCH(Edges[[#This Row],[Vertex 1]],GroupVertices[Vertex],0)),1,1,"")</f>
        <v>1</v>
      </c>
      <c r="AG120" s="83" t="str">
        <f>REPLACE(INDEX(GroupVertices[Group],MATCH(Edges[[#This Row],[Vertex 2]],GroupVertices[Vertex],0)),1,1,"")</f>
        <v>1</v>
      </c>
      <c r="AH120" s="111">
        <v>4</v>
      </c>
      <c r="AI120" s="112">
        <v>4.651162790697675</v>
      </c>
      <c r="AJ120" s="111">
        <v>3</v>
      </c>
      <c r="AK120" s="112">
        <v>3.488372093023256</v>
      </c>
      <c r="AL120" s="111">
        <v>0</v>
      </c>
      <c r="AM120" s="112">
        <v>0</v>
      </c>
      <c r="AN120" s="111">
        <v>79</v>
      </c>
      <c r="AO120" s="112">
        <v>91.86046511627907</v>
      </c>
      <c r="AP120" s="111">
        <v>86</v>
      </c>
    </row>
    <row r="121" spans="1:42" ht="15">
      <c r="A121" s="65" t="s">
        <v>426</v>
      </c>
      <c r="B121" s="65" t="s">
        <v>786</v>
      </c>
      <c r="C121" s="66" t="s">
        <v>4514</v>
      </c>
      <c r="D121" s="67">
        <v>10</v>
      </c>
      <c r="E121" s="68"/>
      <c r="F121" s="69">
        <v>15</v>
      </c>
      <c r="G121" s="66"/>
      <c r="H121" s="70"/>
      <c r="I121" s="71"/>
      <c r="J121" s="71"/>
      <c r="K121" s="35" t="s">
        <v>65</v>
      </c>
      <c r="L121" s="79">
        <v>121</v>
      </c>
      <c r="M121" s="79"/>
      <c r="N121" s="73"/>
      <c r="O121" s="81" t="s">
        <v>788</v>
      </c>
      <c r="P121" s="81" t="s">
        <v>325</v>
      </c>
      <c r="Q121" s="84" t="s">
        <v>909</v>
      </c>
      <c r="R121" s="81" t="s">
        <v>426</v>
      </c>
      <c r="S121" s="81" t="s">
        <v>1494</v>
      </c>
      <c r="T121" s="86" t="str">
        <f>HYPERLINK("http://www.youtube.com/channel/UC1SiIVeKEpTKK_Amm_F3x9w")</f>
        <v>http://www.youtube.com/channel/UC1SiIVeKEpTKK_Amm_F3x9w</v>
      </c>
      <c r="U121" s="81"/>
      <c r="V121" s="81" t="s">
        <v>1885</v>
      </c>
      <c r="W121" s="86" t="str">
        <f>HYPERLINK("https://www.youtube.com/watch?v=wadBvDPeE4E")</f>
        <v>https://www.youtube.com/watch?v=wadBvDPeE4E</v>
      </c>
      <c r="X121" s="81" t="s">
        <v>1886</v>
      </c>
      <c r="Y121" s="81">
        <v>0</v>
      </c>
      <c r="Z121" s="88">
        <v>41202.79880787037</v>
      </c>
      <c r="AA121" s="88">
        <v>41202.79880787037</v>
      </c>
      <c r="AB121" s="81"/>
      <c r="AC121" s="81"/>
      <c r="AD121" s="84" t="s">
        <v>1927</v>
      </c>
      <c r="AE121" s="82">
        <v>7</v>
      </c>
      <c r="AF121" s="83" t="str">
        <f>REPLACE(INDEX(GroupVertices[Group],MATCH(Edges[[#This Row],[Vertex 1]],GroupVertices[Vertex],0)),1,1,"")</f>
        <v>1</v>
      </c>
      <c r="AG121" s="83" t="str">
        <f>REPLACE(INDEX(GroupVertices[Group],MATCH(Edges[[#This Row],[Vertex 2]],GroupVertices[Vertex],0)),1,1,"")</f>
        <v>1</v>
      </c>
      <c r="AH121" s="111">
        <v>0</v>
      </c>
      <c r="AI121" s="112">
        <v>0</v>
      </c>
      <c r="AJ121" s="111">
        <v>3</v>
      </c>
      <c r="AK121" s="112">
        <v>13.636363636363637</v>
      </c>
      <c r="AL121" s="111">
        <v>0</v>
      </c>
      <c r="AM121" s="112">
        <v>0</v>
      </c>
      <c r="AN121" s="111">
        <v>19</v>
      </c>
      <c r="AO121" s="112">
        <v>86.36363636363636</v>
      </c>
      <c r="AP121" s="111">
        <v>22</v>
      </c>
    </row>
    <row r="122" spans="1:42" ht="15">
      <c r="A122" s="65" t="s">
        <v>426</v>
      </c>
      <c r="B122" s="65" t="s">
        <v>786</v>
      </c>
      <c r="C122" s="66" t="s">
        <v>4514</v>
      </c>
      <c r="D122" s="67">
        <v>10</v>
      </c>
      <c r="E122" s="68"/>
      <c r="F122" s="69">
        <v>15</v>
      </c>
      <c r="G122" s="66"/>
      <c r="H122" s="70"/>
      <c r="I122" s="71"/>
      <c r="J122" s="71"/>
      <c r="K122" s="35" t="s">
        <v>65</v>
      </c>
      <c r="L122" s="79">
        <v>122</v>
      </c>
      <c r="M122" s="79"/>
      <c r="N122" s="73"/>
      <c r="O122" s="81" t="s">
        <v>788</v>
      </c>
      <c r="P122" s="81" t="s">
        <v>325</v>
      </c>
      <c r="Q122" s="84" t="s">
        <v>910</v>
      </c>
      <c r="R122" s="81" t="s">
        <v>426</v>
      </c>
      <c r="S122" s="81" t="s">
        <v>1494</v>
      </c>
      <c r="T122" s="86" t="str">
        <f>HYPERLINK("http://www.youtube.com/channel/UC1SiIVeKEpTKK_Amm_F3x9w")</f>
        <v>http://www.youtube.com/channel/UC1SiIVeKEpTKK_Amm_F3x9w</v>
      </c>
      <c r="U122" s="81"/>
      <c r="V122" s="81" t="s">
        <v>1885</v>
      </c>
      <c r="W122" s="86" t="str">
        <f>HYPERLINK("https://www.youtube.com/watch?v=wadBvDPeE4E")</f>
        <v>https://www.youtube.com/watch?v=wadBvDPeE4E</v>
      </c>
      <c r="X122" s="81" t="s">
        <v>1886</v>
      </c>
      <c r="Y122" s="81">
        <v>0</v>
      </c>
      <c r="Z122" s="88">
        <v>41203.017118055555</v>
      </c>
      <c r="AA122" s="88">
        <v>41203.017118055555</v>
      </c>
      <c r="AB122" s="81"/>
      <c r="AC122" s="81"/>
      <c r="AD122" s="84" t="s">
        <v>1927</v>
      </c>
      <c r="AE122" s="82">
        <v>7</v>
      </c>
      <c r="AF122" s="83" t="str">
        <f>REPLACE(INDEX(GroupVertices[Group],MATCH(Edges[[#This Row],[Vertex 1]],GroupVertices[Vertex],0)),1,1,"")</f>
        <v>1</v>
      </c>
      <c r="AG122" s="83" t="str">
        <f>REPLACE(INDEX(GroupVertices[Group],MATCH(Edges[[#This Row],[Vertex 2]],GroupVertices[Vertex],0)),1,1,"")</f>
        <v>1</v>
      </c>
      <c r="AH122" s="111">
        <v>1</v>
      </c>
      <c r="AI122" s="112">
        <v>1.694915254237288</v>
      </c>
      <c r="AJ122" s="111">
        <v>2</v>
      </c>
      <c r="AK122" s="112">
        <v>3.389830508474576</v>
      </c>
      <c r="AL122" s="111">
        <v>0</v>
      </c>
      <c r="AM122" s="112">
        <v>0</v>
      </c>
      <c r="AN122" s="111">
        <v>56</v>
      </c>
      <c r="AO122" s="112">
        <v>94.91525423728814</v>
      </c>
      <c r="AP122" s="111">
        <v>59</v>
      </c>
    </row>
    <row r="123" spans="1:42" ht="15">
      <c r="A123" s="65" t="s">
        <v>427</v>
      </c>
      <c r="B123" s="65" t="s">
        <v>786</v>
      </c>
      <c r="C123" s="66" t="s">
        <v>4509</v>
      </c>
      <c r="D123" s="67">
        <v>3</v>
      </c>
      <c r="E123" s="68"/>
      <c r="F123" s="69">
        <v>40</v>
      </c>
      <c r="G123" s="66"/>
      <c r="H123" s="70"/>
      <c r="I123" s="71"/>
      <c r="J123" s="71"/>
      <c r="K123" s="35" t="s">
        <v>65</v>
      </c>
      <c r="L123" s="79">
        <v>123</v>
      </c>
      <c r="M123" s="79"/>
      <c r="N123" s="73"/>
      <c r="O123" s="81" t="s">
        <v>788</v>
      </c>
      <c r="P123" s="81" t="s">
        <v>325</v>
      </c>
      <c r="Q123" s="84" t="s">
        <v>911</v>
      </c>
      <c r="R123" s="81" t="s">
        <v>427</v>
      </c>
      <c r="S123" s="81" t="s">
        <v>1495</v>
      </c>
      <c r="T123" s="86" t="str">
        <f>HYPERLINK("http://www.youtube.com/channel/UCEYbT6ad_ujYYDu6E1ev3Zw")</f>
        <v>http://www.youtube.com/channel/UCEYbT6ad_ujYYDu6E1ev3Zw</v>
      </c>
      <c r="U123" s="81"/>
      <c r="V123" s="81" t="s">
        <v>1885</v>
      </c>
      <c r="W123" s="86" t="str">
        <f>HYPERLINK("https://www.youtube.com/watch?v=wadBvDPeE4E")</f>
        <v>https://www.youtube.com/watch?v=wadBvDPeE4E</v>
      </c>
      <c r="X123" s="81" t="s">
        <v>1886</v>
      </c>
      <c r="Y123" s="81">
        <v>0</v>
      </c>
      <c r="Z123" s="88">
        <v>41203.0222337963</v>
      </c>
      <c r="AA123" s="88">
        <v>41203.0222337963</v>
      </c>
      <c r="AB123" s="81"/>
      <c r="AC123" s="81"/>
      <c r="AD123" s="84" t="s">
        <v>1927</v>
      </c>
      <c r="AE123" s="82">
        <v>1</v>
      </c>
      <c r="AF123" s="83" t="str">
        <f>REPLACE(INDEX(GroupVertices[Group],MATCH(Edges[[#This Row],[Vertex 1]],GroupVertices[Vertex],0)),1,1,"")</f>
        <v>1</v>
      </c>
      <c r="AG123" s="83" t="str">
        <f>REPLACE(INDEX(GroupVertices[Group],MATCH(Edges[[#This Row],[Vertex 2]],GroupVertices[Vertex],0)),1,1,"")</f>
        <v>1</v>
      </c>
      <c r="AH123" s="111">
        <v>5</v>
      </c>
      <c r="AI123" s="112">
        <v>11.904761904761905</v>
      </c>
      <c r="AJ123" s="111">
        <v>1</v>
      </c>
      <c r="AK123" s="112">
        <v>2.380952380952381</v>
      </c>
      <c r="AL123" s="111">
        <v>0</v>
      </c>
      <c r="AM123" s="112">
        <v>0</v>
      </c>
      <c r="AN123" s="111">
        <v>36</v>
      </c>
      <c r="AO123" s="112">
        <v>85.71428571428571</v>
      </c>
      <c r="AP123" s="111">
        <v>42</v>
      </c>
    </row>
    <row r="124" spans="1:42" ht="15">
      <c r="A124" s="65" t="s">
        <v>428</v>
      </c>
      <c r="B124" s="65" t="s">
        <v>786</v>
      </c>
      <c r="C124" s="66" t="s">
        <v>4512</v>
      </c>
      <c r="D124" s="67">
        <v>10</v>
      </c>
      <c r="E124" s="68"/>
      <c r="F124" s="69">
        <v>15</v>
      </c>
      <c r="G124" s="66"/>
      <c r="H124" s="70"/>
      <c r="I124" s="71"/>
      <c r="J124" s="71"/>
      <c r="K124" s="35" t="s">
        <v>65</v>
      </c>
      <c r="L124" s="79">
        <v>124</v>
      </c>
      <c r="M124" s="79"/>
      <c r="N124" s="73"/>
      <c r="O124" s="81" t="s">
        <v>788</v>
      </c>
      <c r="P124" s="81" t="s">
        <v>325</v>
      </c>
      <c r="Q124" s="84" t="s">
        <v>912</v>
      </c>
      <c r="R124" s="81" t="s">
        <v>428</v>
      </c>
      <c r="S124" s="81" t="s">
        <v>1496</v>
      </c>
      <c r="T124" s="86" t="str">
        <f>HYPERLINK("http://www.youtube.com/channel/UCc96p0qymoYTTv0clM3w4Yg")</f>
        <v>http://www.youtube.com/channel/UCc96p0qymoYTTv0clM3w4Yg</v>
      </c>
      <c r="U124" s="81"/>
      <c r="V124" s="81" t="s">
        <v>1885</v>
      </c>
      <c r="W124" s="86" t="str">
        <f>HYPERLINK("https://www.youtube.com/watch?v=wadBvDPeE4E")</f>
        <v>https://www.youtube.com/watch?v=wadBvDPeE4E</v>
      </c>
      <c r="X124" s="81" t="s">
        <v>1886</v>
      </c>
      <c r="Y124" s="81">
        <v>0</v>
      </c>
      <c r="Z124" s="88">
        <v>41202.674988425926</v>
      </c>
      <c r="AA124" s="88">
        <v>41202.674988425926</v>
      </c>
      <c r="AB124" s="81"/>
      <c r="AC124" s="81"/>
      <c r="AD124" s="84" t="s">
        <v>1927</v>
      </c>
      <c r="AE124" s="82">
        <v>4</v>
      </c>
      <c r="AF124" s="83" t="str">
        <f>REPLACE(INDEX(GroupVertices[Group],MATCH(Edges[[#This Row],[Vertex 1]],GroupVertices[Vertex],0)),1,1,"")</f>
        <v>1</v>
      </c>
      <c r="AG124" s="83" t="str">
        <f>REPLACE(INDEX(GroupVertices[Group],MATCH(Edges[[#This Row],[Vertex 2]],GroupVertices[Vertex],0)),1,1,"")</f>
        <v>1</v>
      </c>
      <c r="AH124" s="111">
        <v>0</v>
      </c>
      <c r="AI124" s="112">
        <v>0</v>
      </c>
      <c r="AJ124" s="111">
        <v>0</v>
      </c>
      <c r="AK124" s="112">
        <v>0</v>
      </c>
      <c r="AL124" s="111">
        <v>0</v>
      </c>
      <c r="AM124" s="112">
        <v>0</v>
      </c>
      <c r="AN124" s="111">
        <v>23</v>
      </c>
      <c r="AO124" s="112">
        <v>100</v>
      </c>
      <c r="AP124" s="111">
        <v>23</v>
      </c>
    </row>
    <row r="125" spans="1:42" ht="15">
      <c r="A125" s="65" t="s">
        <v>428</v>
      </c>
      <c r="B125" s="65" t="s">
        <v>786</v>
      </c>
      <c r="C125" s="66" t="s">
        <v>4512</v>
      </c>
      <c r="D125" s="67">
        <v>10</v>
      </c>
      <c r="E125" s="68"/>
      <c r="F125" s="69">
        <v>15</v>
      </c>
      <c r="G125" s="66"/>
      <c r="H125" s="70"/>
      <c r="I125" s="71"/>
      <c r="J125" s="71"/>
      <c r="K125" s="35" t="s">
        <v>65</v>
      </c>
      <c r="L125" s="79">
        <v>125</v>
      </c>
      <c r="M125" s="79"/>
      <c r="N125" s="73"/>
      <c r="O125" s="81" t="s">
        <v>788</v>
      </c>
      <c r="P125" s="81" t="s">
        <v>325</v>
      </c>
      <c r="Q125" s="84" t="s">
        <v>913</v>
      </c>
      <c r="R125" s="81" t="s">
        <v>428</v>
      </c>
      <c r="S125" s="81" t="s">
        <v>1496</v>
      </c>
      <c r="T125" s="86" t="str">
        <f>HYPERLINK("http://www.youtube.com/channel/UCc96p0qymoYTTv0clM3w4Yg")</f>
        <v>http://www.youtube.com/channel/UCc96p0qymoYTTv0clM3w4Yg</v>
      </c>
      <c r="U125" s="81"/>
      <c r="V125" s="81" t="s">
        <v>1885</v>
      </c>
      <c r="W125" s="86" t="str">
        <f>HYPERLINK("https://www.youtube.com/watch?v=wadBvDPeE4E")</f>
        <v>https://www.youtube.com/watch?v=wadBvDPeE4E</v>
      </c>
      <c r="X125" s="81" t="s">
        <v>1886</v>
      </c>
      <c r="Y125" s="81">
        <v>0</v>
      </c>
      <c r="Z125" s="88">
        <v>41202.73554398148</v>
      </c>
      <c r="AA125" s="88">
        <v>41202.73554398148</v>
      </c>
      <c r="AB125" s="81"/>
      <c r="AC125" s="81"/>
      <c r="AD125" s="84" t="s">
        <v>1927</v>
      </c>
      <c r="AE125" s="82">
        <v>4</v>
      </c>
      <c r="AF125" s="83" t="str">
        <f>REPLACE(INDEX(GroupVertices[Group],MATCH(Edges[[#This Row],[Vertex 1]],GroupVertices[Vertex],0)),1,1,"")</f>
        <v>1</v>
      </c>
      <c r="AG125" s="83" t="str">
        <f>REPLACE(INDEX(GroupVertices[Group],MATCH(Edges[[#This Row],[Vertex 2]],GroupVertices[Vertex],0)),1,1,"")</f>
        <v>1</v>
      </c>
      <c r="AH125" s="111">
        <v>1</v>
      </c>
      <c r="AI125" s="112">
        <v>100</v>
      </c>
      <c r="AJ125" s="111">
        <v>0</v>
      </c>
      <c r="AK125" s="112">
        <v>0</v>
      </c>
      <c r="AL125" s="111">
        <v>0</v>
      </c>
      <c r="AM125" s="112">
        <v>0</v>
      </c>
      <c r="AN125" s="111">
        <v>0</v>
      </c>
      <c r="AO125" s="112">
        <v>0</v>
      </c>
      <c r="AP125" s="111">
        <v>1</v>
      </c>
    </row>
    <row r="126" spans="1:42" ht="15">
      <c r="A126" s="65" t="s">
        <v>428</v>
      </c>
      <c r="B126" s="65" t="s">
        <v>786</v>
      </c>
      <c r="C126" s="66" t="s">
        <v>4512</v>
      </c>
      <c r="D126" s="67">
        <v>10</v>
      </c>
      <c r="E126" s="68"/>
      <c r="F126" s="69">
        <v>15</v>
      </c>
      <c r="G126" s="66"/>
      <c r="H126" s="70"/>
      <c r="I126" s="71"/>
      <c r="J126" s="71"/>
      <c r="K126" s="35" t="s">
        <v>65</v>
      </c>
      <c r="L126" s="79">
        <v>126</v>
      </c>
      <c r="M126" s="79"/>
      <c r="N126" s="73"/>
      <c r="O126" s="81" t="s">
        <v>788</v>
      </c>
      <c r="P126" s="81" t="s">
        <v>325</v>
      </c>
      <c r="Q126" s="84" t="s">
        <v>914</v>
      </c>
      <c r="R126" s="81" t="s">
        <v>428</v>
      </c>
      <c r="S126" s="81" t="s">
        <v>1496</v>
      </c>
      <c r="T126" s="86" t="str">
        <f>HYPERLINK("http://www.youtube.com/channel/UCc96p0qymoYTTv0clM3w4Yg")</f>
        <v>http://www.youtube.com/channel/UCc96p0qymoYTTv0clM3w4Yg</v>
      </c>
      <c r="U126" s="81"/>
      <c r="V126" s="81" t="s">
        <v>1885</v>
      </c>
      <c r="W126" s="86" t="str">
        <f>HYPERLINK("https://www.youtube.com/watch?v=wadBvDPeE4E")</f>
        <v>https://www.youtube.com/watch?v=wadBvDPeE4E</v>
      </c>
      <c r="X126" s="81" t="s">
        <v>1886</v>
      </c>
      <c r="Y126" s="81">
        <v>0</v>
      </c>
      <c r="Z126" s="88">
        <v>41202.75188657407</v>
      </c>
      <c r="AA126" s="88">
        <v>41202.75188657407</v>
      </c>
      <c r="AB126" s="81"/>
      <c r="AC126" s="81"/>
      <c r="AD126" s="84" t="s">
        <v>1927</v>
      </c>
      <c r="AE126" s="82">
        <v>4</v>
      </c>
      <c r="AF126" s="83" t="str">
        <f>REPLACE(INDEX(GroupVertices[Group],MATCH(Edges[[#This Row],[Vertex 1]],GroupVertices[Vertex],0)),1,1,"")</f>
        <v>1</v>
      </c>
      <c r="AG126" s="83" t="str">
        <f>REPLACE(INDEX(GroupVertices[Group],MATCH(Edges[[#This Row],[Vertex 2]],GroupVertices[Vertex],0)),1,1,"")</f>
        <v>1</v>
      </c>
      <c r="AH126" s="111">
        <v>0</v>
      </c>
      <c r="AI126" s="112">
        <v>0</v>
      </c>
      <c r="AJ126" s="111">
        <v>3</v>
      </c>
      <c r="AK126" s="112">
        <v>4.411764705882353</v>
      </c>
      <c r="AL126" s="111">
        <v>0</v>
      </c>
      <c r="AM126" s="112">
        <v>0</v>
      </c>
      <c r="AN126" s="111">
        <v>65</v>
      </c>
      <c r="AO126" s="112">
        <v>95.58823529411765</v>
      </c>
      <c r="AP126" s="111">
        <v>68</v>
      </c>
    </row>
    <row r="127" spans="1:42" ht="15">
      <c r="A127" s="65" t="s">
        <v>428</v>
      </c>
      <c r="B127" s="65" t="s">
        <v>786</v>
      </c>
      <c r="C127" s="66" t="s">
        <v>4512</v>
      </c>
      <c r="D127" s="67">
        <v>10</v>
      </c>
      <c r="E127" s="68"/>
      <c r="F127" s="69">
        <v>15</v>
      </c>
      <c r="G127" s="66"/>
      <c r="H127" s="70"/>
      <c r="I127" s="71"/>
      <c r="J127" s="71"/>
      <c r="K127" s="35" t="s">
        <v>65</v>
      </c>
      <c r="L127" s="79">
        <v>127</v>
      </c>
      <c r="M127" s="79"/>
      <c r="N127" s="73"/>
      <c r="O127" s="81" t="s">
        <v>788</v>
      </c>
      <c r="P127" s="81" t="s">
        <v>325</v>
      </c>
      <c r="Q127" s="84" t="s">
        <v>915</v>
      </c>
      <c r="R127" s="81" t="s">
        <v>428</v>
      </c>
      <c r="S127" s="81" t="s">
        <v>1496</v>
      </c>
      <c r="T127" s="86" t="str">
        <f>HYPERLINK("http://www.youtube.com/channel/UCc96p0qymoYTTv0clM3w4Yg")</f>
        <v>http://www.youtube.com/channel/UCc96p0qymoYTTv0clM3w4Yg</v>
      </c>
      <c r="U127" s="81"/>
      <c r="V127" s="81" t="s">
        <v>1885</v>
      </c>
      <c r="W127" s="86" t="str">
        <f>HYPERLINK("https://www.youtube.com/watch?v=wadBvDPeE4E")</f>
        <v>https://www.youtube.com/watch?v=wadBvDPeE4E</v>
      </c>
      <c r="X127" s="81" t="s">
        <v>1886</v>
      </c>
      <c r="Y127" s="81">
        <v>0</v>
      </c>
      <c r="Z127" s="88">
        <v>41203.03140046296</v>
      </c>
      <c r="AA127" s="88">
        <v>41203.03140046296</v>
      </c>
      <c r="AB127" s="81"/>
      <c r="AC127" s="81"/>
      <c r="AD127" s="84" t="s">
        <v>1927</v>
      </c>
      <c r="AE127" s="82">
        <v>4</v>
      </c>
      <c r="AF127" s="83" t="str">
        <f>REPLACE(INDEX(GroupVertices[Group],MATCH(Edges[[#This Row],[Vertex 1]],GroupVertices[Vertex],0)),1,1,"")</f>
        <v>1</v>
      </c>
      <c r="AG127" s="83" t="str">
        <f>REPLACE(INDEX(GroupVertices[Group],MATCH(Edges[[#This Row],[Vertex 2]],GroupVertices[Vertex],0)),1,1,"")</f>
        <v>1</v>
      </c>
      <c r="AH127" s="111">
        <v>5</v>
      </c>
      <c r="AI127" s="112">
        <v>6.172839506172839</v>
      </c>
      <c r="AJ127" s="111">
        <v>2</v>
      </c>
      <c r="AK127" s="112">
        <v>2.4691358024691357</v>
      </c>
      <c r="AL127" s="111">
        <v>0</v>
      </c>
      <c r="AM127" s="112">
        <v>0</v>
      </c>
      <c r="AN127" s="111">
        <v>74</v>
      </c>
      <c r="AO127" s="112">
        <v>91.35802469135803</v>
      </c>
      <c r="AP127" s="111">
        <v>81</v>
      </c>
    </row>
    <row r="128" spans="1:42" ht="15">
      <c r="A128" s="65" t="s">
        <v>429</v>
      </c>
      <c r="B128" s="65" t="s">
        <v>786</v>
      </c>
      <c r="C128" s="66" t="s">
        <v>4509</v>
      </c>
      <c r="D128" s="67">
        <v>3</v>
      </c>
      <c r="E128" s="68"/>
      <c r="F128" s="69">
        <v>40</v>
      </c>
      <c r="G128" s="66"/>
      <c r="H128" s="70"/>
      <c r="I128" s="71"/>
      <c r="J128" s="71"/>
      <c r="K128" s="35" t="s">
        <v>65</v>
      </c>
      <c r="L128" s="79">
        <v>128</v>
      </c>
      <c r="M128" s="79"/>
      <c r="N128" s="73"/>
      <c r="O128" s="81" t="s">
        <v>788</v>
      </c>
      <c r="P128" s="81" t="s">
        <v>325</v>
      </c>
      <c r="Q128" s="84" t="s">
        <v>916</v>
      </c>
      <c r="R128" s="81" t="s">
        <v>429</v>
      </c>
      <c r="S128" s="81" t="s">
        <v>1497</v>
      </c>
      <c r="T128" s="86" t="str">
        <f>HYPERLINK("http://www.youtube.com/channel/UCViUti-gCVt-mzdDCR5bfDA")</f>
        <v>http://www.youtube.com/channel/UCViUti-gCVt-mzdDCR5bfDA</v>
      </c>
      <c r="U128" s="81"/>
      <c r="V128" s="81" t="s">
        <v>1885</v>
      </c>
      <c r="W128" s="86" t="str">
        <f>HYPERLINK("https://www.youtube.com/watch?v=wadBvDPeE4E")</f>
        <v>https://www.youtube.com/watch?v=wadBvDPeE4E</v>
      </c>
      <c r="X128" s="81" t="s">
        <v>1886</v>
      </c>
      <c r="Y128" s="81">
        <v>0</v>
      </c>
      <c r="Z128" s="88">
        <v>41203.03810185185</v>
      </c>
      <c r="AA128" s="88">
        <v>41203.03810185185</v>
      </c>
      <c r="AB128" s="81"/>
      <c r="AC128" s="81"/>
      <c r="AD128" s="84" t="s">
        <v>1927</v>
      </c>
      <c r="AE128" s="82">
        <v>1</v>
      </c>
      <c r="AF128" s="83" t="str">
        <f>REPLACE(INDEX(GroupVertices[Group],MATCH(Edges[[#This Row],[Vertex 1]],GroupVertices[Vertex],0)),1,1,"")</f>
        <v>1</v>
      </c>
      <c r="AG128" s="83" t="str">
        <f>REPLACE(INDEX(GroupVertices[Group],MATCH(Edges[[#This Row],[Vertex 2]],GroupVertices[Vertex],0)),1,1,"")</f>
        <v>1</v>
      </c>
      <c r="AH128" s="111">
        <v>1</v>
      </c>
      <c r="AI128" s="112">
        <v>100</v>
      </c>
      <c r="AJ128" s="111">
        <v>0</v>
      </c>
      <c r="AK128" s="112">
        <v>0</v>
      </c>
      <c r="AL128" s="111">
        <v>0</v>
      </c>
      <c r="AM128" s="112">
        <v>0</v>
      </c>
      <c r="AN128" s="111">
        <v>0</v>
      </c>
      <c r="AO128" s="112">
        <v>0</v>
      </c>
      <c r="AP128" s="111">
        <v>1</v>
      </c>
    </row>
    <row r="129" spans="1:42" ht="15">
      <c r="A129" s="65" t="s">
        <v>430</v>
      </c>
      <c r="B129" s="65" t="s">
        <v>786</v>
      </c>
      <c r="C129" s="66" t="s">
        <v>4509</v>
      </c>
      <c r="D129" s="67">
        <v>3</v>
      </c>
      <c r="E129" s="68"/>
      <c r="F129" s="69">
        <v>40</v>
      </c>
      <c r="G129" s="66"/>
      <c r="H129" s="70"/>
      <c r="I129" s="71"/>
      <c r="J129" s="71"/>
      <c r="K129" s="35" t="s">
        <v>65</v>
      </c>
      <c r="L129" s="79">
        <v>129</v>
      </c>
      <c r="M129" s="79"/>
      <c r="N129" s="73"/>
      <c r="O129" s="81" t="s">
        <v>788</v>
      </c>
      <c r="P129" s="81" t="s">
        <v>325</v>
      </c>
      <c r="Q129" s="84" t="s">
        <v>917</v>
      </c>
      <c r="R129" s="81" t="s">
        <v>430</v>
      </c>
      <c r="S129" s="81" t="s">
        <v>1498</v>
      </c>
      <c r="T129" s="86" t="str">
        <f>HYPERLINK("http://www.youtube.com/channel/UCCicWyaGhArRdcW_NgvVrAw")</f>
        <v>http://www.youtube.com/channel/UCCicWyaGhArRdcW_NgvVrAw</v>
      </c>
      <c r="U129" s="81"/>
      <c r="V129" s="81" t="s">
        <v>1885</v>
      </c>
      <c r="W129" s="86" t="str">
        <f>HYPERLINK("https://www.youtube.com/watch?v=wadBvDPeE4E")</f>
        <v>https://www.youtube.com/watch?v=wadBvDPeE4E</v>
      </c>
      <c r="X129" s="81" t="s">
        <v>1886</v>
      </c>
      <c r="Y129" s="81">
        <v>0</v>
      </c>
      <c r="Z129" s="88">
        <v>41203.04957175926</v>
      </c>
      <c r="AA129" s="88">
        <v>41203.04957175926</v>
      </c>
      <c r="AB129" s="81"/>
      <c r="AC129" s="81"/>
      <c r="AD129" s="84" t="s">
        <v>1927</v>
      </c>
      <c r="AE129" s="82">
        <v>1</v>
      </c>
      <c r="AF129" s="83" t="str">
        <f>REPLACE(INDEX(GroupVertices[Group],MATCH(Edges[[#This Row],[Vertex 1]],GroupVertices[Vertex],0)),1,1,"")</f>
        <v>1</v>
      </c>
      <c r="AG129" s="83" t="str">
        <f>REPLACE(INDEX(GroupVertices[Group],MATCH(Edges[[#This Row],[Vertex 2]],GroupVertices[Vertex],0)),1,1,"")</f>
        <v>1</v>
      </c>
      <c r="AH129" s="111">
        <v>0</v>
      </c>
      <c r="AI129" s="112">
        <v>0</v>
      </c>
      <c r="AJ129" s="111">
        <v>0</v>
      </c>
      <c r="AK129" s="112">
        <v>0</v>
      </c>
      <c r="AL129" s="111">
        <v>0</v>
      </c>
      <c r="AM129" s="112">
        <v>0</v>
      </c>
      <c r="AN129" s="111">
        <v>12</v>
      </c>
      <c r="AO129" s="112">
        <v>100</v>
      </c>
      <c r="AP129" s="111">
        <v>12</v>
      </c>
    </row>
    <row r="130" spans="1:42" ht="15">
      <c r="A130" s="65" t="s">
        <v>431</v>
      </c>
      <c r="B130" s="65" t="s">
        <v>786</v>
      </c>
      <c r="C130" s="66" t="s">
        <v>4509</v>
      </c>
      <c r="D130" s="67">
        <v>3</v>
      </c>
      <c r="E130" s="68"/>
      <c r="F130" s="69">
        <v>40</v>
      </c>
      <c r="G130" s="66"/>
      <c r="H130" s="70"/>
      <c r="I130" s="71"/>
      <c r="J130" s="71"/>
      <c r="K130" s="35" t="s">
        <v>65</v>
      </c>
      <c r="L130" s="79">
        <v>130</v>
      </c>
      <c r="M130" s="79"/>
      <c r="N130" s="73"/>
      <c r="O130" s="81" t="s">
        <v>788</v>
      </c>
      <c r="P130" s="81" t="s">
        <v>325</v>
      </c>
      <c r="Q130" s="84" t="s">
        <v>918</v>
      </c>
      <c r="R130" s="81" t="s">
        <v>431</v>
      </c>
      <c r="S130" s="81" t="s">
        <v>1499</v>
      </c>
      <c r="T130" s="86" t="str">
        <f>HYPERLINK("http://www.youtube.com/channel/UCwAQe7QX61bTdOycRtPLv0Q")</f>
        <v>http://www.youtube.com/channel/UCwAQe7QX61bTdOycRtPLv0Q</v>
      </c>
      <c r="U130" s="81"/>
      <c r="V130" s="81" t="s">
        <v>1885</v>
      </c>
      <c r="W130" s="86" t="str">
        <f>HYPERLINK("https://www.youtube.com/watch?v=wadBvDPeE4E")</f>
        <v>https://www.youtube.com/watch?v=wadBvDPeE4E</v>
      </c>
      <c r="X130" s="81" t="s">
        <v>1886</v>
      </c>
      <c r="Y130" s="81">
        <v>0</v>
      </c>
      <c r="Z130" s="88">
        <v>41203.06957175926</v>
      </c>
      <c r="AA130" s="88">
        <v>41203.06957175926</v>
      </c>
      <c r="AB130" s="81"/>
      <c r="AC130" s="81"/>
      <c r="AD130" s="84" t="s">
        <v>1927</v>
      </c>
      <c r="AE130" s="82">
        <v>1</v>
      </c>
      <c r="AF130" s="83" t="str">
        <f>REPLACE(INDEX(GroupVertices[Group],MATCH(Edges[[#This Row],[Vertex 1]],GroupVertices[Vertex],0)),1,1,"")</f>
        <v>1</v>
      </c>
      <c r="AG130" s="83" t="str">
        <f>REPLACE(INDEX(GroupVertices[Group],MATCH(Edges[[#This Row],[Vertex 2]],GroupVertices[Vertex],0)),1,1,"")</f>
        <v>1</v>
      </c>
      <c r="AH130" s="111">
        <v>1</v>
      </c>
      <c r="AI130" s="112">
        <v>5.2631578947368425</v>
      </c>
      <c r="AJ130" s="111">
        <v>0</v>
      </c>
      <c r="AK130" s="112">
        <v>0</v>
      </c>
      <c r="AL130" s="111">
        <v>0</v>
      </c>
      <c r="AM130" s="112">
        <v>0</v>
      </c>
      <c r="AN130" s="111">
        <v>18</v>
      </c>
      <c r="AO130" s="112">
        <v>94.73684210526316</v>
      </c>
      <c r="AP130" s="111">
        <v>19</v>
      </c>
    </row>
    <row r="131" spans="1:42" ht="15">
      <c r="A131" s="65" t="s">
        <v>432</v>
      </c>
      <c r="B131" s="65" t="s">
        <v>786</v>
      </c>
      <c r="C131" s="66" t="s">
        <v>4515</v>
      </c>
      <c r="D131" s="67">
        <v>10</v>
      </c>
      <c r="E131" s="68"/>
      <c r="F131" s="69">
        <v>15</v>
      </c>
      <c r="G131" s="66"/>
      <c r="H131" s="70"/>
      <c r="I131" s="71"/>
      <c r="J131" s="71"/>
      <c r="K131" s="35" t="s">
        <v>65</v>
      </c>
      <c r="L131" s="79">
        <v>131</v>
      </c>
      <c r="M131" s="79"/>
      <c r="N131" s="73"/>
      <c r="O131" s="81" t="s">
        <v>788</v>
      </c>
      <c r="P131" s="81" t="s">
        <v>325</v>
      </c>
      <c r="Q131" s="84" t="s">
        <v>919</v>
      </c>
      <c r="R131" s="81" t="s">
        <v>432</v>
      </c>
      <c r="S131" s="81" t="s">
        <v>1500</v>
      </c>
      <c r="T131" s="86" t="str">
        <f>HYPERLINK("http://www.youtube.com/channel/UCxlr2X_1Kf3efsrMWTU0XGw")</f>
        <v>http://www.youtube.com/channel/UCxlr2X_1Kf3efsrMWTU0XGw</v>
      </c>
      <c r="U131" s="81"/>
      <c r="V131" s="81" t="s">
        <v>1885</v>
      </c>
      <c r="W131" s="86" t="str">
        <f>HYPERLINK("https://www.youtube.com/watch?v=wadBvDPeE4E")</f>
        <v>https://www.youtube.com/watch?v=wadBvDPeE4E</v>
      </c>
      <c r="X131" s="81" t="s">
        <v>1886</v>
      </c>
      <c r="Y131" s="81">
        <v>0</v>
      </c>
      <c r="Z131" s="88">
        <v>41203.04813657407</v>
      </c>
      <c r="AA131" s="88">
        <v>41203.04813657407</v>
      </c>
      <c r="AB131" s="81"/>
      <c r="AC131" s="81"/>
      <c r="AD131" s="84" t="s">
        <v>1927</v>
      </c>
      <c r="AE131" s="82">
        <v>6</v>
      </c>
      <c r="AF131" s="83" t="str">
        <f>REPLACE(INDEX(GroupVertices[Group],MATCH(Edges[[#This Row],[Vertex 1]],GroupVertices[Vertex],0)),1,1,"")</f>
        <v>1</v>
      </c>
      <c r="AG131" s="83" t="str">
        <f>REPLACE(INDEX(GroupVertices[Group],MATCH(Edges[[#This Row],[Vertex 2]],GroupVertices[Vertex],0)),1,1,"")</f>
        <v>1</v>
      </c>
      <c r="AH131" s="111">
        <v>0</v>
      </c>
      <c r="AI131" s="112">
        <v>0</v>
      </c>
      <c r="AJ131" s="111">
        <v>2</v>
      </c>
      <c r="AK131" s="112">
        <v>20</v>
      </c>
      <c r="AL131" s="111">
        <v>0</v>
      </c>
      <c r="AM131" s="112">
        <v>0</v>
      </c>
      <c r="AN131" s="111">
        <v>8</v>
      </c>
      <c r="AO131" s="112">
        <v>80</v>
      </c>
      <c r="AP131" s="111">
        <v>10</v>
      </c>
    </row>
    <row r="132" spans="1:42" ht="15">
      <c r="A132" s="65" t="s">
        <v>432</v>
      </c>
      <c r="B132" s="65" t="s">
        <v>786</v>
      </c>
      <c r="C132" s="66" t="s">
        <v>4515</v>
      </c>
      <c r="D132" s="67">
        <v>10</v>
      </c>
      <c r="E132" s="68"/>
      <c r="F132" s="69">
        <v>15</v>
      </c>
      <c r="G132" s="66"/>
      <c r="H132" s="70"/>
      <c r="I132" s="71"/>
      <c r="J132" s="71"/>
      <c r="K132" s="35" t="s">
        <v>65</v>
      </c>
      <c r="L132" s="79">
        <v>132</v>
      </c>
      <c r="M132" s="79"/>
      <c r="N132" s="73"/>
      <c r="O132" s="81" t="s">
        <v>788</v>
      </c>
      <c r="P132" s="81" t="s">
        <v>325</v>
      </c>
      <c r="Q132" s="84" t="s">
        <v>920</v>
      </c>
      <c r="R132" s="81" t="s">
        <v>432</v>
      </c>
      <c r="S132" s="81" t="s">
        <v>1500</v>
      </c>
      <c r="T132" s="86" t="str">
        <f>HYPERLINK("http://www.youtube.com/channel/UCxlr2X_1Kf3efsrMWTU0XGw")</f>
        <v>http://www.youtube.com/channel/UCxlr2X_1Kf3efsrMWTU0XGw</v>
      </c>
      <c r="U132" s="81"/>
      <c r="V132" s="81" t="s">
        <v>1885</v>
      </c>
      <c r="W132" s="86" t="str">
        <f>HYPERLINK("https://www.youtube.com/watch?v=wadBvDPeE4E")</f>
        <v>https://www.youtube.com/watch?v=wadBvDPeE4E</v>
      </c>
      <c r="X132" s="81" t="s">
        <v>1886</v>
      </c>
      <c r="Y132" s="81">
        <v>0</v>
      </c>
      <c r="Z132" s="88">
        <v>41203.06787037037</v>
      </c>
      <c r="AA132" s="88">
        <v>41203.06787037037</v>
      </c>
      <c r="AB132" s="81"/>
      <c r="AC132" s="81"/>
      <c r="AD132" s="84" t="s">
        <v>1927</v>
      </c>
      <c r="AE132" s="82">
        <v>6</v>
      </c>
      <c r="AF132" s="83" t="str">
        <f>REPLACE(INDEX(GroupVertices[Group],MATCH(Edges[[#This Row],[Vertex 1]],GroupVertices[Vertex],0)),1,1,"")</f>
        <v>1</v>
      </c>
      <c r="AG132" s="83" t="str">
        <f>REPLACE(INDEX(GroupVertices[Group],MATCH(Edges[[#This Row],[Vertex 2]],GroupVertices[Vertex],0)),1,1,"")</f>
        <v>1</v>
      </c>
      <c r="AH132" s="111">
        <v>0</v>
      </c>
      <c r="AI132" s="112">
        <v>0</v>
      </c>
      <c r="AJ132" s="111">
        <v>1</v>
      </c>
      <c r="AK132" s="112">
        <v>14.285714285714286</v>
      </c>
      <c r="AL132" s="111">
        <v>0</v>
      </c>
      <c r="AM132" s="112">
        <v>0</v>
      </c>
      <c r="AN132" s="111">
        <v>6</v>
      </c>
      <c r="AO132" s="112">
        <v>85.71428571428571</v>
      </c>
      <c r="AP132" s="111">
        <v>7</v>
      </c>
    </row>
    <row r="133" spans="1:42" ht="15">
      <c r="A133" s="65" t="s">
        <v>432</v>
      </c>
      <c r="B133" s="65" t="s">
        <v>786</v>
      </c>
      <c r="C133" s="66" t="s">
        <v>4515</v>
      </c>
      <c r="D133" s="67">
        <v>10</v>
      </c>
      <c r="E133" s="68"/>
      <c r="F133" s="69">
        <v>15</v>
      </c>
      <c r="G133" s="66"/>
      <c r="H133" s="70"/>
      <c r="I133" s="71"/>
      <c r="J133" s="71"/>
      <c r="K133" s="35" t="s">
        <v>65</v>
      </c>
      <c r="L133" s="79">
        <v>133</v>
      </c>
      <c r="M133" s="79"/>
      <c r="N133" s="73"/>
      <c r="O133" s="81" t="s">
        <v>788</v>
      </c>
      <c r="P133" s="81" t="s">
        <v>325</v>
      </c>
      <c r="Q133" s="84" t="s">
        <v>921</v>
      </c>
      <c r="R133" s="81" t="s">
        <v>432</v>
      </c>
      <c r="S133" s="81" t="s">
        <v>1500</v>
      </c>
      <c r="T133" s="86" t="str">
        <f>HYPERLINK("http://www.youtube.com/channel/UCxlr2X_1Kf3efsrMWTU0XGw")</f>
        <v>http://www.youtube.com/channel/UCxlr2X_1Kf3efsrMWTU0XGw</v>
      </c>
      <c r="U133" s="81"/>
      <c r="V133" s="81" t="s">
        <v>1885</v>
      </c>
      <c r="W133" s="86" t="str">
        <f>HYPERLINK("https://www.youtube.com/watch?v=wadBvDPeE4E")</f>
        <v>https://www.youtube.com/watch?v=wadBvDPeE4E</v>
      </c>
      <c r="X133" s="81" t="s">
        <v>1886</v>
      </c>
      <c r="Y133" s="81">
        <v>0</v>
      </c>
      <c r="Z133" s="88">
        <v>41203.07493055556</v>
      </c>
      <c r="AA133" s="88">
        <v>41203.07493055556</v>
      </c>
      <c r="AB133" s="81"/>
      <c r="AC133" s="81"/>
      <c r="AD133" s="84" t="s">
        <v>1927</v>
      </c>
      <c r="AE133" s="82">
        <v>6</v>
      </c>
      <c r="AF133" s="83" t="str">
        <f>REPLACE(INDEX(GroupVertices[Group],MATCH(Edges[[#This Row],[Vertex 1]],GroupVertices[Vertex],0)),1,1,"")</f>
        <v>1</v>
      </c>
      <c r="AG133" s="83" t="str">
        <f>REPLACE(INDEX(GroupVertices[Group],MATCH(Edges[[#This Row],[Vertex 2]],GroupVertices[Vertex],0)),1,1,"")</f>
        <v>1</v>
      </c>
      <c r="AH133" s="111">
        <v>0</v>
      </c>
      <c r="AI133" s="112">
        <v>0</v>
      </c>
      <c r="AJ133" s="111">
        <v>2</v>
      </c>
      <c r="AK133" s="112">
        <v>2.127659574468085</v>
      </c>
      <c r="AL133" s="111">
        <v>0</v>
      </c>
      <c r="AM133" s="112">
        <v>0</v>
      </c>
      <c r="AN133" s="111">
        <v>92</v>
      </c>
      <c r="AO133" s="112">
        <v>97.87234042553192</v>
      </c>
      <c r="AP133" s="111">
        <v>94</v>
      </c>
    </row>
    <row r="134" spans="1:42" ht="15">
      <c r="A134" s="65" t="s">
        <v>432</v>
      </c>
      <c r="B134" s="65" t="s">
        <v>786</v>
      </c>
      <c r="C134" s="66" t="s">
        <v>4515</v>
      </c>
      <c r="D134" s="67">
        <v>10</v>
      </c>
      <c r="E134" s="68"/>
      <c r="F134" s="69">
        <v>15</v>
      </c>
      <c r="G134" s="66"/>
      <c r="H134" s="70"/>
      <c r="I134" s="71"/>
      <c r="J134" s="71"/>
      <c r="K134" s="35" t="s">
        <v>65</v>
      </c>
      <c r="L134" s="79">
        <v>134</v>
      </c>
      <c r="M134" s="79"/>
      <c r="N134" s="73"/>
      <c r="O134" s="81" t="s">
        <v>788</v>
      </c>
      <c r="P134" s="81" t="s">
        <v>325</v>
      </c>
      <c r="Q134" s="84" t="s">
        <v>922</v>
      </c>
      <c r="R134" s="81" t="s">
        <v>432</v>
      </c>
      <c r="S134" s="81" t="s">
        <v>1500</v>
      </c>
      <c r="T134" s="86" t="str">
        <f>HYPERLINK("http://www.youtube.com/channel/UCxlr2X_1Kf3efsrMWTU0XGw")</f>
        <v>http://www.youtube.com/channel/UCxlr2X_1Kf3efsrMWTU0XGw</v>
      </c>
      <c r="U134" s="81"/>
      <c r="V134" s="81" t="s">
        <v>1885</v>
      </c>
      <c r="W134" s="86" t="str">
        <f>HYPERLINK("https://www.youtube.com/watch?v=wadBvDPeE4E")</f>
        <v>https://www.youtube.com/watch?v=wadBvDPeE4E</v>
      </c>
      <c r="X134" s="81" t="s">
        <v>1886</v>
      </c>
      <c r="Y134" s="81">
        <v>0</v>
      </c>
      <c r="Z134" s="88">
        <v>41203.08081018519</v>
      </c>
      <c r="AA134" s="88">
        <v>41203.08081018519</v>
      </c>
      <c r="AB134" s="81"/>
      <c r="AC134" s="81"/>
      <c r="AD134" s="84" t="s">
        <v>1927</v>
      </c>
      <c r="AE134" s="82">
        <v>6</v>
      </c>
      <c r="AF134" s="83" t="str">
        <f>REPLACE(INDEX(GroupVertices[Group],MATCH(Edges[[#This Row],[Vertex 1]],GroupVertices[Vertex],0)),1,1,"")</f>
        <v>1</v>
      </c>
      <c r="AG134" s="83" t="str">
        <f>REPLACE(INDEX(GroupVertices[Group],MATCH(Edges[[#This Row],[Vertex 2]],GroupVertices[Vertex],0)),1,1,"")</f>
        <v>1</v>
      </c>
      <c r="AH134" s="111">
        <v>7</v>
      </c>
      <c r="AI134" s="112">
        <v>7.608695652173913</v>
      </c>
      <c r="AJ134" s="111">
        <v>6</v>
      </c>
      <c r="AK134" s="112">
        <v>6.521739130434782</v>
      </c>
      <c r="AL134" s="111">
        <v>0</v>
      </c>
      <c r="AM134" s="112">
        <v>0</v>
      </c>
      <c r="AN134" s="111">
        <v>79</v>
      </c>
      <c r="AO134" s="112">
        <v>85.8695652173913</v>
      </c>
      <c r="AP134" s="111">
        <v>92</v>
      </c>
    </row>
    <row r="135" spans="1:42" ht="15">
      <c r="A135" s="65" t="s">
        <v>432</v>
      </c>
      <c r="B135" s="65" t="s">
        <v>786</v>
      </c>
      <c r="C135" s="66" t="s">
        <v>4515</v>
      </c>
      <c r="D135" s="67">
        <v>10</v>
      </c>
      <c r="E135" s="68"/>
      <c r="F135" s="69">
        <v>15</v>
      </c>
      <c r="G135" s="66"/>
      <c r="H135" s="70"/>
      <c r="I135" s="71"/>
      <c r="J135" s="71"/>
      <c r="K135" s="35" t="s">
        <v>65</v>
      </c>
      <c r="L135" s="79">
        <v>135</v>
      </c>
      <c r="M135" s="79"/>
      <c r="N135" s="73"/>
      <c r="O135" s="81" t="s">
        <v>788</v>
      </c>
      <c r="P135" s="81" t="s">
        <v>325</v>
      </c>
      <c r="Q135" s="84" t="s">
        <v>923</v>
      </c>
      <c r="R135" s="81" t="s">
        <v>432</v>
      </c>
      <c r="S135" s="81" t="s">
        <v>1500</v>
      </c>
      <c r="T135" s="86" t="str">
        <f>HYPERLINK("http://www.youtube.com/channel/UCxlr2X_1Kf3efsrMWTU0XGw")</f>
        <v>http://www.youtube.com/channel/UCxlr2X_1Kf3efsrMWTU0XGw</v>
      </c>
      <c r="U135" s="81"/>
      <c r="V135" s="81" t="s">
        <v>1885</v>
      </c>
      <c r="W135" s="86" t="str">
        <f>HYPERLINK("https://www.youtube.com/watch?v=wadBvDPeE4E")</f>
        <v>https://www.youtube.com/watch?v=wadBvDPeE4E</v>
      </c>
      <c r="X135" s="81" t="s">
        <v>1886</v>
      </c>
      <c r="Y135" s="81">
        <v>0</v>
      </c>
      <c r="Z135" s="88">
        <v>41203.083020833335</v>
      </c>
      <c r="AA135" s="88">
        <v>41203.083020833335</v>
      </c>
      <c r="AB135" s="81"/>
      <c r="AC135" s="81"/>
      <c r="AD135" s="84" t="s">
        <v>1927</v>
      </c>
      <c r="AE135" s="82">
        <v>6</v>
      </c>
      <c r="AF135" s="83" t="str">
        <f>REPLACE(INDEX(GroupVertices[Group],MATCH(Edges[[#This Row],[Vertex 1]],GroupVertices[Vertex],0)),1,1,"")</f>
        <v>1</v>
      </c>
      <c r="AG135" s="83" t="str">
        <f>REPLACE(INDEX(GroupVertices[Group],MATCH(Edges[[#This Row],[Vertex 2]],GroupVertices[Vertex],0)),1,1,"")</f>
        <v>1</v>
      </c>
      <c r="AH135" s="111">
        <v>3</v>
      </c>
      <c r="AI135" s="112">
        <v>3.2967032967032965</v>
      </c>
      <c r="AJ135" s="111">
        <v>0</v>
      </c>
      <c r="AK135" s="112">
        <v>0</v>
      </c>
      <c r="AL135" s="111">
        <v>0</v>
      </c>
      <c r="AM135" s="112">
        <v>0</v>
      </c>
      <c r="AN135" s="111">
        <v>88</v>
      </c>
      <c r="AO135" s="112">
        <v>96.7032967032967</v>
      </c>
      <c r="AP135" s="111">
        <v>91</v>
      </c>
    </row>
    <row r="136" spans="1:42" ht="15">
      <c r="A136" s="65" t="s">
        <v>432</v>
      </c>
      <c r="B136" s="65" t="s">
        <v>786</v>
      </c>
      <c r="C136" s="66" t="s">
        <v>4515</v>
      </c>
      <c r="D136" s="67">
        <v>10</v>
      </c>
      <c r="E136" s="68"/>
      <c r="F136" s="69">
        <v>15</v>
      </c>
      <c r="G136" s="66"/>
      <c r="H136" s="70"/>
      <c r="I136" s="71"/>
      <c r="J136" s="71"/>
      <c r="K136" s="35" t="s">
        <v>65</v>
      </c>
      <c r="L136" s="79">
        <v>136</v>
      </c>
      <c r="M136" s="79"/>
      <c r="N136" s="73"/>
      <c r="O136" s="81" t="s">
        <v>788</v>
      </c>
      <c r="P136" s="81" t="s">
        <v>325</v>
      </c>
      <c r="Q136" s="84" t="s">
        <v>924</v>
      </c>
      <c r="R136" s="81" t="s">
        <v>432</v>
      </c>
      <c r="S136" s="81" t="s">
        <v>1500</v>
      </c>
      <c r="T136" s="86" t="str">
        <f>HYPERLINK("http://www.youtube.com/channel/UCxlr2X_1Kf3efsrMWTU0XGw")</f>
        <v>http://www.youtube.com/channel/UCxlr2X_1Kf3efsrMWTU0XGw</v>
      </c>
      <c r="U136" s="81"/>
      <c r="V136" s="81" t="s">
        <v>1885</v>
      </c>
      <c r="W136" s="86" t="str">
        <f>HYPERLINK("https://www.youtube.com/watch?v=wadBvDPeE4E")</f>
        <v>https://www.youtube.com/watch?v=wadBvDPeE4E</v>
      </c>
      <c r="X136" s="81" t="s">
        <v>1886</v>
      </c>
      <c r="Y136" s="81">
        <v>0</v>
      </c>
      <c r="Z136" s="88">
        <v>41203.08975694444</v>
      </c>
      <c r="AA136" s="88">
        <v>41203.08975694444</v>
      </c>
      <c r="AB136" s="81"/>
      <c r="AC136" s="81"/>
      <c r="AD136" s="84" t="s">
        <v>1927</v>
      </c>
      <c r="AE136" s="82">
        <v>6</v>
      </c>
      <c r="AF136" s="83" t="str">
        <f>REPLACE(INDEX(GroupVertices[Group],MATCH(Edges[[#This Row],[Vertex 1]],GroupVertices[Vertex],0)),1,1,"")</f>
        <v>1</v>
      </c>
      <c r="AG136" s="83" t="str">
        <f>REPLACE(INDEX(GroupVertices[Group],MATCH(Edges[[#This Row],[Vertex 2]],GroupVertices[Vertex],0)),1,1,"")</f>
        <v>1</v>
      </c>
      <c r="AH136" s="111">
        <v>2</v>
      </c>
      <c r="AI136" s="112">
        <v>1.941747572815534</v>
      </c>
      <c r="AJ136" s="111">
        <v>1</v>
      </c>
      <c r="AK136" s="112">
        <v>0.970873786407767</v>
      </c>
      <c r="AL136" s="111">
        <v>0</v>
      </c>
      <c r="AM136" s="112">
        <v>0</v>
      </c>
      <c r="AN136" s="111">
        <v>100</v>
      </c>
      <c r="AO136" s="112">
        <v>97.0873786407767</v>
      </c>
      <c r="AP136" s="111">
        <v>103</v>
      </c>
    </row>
    <row r="137" spans="1:42" ht="15">
      <c r="A137" s="65" t="s">
        <v>433</v>
      </c>
      <c r="B137" s="65" t="s">
        <v>786</v>
      </c>
      <c r="C137" s="66" t="s">
        <v>4509</v>
      </c>
      <c r="D137" s="67">
        <v>3</v>
      </c>
      <c r="E137" s="68"/>
      <c r="F137" s="69">
        <v>40</v>
      </c>
      <c r="G137" s="66"/>
      <c r="H137" s="70"/>
      <c r="I137" s="71"/>
      <c r="J137" s="71"/>
      <c r="K137" s="35" t="s">
        <v>65</v>
      </c>
      <c r="L137" s="79">
        <v>137</v>
      </c>
      <c r="M137" s="79"/>
      <c r="N137" s="73"/>
      <c r="O137" s="81" t="s">
        <v>788</v>
      </c>
      <c r="P137" s="81" t="s">
        <v>325</v>
      </c>
      <c r="Q137" s="84" t="s">
        <v>925</v>
      </c>
      <c r="R137" s="81" t="s">
        <v>433</v>
      </c>
      <c r="S137" s="81" t="s">
        <v>1501</v>
      </c>
      <c r="T137" s="86" t="str">
        <f>HYPERLINK("http://www.youtube.com/channel/UCD7z5qCfaEUzzE9XroaV_ew")</f>
        <v>http://www.youtube.com/channel/UCD7z5qCfaEUzzE9XroaV_ew</v>
      </c>
      <c r="U137" s="81"/>
      <c r="V137" s="81" t="s">
        <v>1885</v>
      </c>
      <c r="W137" s="86" t="str">
        <f>HYPERLINK("https://www.youtube.com/watch?v=wadBvDPeE4E")</f>
        <v>https://www.youtube.com/watch?v=wadBvDPeE4E</v>
      </c>
      <c r="X137" s="81" t="s">
        <v>1886</v>
      </c>
      <c r="Y137" s="81">
        <v>0</v>
      </c>
      <c r="Z137" s="88">
        <v>41203.1</v>
      </c>
      <c r="AA137" s="88">
        <v>41203.1</v>
      </c>
      <c r="AB137" s="81"/>
      <c r="AC137" s="81"/>
      <c r="AD137" s="84" t="s">
        <v>1927</v>
      </c>
      <c r="AE137" s="82">
        <v>1</v>
      </c>
      <c r="AF137" s="83" t="str">
        <f>REPLACE(INDEX(GroupVertices[Group],MATCH(Edges[[#This Row],[Vertex 1]],GroupVertices[Vertex],0)),1,1,"")</f>
        <v>1</v>
      </c>
      <c r="AG137" s="83" t="str">
        <f>REPLACE(INDEX(GroupVertices[Group],MATCH(Edges[[#This Row],[Vertex 2]],GroupVertices[Vertex],0)),1,1,"")</f>
        <v>1</v>
      </c>
      <c r="AH137" s="111">
        <v>0</v>
      </c>
      <c r="AI137" s="112">
        <v>0</v>
      </c>
      <c r="AJ137" s="111">
        <v>0</v>
      </c>
      <c r="AK137" s="112">
        <v>0</v>
      </c>
      <c r="AL137" s="111">
        <v>0</v>
      </c>
      <c r="AM137" s="112">
        <v>0</v>
      </c>
      <c r="AN137" s="111">
        <v>8</v>
      </c>
      <c r="AO137" s="112">
        <v>100</v>
      </c>
      <c r="AP137" s="111">
        <v>8</v>
      </c>
    </row>
    <row r="138" spans="1:42" ht="15">
      <c r="A138" s="65" t="s">
        <v>434</v>
      </c>
      <c r="B138" s="65" t="s">
        <v>786</v>
      </c>
      <c r="C138" s="66" t="s">
        <v>4509</v>
      </c>
      <c r="D138" s="67">
        <v>3</v>
      </c>
      <c r="E138" s="68"/>
      <c r="F138" s="69">
        <v>40</v>
      </c>
      <c r="G138" s="66"/>
      <c r="H138" s="70"/>
      <c r="I138" s="71"/>
      <c r="J138" s="71"/>
      <c r="K138" s="35" t="s">
        <v>65</v>
      </c>
      <c r="L138" s="79">
        <v>138</v>
      </c>
      <c r="M138" s="79"/>
      <c r="N138" s="73"/>
      <c r="O138" s="81" t="s">
        <v>788</v>
      </c>
      <c r="P138" s="81" t="s">
        <v>325</v>
      </c>
      <c r="Q138" s="84" t="s">
        <v>926</v>
      </c>
      <c r="R138" s="81" t="s">
        <v>434</v>
      </c>
      <c r="S138" s="81" t="s">
        <v>1502</v>
      </c>
      <c r="T138" s="86" t="str">
        <f>HYPERLINK("http://www.youtube.com/channel/UCzOfJgHp5LlnvNR4gQllD-w")</f>
        <v>http://www.youtube.com/channel/UCzOfJgHp5LlnvNR4gQllD-w</v>
      </c>
      <c r="U138" s="81"/>
      <c r="V138" s="81" t="s">
        <v>1885</v>
      </c>
      <c r="W138" s="86" t="str">
        <f>HYPERLINK("https://www.youtube.com/watch?v=wadBvDPeE4E")</f>
        <v>https://www.youtube.com/watch?v=wadBvDPeE4E</v>
      </c>
      <c r="X138" s="81" t="s">
        <v>1886</v>
      </c>
      <c r="Y138" s="81">
        <v>0</v>
      </c>
      <c r="Z138" s="88">
        <v>41203.112708333334</v>
      </c>
      <c r="AA138" s="88">
        <v>41203.112708333334</v>
      </c>
      <c r="AB138" s="81"/>
      <c r="AC138" s="81"/>
      <c r="AD138" s="84" t="s">
        <v>1927</v>
      </c>
      <c r="AE138" s="82">
        <v>1</v>
      </c>
      <c r="AF138" s="83" t="str">
        <f>REPLACE(INDEX(GroupVertices[Group],MATCH(Edges[[#This Row],[Vertex 1]],GroupVertices[Vertex],0)),1,1,"")</f>
        <v>1</v>
      </c>
      <c r="AG138" s="83" t="str">
        <f>REPLACE(INDEX(GroupVertices[Group],MATCH(Edges[[#This Row],[Vertex 2]],GroupVertices[Vertex],0)),1,1,"")</f>
        <v>1</v>
      </c>
      <c r="AH138" s="111">
        <v>0</v>
      </c>
      <c r="AI138" s="112">
        <v>0</v>
      </c>
      <c r="AJ138" s="111">
        <v>0</v>
      </c>
      <c r="AK138" s="112">
        <v>0</v>
      </c>
      <c r="AL138" s="111">
        <v>0</v>
      </c>
      <c r="AM138" s="112">
        <v>0</v>
      </c>
      <c r="AN138" s="111">
        <v>15</v>
      </c>
      <c r="AO138" s="112">
        <v>100</v>
      </c>
      <c r="AP138" s="111">
        <v>15</v>
      </c>
    </row>
    <row r="139" spans="1:42" ht="15">
      <c r="A139" s="65" t="s">
        <v>435</v>
      </c>
      <c r="B139" s="65" t="s">
        <v>786</v>
      </c>
      <c r="C139" s="66" t="s">
        <v>4509</v>
      </c>
      <c r="D139" s="67">
        <v>3</v>
      </c>
      <c r="E139" s="68"/>
      <c r="F139" s="69">
        <v>40</v>
      </c>
      <c r="G139" s="66"/>
      <c r="H139" s="70"/>
      <c r="I139" s="71"/>
      <c r="J139" s="71"/>
      <c r="K139" s="35" t="s">
        <v>65</v>
      </c>
      <c r="L139" s="79">
        <v>139</v>
      </c>
      <c r="M139" s="79"/>
      <c r="N139" s="73"/>
      <c r="O139" s="81" t="s">
        <v>788</v>
      </c>
      <c r="P139" s="81" t="s">
        <v>325</v>
      </c>
      <c r="Q139" s="84" t="s">
        <v>927</v>
      </c>
      <c r="R139" s="81" t="s">
        <v>435</v>
      </c>
      <c r="S139" s="81" t="s">
        <v>1503</v>
      </c>
      <c r="T139" s="86" t="str">
        <f>HYPERLINK("http://www.youtube.com/channel/UCKgK_4vy5F___TN3PkqCBTA")</f>
        <v>http://www.youtube.com/channel/UCKgK_4vy5F___TN3PkqCBTA</v>
      </c>
      <c r="U139" s="81"/>
      <c r="V139" s="81" t="s">
        <v>1885</v>
      </c>
      <c r="W139" s="86" t="str">
        <f>HYPERLINK("https://www.youtube.com/watch?v=wadBvDPeE4E")</f>
        <v>https://www.youtube.com/watch?v=wadBvDPeE4E</v>
      </c>
      <c r="X139" s="81" t="s">
        <v>1886</v>
      </c>
      <c r="Y139" s="81">
        <v>0</v>
      </c>
      <c r="Z139" s="88">
        <v>41203.11310185185</v>
      </c>
      <c r="AA139" s="88">
        <v>41203.11310185185</v>
      </c>
      <c r="AB139" s="81"/>
      <c r="AC139" s="81"/>
      <c r="AD139" s="84" t="s">
        <v>1927</v>
      </c>
      <c r="AE139" s="82">
        <v>1</v>
      </c>
      <c r="AF139" s="83" t="str">
        <f>REPLACE(INDEX(GroupVertices[Group],MATCH(Edges[[#This Row],[Vertex 1]],GroupVertices[Vertex],0)),1,1,"")</f>
        <v>1</v>
      </c>
      <c r="AG139" s="83" t="str">
        <f>REPLACE(INDEX(GroupVertices[Group],MATCH(Edges[[#This Row],[Vertex 2]],GroupVertices[Vertex],0)),1,1,"")</f>
        <v>1</v>
      </c>
      <c r="AH139" s="111">
        <v>0</v>
      </c>
      <c r="AI139" s="112">
        <v>0</v>
      </c>
      <c r="AJ139" s="111">
        <v>0</v>
      </c>
      <c r="AK139" s="112">
        <v>0</v>
      </c>
      <c r="AL139" s="111">
        <v>0</v>
      </c>
      <c r="AM139" s="112">
        <v>0</v>
      </c>
      <c r="AN139" s="111">
        <v>6</v>
      </c>
      <c r="AO139" s="112">
        <v>100</v>
      </c>
      <c r="AP139" s="111">
        <v>6</v>
      </c>
    </row>
    <row r="140" spans="1:42" ht="15">
      <c r="A140" s="65" t="s">
        <v>436</v>
      </c>
      <c r="B140" s="65" t="s">
        <v>786</v>
      </c>
      <c r="C140" s="66" t="s">
        <v>4516</v>
      </c>
      <c r="D140" s="67">
        <v>10</v>
      </c>
      <c r="E140" s="68"/>
      <c r="F140" s="69">
        <v>15</v>
      </c>
      <c r="G140" s="66"/>
      <c r="H140" s="70"/>
      <c r="I140" s="71"/>
      <c r="J140" s="71"/>
      <c r="K140" s="35" t="s">
        <v>65</v>
      </c>
      <c r="L140" s="79">
        <v>140</v>
      </c>
      <c r="M140" s="79"/>
      <c r="N140" s="73"/>
      <c r="O140" s="81" t="s">
        <v>788</v>
      </c>
      <c r="P140" s="81" t="s">
        <v>325</v>
      </c>
      <c r="Q140" s="84" t="s">
        <v>928</v>
      </c>
      <c r="R140" s="81" t="s">
        <v>436</v>
      </c>
      <c r="S140" s="81" t="s">
        <v>1504</v>
      </c>
      <c r="T140" s="86" t="str">
        <f>HYPERLINK("http://www.youtube.com/channel/UCalKrFmeBM-gF2su6yGVEfA")</f>
        <v>http://www.youtube.com/channel/UCalKrFmeBM-gF2su6yGVEfA</v>
      </c>
      <c r="U140" s="81"/>
      <c r="V140" s="81" t="s">
        <v>1885</v>
      </c>
      <c r="W140" s="86" t="str">
        <f>HYPERLINK("https://www.youtube.com/watch?v=wadBvDPeE4E")</f>
        <v>https://www.youtube.com/watch?v=wadBvDPeE4E</v>
      </c>
      <c r="X140" s="81" t="s">
        <v>1886</v>
      </c>
      <c r="Y140" s="81">
        <v>0</v>
      </c>
      <c r="Z140" s="88">
        <v>41202.64157407408</v>
      </c>
      <c r="AA140" s="88">
        <v>41202.64157407408</v>
      </c>
      <c r="AB140" s="81"/>
      <c r="AC140" s="81"/>
      <c r="AD140" s="84" t="s">
        <v>1927</v>
      </c>
      <c r="AE140" s="82">
        <v>12</v>
      </c>
      <c r="AF140" s="83" t="str">
        <f>REPLACE(INDEX(GroupVertices[Group],MATCH(Edges[[#This Row],[Vertex 1]],GroupVertices[Vertex],0)),1,1,"")</f>
        <v>1</v>
      </c>
      <c r="AG140" s="83" t="str">
        <f>REPLACE(INDEX(GroupVertices[Group],MATCH(Edges[[#This Row],[Vertex 2]],GroupVertices[Vertex],0)),1,1,"")</f>
        <v>1</v>
      </c>
      <c r="AH140" s="111">
        <v>1</v>
      </c>
      <c r="AI140" s="112">
        <v>1.1904761904761905</v>
      </c>
      <c r="AJ140" s="111">
        <v>2</v>
      </c>
      <c r="AK140" s="112">
        <v>2.380952380952381</v>
      </c>
      <c r="AL140" s="111">
        <v>0</v>
      </c>
      <c r="AM140" s="112">
        <v>0</v>
      </c>
      <c r="AN140" s="111">
        <v>81</v>
      </c>
      <c r="AO140" s="112">
        <v>96.42857142857143</v>
      </c>
      <c r="AP140" s="111">
        <v>84</v>
      </c>
    </row>
    <row r="141" spans="1:42" ht="15">
      <c r="A141" s="65" t="s">
        <v>436</v>
      </c>
      <c r="B141" s="65" t="s">
        <v>786</v>
      </c>
      <c r="C141" s="66" t="s">
        <v>4516</v>
      </c>
      <c r="D141" s="67">
        <v>10</v>
      </c>
      <c r="E141" s="68"/>
      <c r="F141" s="69">
        <v>15</v>
      </c>
      <c r="G141" s="66"/>
      <c r="H141" s="70"/>
      <c r="I141" s="71"/>
      <c r="J141" s="71"/>
      <c r="K141" s="35" t="s">
        <v>65</v>
      </c>
      <c r="L141" s="79">
        <v>141</v>
      </c>
      <c r="M141" s="79"/>
      <c r="N141" s="73"/>
      <c r="O141" s="81" t="s">
        <v>788</v>
      </c>
      <c r="P141" s="81" t="s">
        <v>325</v>
      </c>
      <c r="Q141" s="84" t="s">
        <v>929</v>
      </c>
      <c r="R141" s="81" t="s">
        <v>436</v>
      </c>
      <c r="S141" s="81" t="s">
        <v>1504</v>
      </c>
      <c r="T141" s="86" t="str">
        <f>HYPERLINK("http://www.youtube.com/channel/UCalKrFmeBM-gF2su6yGVEfA")</f>
        <v>http://www.youtube.com/channel/UCalKrFmeBM-gF2su6yGVEfA</v>
      </c>
      <c r="U141" s="81"/>
      <c r="V141" s="81" t="s">
        <v>1885</v>
      </c>
      <c r="W141" s="86" t="str">
        <f>HYPERLINK("https://www.youtube.com/watch?v=wadBvDPeE4E")</f>
        <v>https://www.youtube.com/watch?v=wadBvDPeE4E</v>
      </c>
      <c r="X141" s="81" t="s">
        <v>1886</v>
      </c>
      <c r="Y141" s="81">
        <v>0</v>
      </c>
      <c r="Z141" s="88">
        <v>41202.67763888889</v>
      </c>
      <c r="AA141" s="88">
        <v>41202.67763888889</v>
      </c>
      <c r="AB141" s="81"/>
      <c r="AC141" s="81"/>
      <c r="AD141" s="84" t="s">
        <v>1927</v>
      </c>
      <c r="AE141" s="82">
        <v>12</v>
      </c>
      <c r="AF141" s="83" t="str">
        <f>REPLACE(INDEX(GroupVertices[Group],MATCH(Edges[[#This Row],[Vertex 1]],GroupVertices[Vertex],0)),1,1,"")</f>
        <v>1</v>
      </c>
      <c r="AG141" s="83" t="str">
        <f>REPLACE(INDEX(GroupVertices[Group],MATCH(Edges[[#This Row],[Vertex 2]],GroupVertices[Vertex],0)),1,1,"")</f>
        <v>1</v>
      </c>
      <c r="AH141" s="111">
        <v>3</v>
      </c>
      <c r="AI141" s="112">
        <v>3.225806451612903</v>
      </c>
      <c r="AJ141" s="111">
        <v>2</v>
      </c>
      <c r="AK141" s="112">
        <v>2.150537634408602</v>
      </c>
      <c r="AL141" s="111">
        <v>0</v>
      </c>
      <c r="AM141" s="112">
        <v>0</v>
      </c>
      <c r="AN141" s="111">
        <v>88</v>
      </c>
      <c r="AO141" s="112">
        <v>94.6236559139785</v>
      </c>
      <c r="AP141" s="111">
        <v>93</v>
      </c>
    </row>
    <row r="142" spans="1:42" ht="15">
      <c r="A142" s="65" t="s">
        <v>436</v>
      </c>
      <c r="B142" s="65" t="s">
        <v>786</v>
      </c>
      <c r="C142" s="66" t="s">
        <v>4516</v>
      </c>
      <c r="D142" s="67">
        <v>10</v>
      </c>
      <c r="E142" s="68"/>
      <c r="F142" s="69">
        <v>15</v>
      </c>
      <c r="G142" s="66"/>
      <c r="H142" s="70"/>
      <c r="I142" s="71"/>
      <c r="J142" s="71"/>
      <c r="K142" s="35" t="s">
        <v>65</v>
      </c>
      <c r="L142" s="79">
        <v>142</v>
      </c>
      <c r="M142" s="79"/>
      <c r="N142" s="73"/>
      <c r="O142" s="81" t="s">
        <v>788</v>
      </c>
      <c r="P142" s="81" t="s">
        <v>325</v>
      </c>
      <c r="Q142" s="84" t="s">
        <v>930</v>
      </c>
      <c r="R142" s="81" t="s">
        <v>436</v>
      </c>
      <c r="S142" s="81" t="s">
        <v>1504</v>
      </c>
      <c r="T142" s="86" t="str">
        <f>HYPERLINK("http://www.youtube.com/channel/UCalKrFmeBM-gF2su6yGVEfA")</f>
        <v>http://www.youtube.com/channel/UCalKrFmeBM-gF2su6yGVEfA</v>
      </c>
      <c r="U142" s="81"/>
      <c r="V142" s="81" t="s">
        <v>1885</v>
      </c>
      <c r="W142" s="86" t="str">
        <f>HYPERLINK("https://www.youtube.com/watch?v=wadBvDPeE4E")</f>
        <v>https://www.youtube.com/watch?v=wadBvDPeE4E</v>
      </c>
      <c r="X142" s="81" t="s">
        <v>1886</v>
      </c>
      <c r="Y142" s="81">
        <v>0</v>
      </c>
      <c r="Z142" s="88">
        <v>41202.74186342592</v>
      </c>
      <c r="AA142" s="88">
        <v>41202.74186342592</v>
      </c>
      <c r="AB142" s="81"/>
      <c r="AC142" s="81"/>
      <c r="AD142" s="84" t="s">
        <v>1927</v>
      </c>
      <c r="AE142" s="82">
        <v>12</v>
      </c>
      <c r="AF142" s="83" t="str">
        <f>REPLACE(INDEX(GroupVertices[Group],MATCH(Edges[[#This Row],[Vertex 1]],GroupVertices[Vertex],0)),1,1,"")</f>
        <v>1</v>
      </c>
      <c r="AG142" s="83" t="str">
        <f>REPLACE(INDEX(GroupVertices[Group],MATCH(Edges[[#This Row],[Vertex 2]],GroupVertices[Vertex],0)),1,1,"")</f>
        <v>1</v>
      </c>
      <c r="AH142" s="111">
        <v>3</v>
      </c>
      <c r="AI142" s="112">
        <v>3.1914893617021276</v>
      </c>
      <c r="AJ142" s="111">
        <v>5</v>
      </c>
      <c r="AK142" s="112">
        <v>5.319148936170213</v>
      </c>
      <c r="AL142" s="111">
        <v>0</v>
      </c>
      <c r="AM142" s="112">
        <v>0</v>
      </c>
      <c r="AN142" s="111">
        <v>86</v>
      </c>
      <c r="AO142" s="112">
        <v>91.48936170212765</v>
      </c>
      <c r="AP142" s="111">
        <v>94</v>
      </c>
    </row>
    <row r="143" spans="1:42" ht="15">
      <c r="A143" s="65" t="s">
        <v>436</v>
      </c>
      <c r="B143" s="65" t="s">
        <v>786</v>
      </c>
      <c r="C143" s="66" t="s">
        <v>4516</v>
      </c>
      <c r="D143" s="67">
        <v>10</v>
      </c>
      <c r="E143" s="68"/>
      <c r="F143" s="69">
        <v>15</v>
      </c>
      <c r="G143" s="66"/>
      <c r="H143" s="70"/>
      <c r="I143" s="71"/>
      <c r="J143" s="71"/>
      <c r="K143" s="35" t="s">
        <v>65</v>
      </c>
      <c r="L143" s="79">
        <v>143</v>
      </c>
      <c r="M143" s="79"/>
      <c r="N143" s="73"/>
      <c r="O143" s="81" t="s">
        <v>788</v>
      </c>
      <c r="P143" s="81" t="s">
        <v>325</v>
      </c>
      <c r="Q143" s="84" t="s">
        <v>931</v>
      </c>
      <c r="R143" s="81" t="s">
        <v>436</v>
      </c>
      <c r="S143" s="81" t="s">
        <v>1504</v>
      </c>
      <c r="T143" s="86" t="str">
        <f>HYPERLINK("http://www.youtube.com/channel/UCalKrFmeBM-gF2su6yGVEfA")</f>
        <v>http://www.youtube.com/channel/UCalKrFmeBM-gF2su6yGVEfA</v>
      </c>
      <c r="U143" s="81"/>
      <c r="V143" s="81" t="s">
        <v>1885</v>
      </c>
      <c r="W143" s="86" t="str">
        <f>HYPERLINK("https://www.youtube.com/watch?v=wadBvDPeE4E")</f>
        <v>https://www.youtube.com/watch?v=wadBvDPeE4E</v>
      </c>
      <c r="X143" s="81" t="s">
        <v>1886</v>
      </c>
      <c r="Y143" s="81">
        <v>0</v>
      </c>
      <c r="Z143" s="88">
        <v>41202.7437037037</v>
      </c>
      <c r="AA143" s="88">
        <v>41202.7437037037</v>
      </c>
      <c r="AB143" s="81"/>
      <c r="AC143" s="81"/>
      <c r="AD143" s="84" t="s">
        <v>1927</v>
      </c>
      <c r="AE143" s="82">
        <v>12</v>
      </c>
      <c r="AF143" s="83" t="str">
        <f>REPLACE(INDEX(GroupVertices[Group],MATCH(Edges[[#This Row],[Vertex 1]],GroupVertices[Vertex],0)),1,1,"")</f>
        <v>1</v>
      </c>
      <c r="AG143" s="83" t="str">
        <f>REPLACE(INDEX(GroupVertices[Group],MATCH(Edges[[#This Row],[Vertex 2]],GroupVertices[Vertex],0)),1,1,"")</f>
        <v>1</v>
      </c>
      <c r="AH143" s="111">
        <v>0</v>
      </c>
      <c r="AI143" s="112">
        <v>0</v>
      </c>
      <c r="AJ143" s="111">
        <v>1</v>
      </c>
      <c r="AK143" s="112">
        <v>7.6923076923076925</v>
      </c>
      <c r="AL143" s="111">
        <v>0</v>
      </c>
      <c r="AM143" s="112">
        <v>0</v>
      </c>
      <c r="AN143" s="111">
        <v>12</v>
      </c>
      <c r="AO143" s="112">
        <v>92.3076923076923</v>
      </c>
      <c r="AP143" s="111">
        <v>13</v>
      </c>
    </row>
    <row r="144" spans="1:42" ht="15">
      <c r="A144" s="65" t="s">
        <v>436</v>
      </c>
      <c r="B144" s="65" t="s">
        <v>786</v>
      </c>
      <c r="C144" s="66" t="s">
        <v>4516</v>
      </c>
      <c r="D144" s="67">
        <v>10</v>
      </c>
      <c r="E144" s="68"/>
      <c r="F144" s="69">
        <v>15</v>
      </c>
      <c r="G144" s="66"/>
      <c r="H144" s="70"/>
      <c r="I144" s="71"/>
      <c r="J144" s="71"/>
      <c r="K144" s="35" t="s">
        <v>65</v>
      </c>
      <c r="L144" s="79">
        <v>144</v>
      </c>
      <c r="M144" s="79"/>
      <c r="N144" s="73"/>
      <c r="O144" s="81" t="s">
        <v>788</v>
      </c>
      <c r="P144" s="81" t="s">
        <v>325</v>
      </c>
      <c r="Q144" s="84" t="s">
        <v>932</v>
      </c>
      <c r="R144" s="81" t="s">
        <v>436</v>
      </c>
      <c r="S144" s="81" t="s">
        <v>1504</v>
      </c>
      <c r="T144" s="86" t="str">
        <f>HYPERLINK("http://www.youtube.com/channel/UCalKrFmeBM-gF2su6yGVEfA")</f>
        <v>http://www.youtube.com/channel/UCalKrFmeBM-gF2su6yGVEfA</v>
      </c>
      <c r="U144" s="81"/>
      <c r="V144" s="81" t="s">
        <v>1885</v>
      </c>
      <c r="W144" s="86" t="str">
        <f>HYPERLINK("https://www.youtube.com/watch?v=wadBvDPeE4E")</f>
        <v>https://www.youtube.com/watch?v=wadBvDPeE4E</v>
      </c>
      <c r="X144" s="81" t="s">
        <v>1886</v>
      </c>
      <c r="Y144" s="81">
        <v>0</v>
      </c>
      <c r="Z144" s="88">
        <v>41202.81340277778</v>
      </c>
      <c r="AA144" s="88">
        <v>41202.81340277778</v>
      </c>
      <c r="AB144" s="81"/>
      <c r="AC144" s="81"/>
      <c r="AD144" s="84" t="s">
        <v>1927</v>
      </c>
      <c r="AE144" s="82">
        <v>12</v>
      </c>
      <c r="AF144" s="83" t="str">
        <f>REPLACE(INDEX(GroupVertices[Group],MATCH(Edges[[#This Row],[Vertex 1]],GroupVertices[Vertex],0)),1,1,"")</f>
        <v>1</v>
      </c>
      <c r="AG144" s="83" t="str">
        <f>REPLACE(INDEX(GroupVertices[Group],MATCH(Edges[[#This Row],[Vertex 2]],GroupVertices[Vertex],0)),1,1,"")</f>
        <v>1</v>
      </c>
      <c r="AH144" s="111">
        <v>1</v>
      </c>
      <c r="AI144" s="112">
        <v>1.075268817204301</v>
      </c>
      <c r="AJ144" s="111">
        <v>0</v>
      </c>
      <c r="AK144" s="112">
        <v>0</v>
      </c>
      <c r="AL144" s="111">
        <v>0</v>
      </c>
      <c r="AM144" s="112">
        <v>0</v>
      </c>
      <c r="AN144" s="111">
        <v>92</v>
      </c>
      <c r="AO144" s="112">
        <v>98.9247311827957</v>
      </c>
      <c r="AP144" s="111">
        <v>93</v>
      </c>
    </row>
    <row r="145" spans="1:42" ht="15">
      <c r="A145" s="65" t="s">
        <v>436</v>
      </c>
      <c r="B145" s="65" t="s">
        <v>786</v>
      </c>
      <c r="C145" s="66" t="s">
        <v>4516</v>
      </c>
      <c r="D145" s="67">
        <v>10</v>
      </c>
      <c r="E145" s="68"/>
      <c r="F145" s="69">
        <v>15</v>
      </c>
      <c r="G145" s="66"/>
      <c r="H145" s="70"/>
      <c r="I145" s="71"/>
      <c r="J145" s="71"/>
      <c r="K145" s="35" t="s">
        <v>65</v>
      </c>
      <c r="L145" s="79">
        <v>145</v>
      </c>
      <c r="M145" s="79"/>
      <c r="N145" s="73"/>
      <c r="O145" s="81" t="s">
        <v>788</v>
      </c>
      <c r="P145" s="81" t="s">
        <v>325</v>
      </c>
      <c r="Q145" s="84" t="s">
        <v>933</v>
      </c>
      <c r="R145" s="81" t="s">
        <v>436</v>
      </c>
      <c r="S145" s="81" t="s">
        <v>1504</v>
      </c>
      <c r="T145" s="86" t="str">
        <f>HYPERLINK("http://www.youtube.com/channel/UCalKrFmeBM-gF2su6yGVEfA")</f>
        <v>http://www.youtube.com/channel/UCalKrFmeBM-gF2su6yGVEfA</v>
      </c>
      <c r="U145" s="81"/>
      <c r="V145" s="81" t="s">
        <v>1885</v>
      </c>
      <c r="W145" s="86" t="str">
        <f>HYPERLINK("https://www.youtube.com/watch?v=wadBvDPeE4E")</f>
        <v>https://www.youtube.com/watch?v=wadBvDPeE4E</v>
      </c>
      <c r="X145" s="81" t="s">
        <v>1886</v>
      </c>
      <c r="Y145" s="81">
        <v>1</v>
      </c>
      <c r="Z145" s="88">
        <v>41202.81381944445</v>
      </c>
      <c r="AA145" s="88">
        <v>41202.81381944445</v>
      </c>
      <c r="AB145" s="81"/>
      <c r="AC145" s="81"/>
      <c r="AD145" s="84" t="s">
        <v>1927</v>
      </c>
      <c r="AE145" s="82">
        <v>12</v>
      </c>
      <c r="AF145" s="83" t="str">
        <f>REPLACE(INDEX(GroupVertices[Group],MATCH(Edges[[#This Row],[Vertex 1]],GroupVertices[Vertex],0)),1,1,"")</f>
        <v>1</v>
      </c>
      <c r="AG145" s="83" t="str">
        <f>REPLACE(INDEX(GroupVertices[Group],MATCH(Edges[[#This Row],[Vertex 2]],GroupVertices[Vertex],0)),1,1,"")</f>
        <v>1</v>
      </c>
      <c r="AH145" s="111">
        <v>1</v>
      </c>
      <c r="AI145" s="112">
        <v>7.142857142857143</v>
      </c>
      <c r="AJ145" s="111">
        <v>0</v>
      </c>
      <c r="AK145" s="112">
        <v>0</v>
      </c>
      <c r="AL145" s="111">
        <v>0</v>
      </c>
      <c r="AM145" s="112">
        <v>0</v>
      </c>
      <c r="AN145" s="111">
        <v>13</v>
      </c>
      <c r="AO145" s="112">
        <v>92.85714285714286</v>
      </c>
      <c r="AP145" s="111">
        <v>14</v>
      </c>
    </row>
    <row r="146" spans="1:42" ht="15">
      <c r="A146" s="65" t="s">
        <v>436</v>
      </c>
      <c r="B146" s="65" t="s">
        <v>786</v>
      </c>
      <c r="C146" s="66" t="s">
        <v>4516</v>
      </c>
      <c r="D146" s="67">
        <v>10</v>
      </c>
      <c r="E146" s="68"/>
      <c r="F146" s="69">
        <v>15</v>
      </c>
      <c r="G146" s="66"/>
      <c r="H146" s="70"/>
      <c r="I146" s="71"/>
      <c r="J146" s="71"/>
      <c r="K146" s="35" t="s">
        <v>65</v>
      </c>
      <c r="L146" s="79">
        <v>146</v>
      </c>
      <c r="M146" s="79"/>
      <c r="N146" s="73"/>
      <c r="O146" s="81" t="s">
        <v>788</v>
      </c>
      <c r="P146" s="81" t="s">
        <v>325</v>
      </c>
      <c r="Q146" s="84" t="s">
        <v>934</v>
      </c>
      <c r="R146" s="81" t="s">
        <v>436</v>
      </c>
      <c r="S146" s="81" t="s">
        <v>1504</v>
      </c>
      <c r="T146" s="86" t="str">
        <f>HYPERLINK("http://www.youtube.com/channel/UCalKrFmeBM-gF2su6yGVEfA")</f>
        <v>http://www.youtube.com/channel/UCalKrFmeBM-gF2su6yGVEfA</v>
      </c>
      <c r="U146" s="81"/>
      <c r="V146" s="81" t="s">
        <v>1885</v>
      </c>
      <c r="W146" s="86" t="str">
        <f>HYPERLINK("https://www.youtube.com/watch?v=wadBvDPeE4E")</f>
        <v>https://www.youtube.com/watch?v=wadBvDPeE4E</v>
      </c>
      <c r="X146" s="81" t="s">
        <v>1886</v>
      </c>
      <c r="Y146" s="81">
        <v>0</v>
      </c>
      <c r="Z146" s="88">
        <v>41202.85005787037</v>
      </c>
      <c r="AA146" s="88">
        <v>41202.85005787037</v>
      </c>
      <c r="AB146" s="81"/>
      <c r="AC146" s="81"/>
      <c r="AD146" s="84" t="s">
        <v>1927</v>
      </c>
      <c r="AE146" s="82">
        <v>12</v>
      </c>
      <c r="AF146" s="83" t="str">
        <f>REPLACE(INDEX(GroupVertices[Group],MATCH(Edges[[#This Row],[Vertex 1]],GroupVertices[Vertex],0)),1,1,"")</f>
        <v>1</v>
      </c>
      <c r="AG146" s="83" t="str">
        <f>REPLACE(INDEX(GroupVertices[Group],MATCH(Edges[[#This Row],[Vertex 2]],GroupVertices[Vertex],0)),1,1,"")</f>
        <v>1</v>
      </c>
      <c r="AH146" s="111">
        <v>0</v>
      </c>
      <c r="AI146" s="112">
        <v>0</v>
      </c>
      <c r="AJ146" s="111">
        <v>0</v>
      </c>
      <c r="AK146" s="112">
        <v>0</v>
      </c>
      <c r="AL146" s="111">
        <v>0</v>
      </c>
      <c r="AM146" s="112">
        <v>0</v>
      </c>
      <c r="AN146" s="111">
        <v>32</v>
      </c>
      <c r="AO146" s="112">
        <v>100</v>
      </c>
      <c r="AP146" s="111">
        <v>32</v>
      </c>
    </row>
    <row r="147" spans="1:42" ht="15">
      <c r="A147" s="65" t="s">
        <v>436</v>
      </c>
      <c r="B147" s="65" t="s">
        <v>786</v>
      </c>
      <c r="C147" s="66" t="s">
        <v>4516</v>
      </c>
      <c r="D147" s="67">
        <v>10</v>
      </c>
      <c r="E147" s="68"/>
      <c r="F147" s="69">
        <v>15</v>
      </c>
      <c r="G147" s="66"/>
      <c r="H147" s="70"/>
      <c r="I147" s="71"/>
      <c r="J147" s="71"/>
      <c r="K147" s="35" t="s">
        <v>65</v>
      </c>
      <c r="L147" s="79">
        <v>147</v>
      </c>
      <c r="M147" s="79"/>
      <c r="N147" s="73"/>
      <c r="O147" s="81" t="s">
        <v>788</v>
      </c>
      <c r="P147" s="81" t="s">
        <v>325</v>
      </c>
      <c r="Q147" s="84" t="s">
        <v>935</v>
      </c>
      <c r="R147" s="81" t="s">
        <v>436</v>
      </c>
      <c r="S147" s="81" t="s">
        <v>1504</v>
      </c>
      <c r="T147" s="86" t="str">
        <f>HYPERLINK("http://www.youtube.com/channel/UCalKrFmeBM-gF2su6yGVEfA")</f>
        <v>http://www.youtube.com/channel/UCalKrFmeBM-gF2su6yGVEfA</v>
      </c>
      <c r="U147" s="81"/>
      <c r="V147" s="81" t="s">
        <v>1885</v>
      </c>
      <c r="W147" s="86" t="str">
        <f>HYPERLINK("https://www.youtube.com/watch?v=wadBvDPeE4E")</f>
        <v>https://www.youtube.com/watch?v=wadBvDPeE4E</v>
      </c>
      <c r="X147" s="81" t="s">
        <v>1886</v>
      </c>
      <c r="Y147" s="81">
        <v>0</v>
      </c>
      <c r="Z147" s="88">
        <v>41202.9365625</v>
      </c>
      <c r="AA147" s="88">
        <v>41202.9365625</v>
      </c>
      <c r="AB147" s="81"/>
      <c r="AC147" s="81"/>
      <c r="AD147" s="84" t="s">
        <v>1927</v>
      </c>
      <c r="AE147" s="82">
        <v>12</v>
      </c>
      <c r="AF147" s="83" t="str">
        <f>REPLACE(INDEX(GroupVertices[Group],MATCH(Edges[[#This Row],[Vertex 1]],GroupVertices[Vertex],0)),1,1,"")</f>
        <v>1</v>
      </c>
      <c r="AG147" s="83" t="str">
        <f>REPLACE(INDEX(GroupVertices[Group],MATCH(Edges[[#This Row],[Vertex 2]],GroupVertices[Vertex],0)),1,1,"")</f>
        <v>1</v>
      </c>
      <c r="AH147" s="111">
        <v>2</v>
      </c>
      <c r="AI147" s="112">
        <v>2.0618556701030926</v>
      </c>
      <c r="AJ147" s="111">
        <v>3</v>
      </c>
      <c r="AK147" s="112">
        <v>3.0927835051546393</v>
      </c>
      <c r="AL147" s="111">
        <v>0</v>
      </c>
      <c r="AM147" s="112">
        <v>0</v>
      </c>
      <c r="AN147" s="111">
        <v>92</v>
      </c>
      <c r="AO147" s="112">
        <v>94.84536082474227</v>
      </c>
      <c r="AP147" s="111">
        <v>97</v>
      </c>
    </row>
    <row r="148" spans="1:42" ht="15">
      <c r="A148" s="65" t="s">
        <v>436</v>
      </c>
      <c r="B148" s="65" t="s">
        <v>786</v>
      </c>
      <c r="C148" s="66" t="s">
        <v>4516</v>
      </c>
      <c r="D148" s="67">
        <v>10</v>
      </c>
      <c r="E148" s="68"/>
      <c r="F148" s="69">
        <v>15</v>
      </c>
      <c r="G148" s="66"/>
      <c r="H148" s="70"/>
      <c r="I148" s="71"/>
      <c r="J148" s="71"/>
      <c r="K148" s="35" t="s">
        <v>65</v>
      </c>
      <c r="L148" s="79">
        <v>148</v>
      </c>
      <c r="M148" s="79"/>
      <c r="N148" s="73"/>
      <c r="O148" s="81" t="s">
        <v>788</v>
      </c>
      <c r="P148" s="81" t="s">
        <v>325</v>
      </c>
      <c r="Q148" s="84" t="s">
        <v>936</v>
      </c>
      <c r="R148" s="81" t="s">
        <v>436</v>
      </c>
      <c r="S148" s="81" t="s">
        <v>1504</v>
      </c>
      <c r="T148" s="86" t="str">
        <f>HYPERLINK("http://www.youtube.com/channel/UCalKrFmeBM-gF2su6yGVEfA")</f>
        <v>http://www.youtube.com/channel/UCalKrFmeBM-gF2su6yGVEfA</v>
      </c>
      <c r="U148" s="81"/>
      <c r="V148" s="81" t="s">
        <v>1885</v>
      </c>
      <c r="W148" s="86" t="str">
        <f>HYPERLINK("https://www.youtube.com/watch?v=wadBvDPeE4E")</f>
        <v>https://www.youtube.com/watch?v=wadBvDPeE4E</v>
      </c>
      <c r="X148" s="81" t="s">
        <v>1886</v>
      </c>
      <c r="Y148" s="81">
        <v>0</v>
      </c>
      <c r="Z148" s="88">
        <v>41203.05238425926</v>
      </c>
      <c r="AA148" s="88">
        <v>41203.05238425926</v>
      </c>
      <c r="AB148" s="81"/>
      <c r="AC148" s="81"/>
      <c r="AD148" s="84" t="s">
        <v>1927</v>
      </c>
      <c r="AE148" s="82">
        <v>12</v>
      </c>
      <c r="AF148" s="83" t="str">
        <f>REPLACE(INDEX(GroupVertices[Group],MATCH(Edges[[#This Row],[Vertex 1]],GroupVertices[Vertex],0)),1,1,"")</f>
        <v>1</v>
      </c>
      <c r="AG148" s="83" t="str">
        <f>REPLACE(INDEX(GroupVertices[Group],MATCH(Edges[[#This Row],[Vertex 2]],GroupVertices[Vertex],0)),1,1,"")</f>
        <v>1</v>
      </c>
      <c r="AH148" s="111">
        <v>1</v>
      </c>
      <c r="AI148" s="112">
        <v>2</v>
      </c>
      <c r="AJ148" s="111">
        <v>3</v>
      </c>
      <c r="AK148" s="112">
        <v>6</v>
      </c>
      <c r="AL148" s="111">
        <v>0</v>
      </c>
      <c r="AM148" s="112">
        <v>0</v>
      </c>
      <c r="AN148" s="111">
        <v>46</v>
      </c>
      <c r="AO148" s="112">
        <v>92</v>
      </c>
      <c r="AP148" s="111">
        <v>50</v>
      </c>
    </row>
    <row r="149" spans="1:42" ht="15">
      <c r="A149" s="65" t="s">
        <v>436</v>
      </c>
      <c r="B149" s="65" t="s">
        <v>786</v>
      </c>
      <c r="C149" s="66" t="s">
        <v>4516</v>
      </c>
      <c r="D149" s="67">
        <v>10</v>
      </c>
      <c r="E149" s="68"/>
      <c r="F149" s="69">
        <v>15</v>
      </c>
      <c r="G149" s="66"/>
      <c r="H149" s="70"/>
      <c r="I149" s="71"/>
      <c r="J149" s="71"/>
      <c r="K149" s="35" t="s">
        <v>65</v>
      </c>
      <c r="L149" s="79">
        <v>149</v>
      </c>
      <c r="M149" s="79"/>
      <c r="N149" s="73"/>
      <c r="O149" s="81" t="s">
        <v>788</v>
      </c>
      <c r="P149" s="81" t="s">
        <v>325</v>
      </c>
      <c r="Q149" s="84" t="s">
        <v>937</v>
      </c>
      <c r="R149" s="81" t="s">
        <v>436</v>
      </c>
      <c r="S149" s="81" t="s">
        <v>1504</v>
      </c>
      <c r="T149" s="86" t="str">
        <f>HYPERLINK("http://www.youtube.com/channel/UCalKrFmeBM-gF2su6yGVEfA")</f>
        <v>http://www.youtube.com/channel/UCalKrFmeBM-gF2su6yGVEfA</v>
      </c>
      <c r="U149" s="81"/>
      <c r="V149" s="81" t="s">
        <v>1885</v>
      </c>
      <c r="W149" s="86" t="str">
        <f>HYPERLINK("https://www.youtube.com/watch?v=wadBvDPeE4E")</f>
        <v>https://www.youtube.com/watch?v=wadBvDPeE4E</v>
      </c>
      <c r="X149" s="81" t="s">
        <v>1886</v>
      </c>
      <c r="Y149" s="81">
        <v>0</v>
      </c>
      <c r="Z149" s="88">
        <v>41203.099490740744</v>
      </c>
      <c r="AA149" s="88">
        <v>41203.099490740744</v>
      </c>
      <c r="AB149" s="81"/>
      <c r="AC149" s="81"/>
      <c r="AD149" s="84" t="s">
        <v>1927</v>
      </c>
      <c r="AE149" s="82">
        <v>12</v>
      </c>
      <c r="AF149" s="83" t="str">
        <f>REPLACE(INDEX(GroupVertices[Group],MATCH(Edges[[#This Row],[Vertex 1]],GroupVertices[Vertex],0)),1,1,"")</f>
        <v>1</v>
      </c>
      <c r="AG149" s="83" t="str">
        <f>REPLACE(INDEX(GroupVertices[Group],MATCH(Edges[[#This Row],[Vertex 2]],GroupVertices[Vertex],0)),1,1,"")</f>
        <v>1</v>
      </c>
      <c r="AH149" s="111">
        <v>3</v>
      </c>
      <c r="AI149" s="112">
        <v>9.67741935483871</v>
      </c>
      <c r="AJ149" s="111">
        <v>0</v>
      </c>
      <c r="AK149" s="112">
        <v>0</v>
      </c>
      <c r="AL149" s="111">
        <v>0</v>
      </c>
      <c r="AM149" s="112">
        <v>0</v>
      </c>
      <c r="AN149" s="111">
        <v>28</v>
      </c>
      <c r="AO149" s="112">
        <v>90.3225806451613</v>
      </c>
      <c r="AP149" s="111">
        <v>31</v>
      </c>
    </row>
    <row r="150" spans="1:42" ht="15">
      <c r="A150" s="65" t="s">
        <v>436</v>
      </c>
      <c r="B150" s="65" t="s">
        <v>786</v>
      </c>
      <c r="C150" s="66" t="s">
        <v>4516</v>
      </c>
      <c r="D150" s="67">
        <v>10</v>
      </c>
      <c r="E150" s="68"/>
      <c r="F150" s="69">
        <v>15</v>
      </c>
      <c r="G150" s="66"/>
      <c r="H150" s="70"/>
      <c r="I150" s="71"/>
      <c r="J150" s="71"/>
      <c r="K150" s="35" t="s">
        <v>65</v>
      </c>
      <c r="L150" s="79">
        <v>150</v>
      </c>
      <c r="M150" s="79"/>
      <c r="N150" s="73"/>
      <c r="O150" s="81" t="s">
        <v>788</v>
      </c>
      <c r="P150" s="81" t="s">
        <v>325</v>
      </c>
      <c r="Q150" s="84" t="s">
        <v>938</v>
      </c>
      <c r="R150" s="81" t="s">
        <v>436</v>
      </c>
      <c r="S150" s="81" t="s">
        <v>1504</v>
      </c>
      <c r="T150" s="86" t="str">
        <f>HYPERLINK("http://www.youtube.com/channel/UCalKrFmeBM-gF2su6yGVEfA")</f>
        <v>http://www.youtube.com/channel/UCalKrFmeBM-gF2su6yGVEfA</v>
      </c>
      <c r="U150" s="81"/>
      <c r="V150" s="81" t="s">
        <v>1885</v>
      </c>
      <c r="W150" s="86" t="str">
        <f>HYPERLINK("https://www.youtube.com/watch?v=wadBvDPeE4E")</f>
        <v>https://www.youtube.com/watch?v=wadBvDPeE4E</v>
      </c>
      <c r="X150" s="81" t="s">
        <v>1886</v>
      </c>
      <c r="Y150" s="81">
        <v>0</v>
      </c>
      <c r="Z150" s="88">
        <v>41203.111226851855</v>
      </c>
      <c r="AA150" s="88">
        <v>41203.111226851855</v>
      </c>
      <c r="AB150" s="81"/>
      <c r="AC150" s="81"/>
      <c r="AD150" s="84" t="s">
        <v>1927</v>
      </c>
      <c r="AE150" s="82">
        <v>12</v>
      </c>
      <c r="AF150" s="83" t="str">
        <f>REPLACE(INDEX(GroupVertices[Group],MATCH(Edges[[#This Row],[Vertex 1]],GroupVertices[Vertex],0)),1,1,"")</f>
        <v>1</v>
      </c>
      <c r="AG150" s="83" t="str">
        <f>REPLACE(INDEX(GroupVertices[Group],MATCH(Edges[[#This Row],[Vertex 2]],GroupVertices[Vertex],0)),1,1,"")</f>
        <v>1</v>
      </c>
      <c r="AH150" s="111">
        <v>1</v>
      </c>
      <c r="AI150" s="112">
        <v>2.380952380952381</v>
      </c>
      <c r="AJ150" s="111">
        <v>0</v>
      </c>
      <c r="AK150" s="112">
        <v>0</v>
      </c>
      <c r="AL150" s="111">
        <v>0</v>
      </c>
      <c r="AM150" s="112">
        <v>0</v>
      </c>
      <c r="AN150" s="111">
        <v>41</v>
      </c>
      <c r="AO150" s="112">
        <v>97.61904761904762</v>
      </c>
      <c r="AP150" s="111">
        <v>42</v>
      </c>
    </row>
    <row r="151" spans="1:42" ht="15">
      <c r="A151" s="65" t="s">
        <v>436</v>
      </c>
      <c r="B151" s="65" t="s">
        <v>786</v>
      </c>
      <c r="C151" s="66" t="s">
        <v>4516</v>
      </c>
      <c r="D151" s="67">
        <v>10</v>
      </c>
      <c r="E151" s="68"/>
      <c r="F151" s="69">
        <v>15</v>
      </c>
      <c r="G151" s="66"/>
      <c r="H151" s="70"/>
      <c r="I151" s="71"/>
      <c r="J151" s="71"/>
      <c r="K151" s="35" t="s">
        <v>65</v>
      </c>
      <c r="L151" s="79">
        <v>151</v>
      </c>
      <c r="M151" s="79"/>
      <c r="N151" s="73"/>
      <c r="O151" s="81" t="s">
        <v>788</v>
      </c>
      <c r="P151" s="81" t="s">
        <v>325</v>
      </c>
      <c r="Q151" s="84" t="s">
        <v>939</v>
      </c>
      <c r="R151" s="81" t="s">
        <v>436</v>
      </c>
      <c r="S151" s="81" t="s">
        <v>1504</v>
      </c>
      <c r="T151" s="86" t="str">
        <f>HYPERLINK("http://www.youtube.com/channel/UCalKrFmeBM-gF2su6yGVEfA")</f>
        <v>http://www.youtube.com/channel/UCalKrFmeBM-gF2su6yGVEfA</v>
      </c>
      <c r="U151" s="81"/>
      <c r="V151" s="81" t="s">
        <v>1885</v>
      </c>
      <c r="W151" s="86" t="str">
        <f>HYPERLINK("https://www.youtube.com/watch?v=wadBvDPeE4E")</f>
        <v>https://www.youtube.com/watch?v=wadBvDPeE4E</v>
      </c>
      <c r="X151" s="81" t="s">
        <v>1886</v>
      </c>
      <c r="Y151" s="81">
        <v>0</v>
      </c>
      <c r="Z151" s="88">
        <v>41203.11597222222</v>
      </c>
      <c r="AA151" s="88">
        <v>41203.11597222222</v>
      </c>
      <c r="AB151" s="81"/>
      <c r="AC151" s="81"/>
      <c r="AD151" s="84" t="s">
        <v>1927</v>
      </c>
      <c r="AE151" s="82">
        <v>12</v>
      </c>
      <c r="AF151" s="83" t="str">
        <f>REPLACE(INDEX(GroupVertices[Group],MATCH(Edges[[#This Row],[Vertex 1]],GroupVertices[Vertex],0)),1,1,"")</f>
        <v>1</v>
      </c>
      <c r="AG151" s="83" t="str">
        <f>REPLACE(INDEX(GroupVertices[Group],MATCH(Edges[[#This Row],[Vertex 2]],GroupVertices[Vertex],0)),1,1,"")</f>
        <v>1</v>
      </c>
      <c r="AH151" s="111">
        <v>1</v>
      </c>
      <c r="AI151" s="112">
        <v>2.0408163265306123</v>
      </c>
      <c r="AJ151" s="111">
        <v>1</v>
      </c>
      <c r="AK151" s="112">
        <v>2.0408163265306123</v>
      </c>
      <c r="AL151" s="111">
        <v>0</v>
      </c>
      <c r="AM151" s="112">
        <v>0</v>
      </c>
      <c r="AN151" s="111">
        <v>47</v>
      </c>
      <c r="AO151" s="112">
        <v>95.91836734693878</v>
      </c>
      <c r="AP151" s="111">
        <v>49</v>
      </c>
    </row>
    <row r="152" spans="1:42" ht="15">
      <c r="A152" s="65" t="s">
        <v>437</v>
      </c>
      <c r="B152" s="65" t="s">
        <v>439</v>
      </c>
      <c r="C152" s="66" t="s">
        <v>4509</v>
      </c>
      <c r="D152" s="67">
        <v>3</v>
      </c>
      <c r="E152" s="68"/>
      <c r="F152" s="69">
        <v>40</v>
      </c>
      <c r="G152" s="66"/>
      <c r="H152" s="70"/>
      <c r="I152" s="71"/>
      <c r="J152" s="71"/>
      <c r="K152" s="35" t="s">
        <v>65</v>
      </c>
      <c r="L152" s="79">
        <v>152</v>
      </c>
      <c r="M152" s="79"/>
      <c r="N152" s="73"/>
      <c r="O152" s="81" t="s">
        <v>789</v>
      </c>
      <c r="P152" s="81" t="s">
        <v>791</v>
      </c>
      <c r="Q152" s="84" t="s">
        <v>940</v>
      </c>
      <c r="R152" s="81" t="s">
        <v>437</v>
      </c>
      <c r="S152" s="81" t="s">
        <v>1505</v>
      </c>
      <c r="T152" s="86" t="str">
        <f>HYPERLINK("http://www.youtube.com/channel/UCqJ4icbP_lB6SxjqE9vhvEQ")</f>
        <v>http://www.youtube.com/channel/UCqJ4icbP_lB6SxjqE9vhvEQ</v>
      </c>
      <c r="U152" s="81" t="s">
        <v>1856</v>
      </c>
      <c r="V152" s="81" t="s">
        <v>1885</v>
      </c>
      <c r="W152" s="86" t="str">
        <f>HYPERLINK("https://www.youtube.com/watch?v=wadBvDPeE4E")</f>
        <v>https://www.youtube.com/watch?v=wadBvDPeE4E</v>
      </c>
      <c r="X152" s="81" t="s">
        <v>1886</v>
      </c>
      <c r="Y152" s="81">
        <v>3</v>
      </c>
      <c r="Z152" s="88">
        <v>44273.20515046296</v>
      </c>
      <c r="AA152" s="88">
        <v>44273.20866898148</v>
      </c>
      <c r="AB152" s="81"/>
      <c r="AC152" s="81"/>
      <c r="AD152" s="84" t="s">
        <v>1927</v>
      </c>
      <c r="AE152" s="82">
        <v>1</v>
      </c>
      <c r="AF152" s="83" t="str">
        <f>REPLACE(INDEX(GroupVertices[Group],MATCH(Edges[[#This Row],[Vertex 1]],GroupVertices[Vertex],0)),1,1,"")</f>
        <v>3</v>
      </c>
      <c r="AG152" s="83" t="str">
        <f>REPLACE(INDEX(GroupVertices[Group],MATCH(Edges[[#This Row],[Vertex 2]],GroupVertices[Vertex],0)),1,1,"")</f>
        <v>3</v>
      </c>
      <c r="AH152" s="111">
        <v>1</v>
      </c>
      <c r="AI152" s="112">
        <v>1.1111111111111112</v>
      </c>
      <c r="AJ152" s="111">
        <v>2</v>
      </c>
      <c r="AK152" s="112">
        <v>2.2222222222222223</v>
      </c>
      <c r="AL152" s="111">
        <v>0</v>
      </c>
      <c r="AM152" s="112">
        <v>0</v>
      </c>
      <c r="AN152" s="111">
        <v>87</v>
      </c>
      <c r="AO152" s="112">
        <v>96.66666666666667</v>
      </c>
      <c r="AP152" s="111">
        <v>90</v>
      </c>
    </row>
    <row r="153" spans="1:42" ht="15">
      <c r="A153" s="65" t="s">
        <v>438</v>
      </c>
      <c r="B153" s="65" t="s">
        <v>439</v>
      </c>
      <c r="C153" s="66" t="s">
        <v>4509</v>
      </c>
      <c r="D153" s="67">
        <v>3</v>
      </c>
      <c r="E153" s="68"/>
      <c r="F153" s="69">
        <v>40</v>
      </c>
      <c r="G153" s="66"/>
      <c r="H153" s="70"/>
      <c r="I153" s="71"/>
      <c r="J153" s="71"/>
      <c r="K153" s="35" t="s">
        <v>65</v>
      </c>
      <c r="L153" s="79">
        <v>153</v>
      </c>
      <c r="M153" s="79"/>
      <c r="N153" s="73"/>
      <c r="O153" s="81" t="s">
        <v>789</v>
      </c>
      <c r="P153" s="81" t="s">
        <v>791</v>
      </c>
      <c r="Q153" s="84" t="s">
        <v>941</v>
      </c>
      <c r="R153" s="81" t="s">
        <v>438</v>
      </c>
      <c r="S153" s="81" t="s">
        <v>1506</v>
      </c>
      <c r="T153" s="86" t="str">
        <f>HYPERLINK("http://www.youtube.com/channel/UCyqRPzzVpb3nxouv8ngDnrA")</f>
        <v>http://www.youtube.com/channel/UCyqRPzzVpb3nxouv8ngDnrA</v>
      </c>
      <c r="U153" s="81" t="s">
        <v>1856</v>
      </c>
      <c r="V153" s="81" t="s">
        <v>1885</v>
      </c>
      <c r="W153" s="86" t="str">
        <f>HYPERLINK("https://www.youtube.com/watch?v=wadBvDPeE4E")</f>
        <v>https://www.youtube.com/watch?v=wadBvDPeE4E</v>
      </c>
      <c r="X153" s="81" t="s">
        <v>1886</v>
      </c>
      <c r="Y153" s="81">
        <v>0</v>
      </c>
      <c r="Z153" s="88">
        <v>44439.91310185185</v>
      </c>
      <c r="AA153" s="88">
        <v>44439.91310185185</v>
      </c>
      <c r="AB153" s="81"/>
      <c r="AC153" s="81"/>
      <c r="AD153" s="84" t="s">
        <v>1927</v>
      </c>
      <c r="AE153" s="82">
        <v>1</v>
      </c>
      <c r="AF153" s="83" t="str">
        <f>REPLACE(INDEX(GroupVertices[Group],MATCH(Edges[[#This Row],[Vertex 1]],GroupVertices[Vertex],0)),1,1,"")</f>
        <v>3</v>
      </c>
      <c r="AG153" s="83" t="str">
        <f>REPLACE(INDEX(GroupVertices[Group],MATCH(Edges[[#This Row],[Vertex 2]],GroupVertices[Vertex],0)),1,1,"")</f>
        <v>3</v>
      </c>
      <c r="AH153" s="111">
        <v>1</v>
      </c>
      <c r="AI153" s="112">
        <v>14.285714285714286</v>
      </c>
      <c r="AJ153" s="111">
        <v>0</v>
      </c>
      <c r="AK153" s="112">
        <v>0</v>
      </c>
      <c r="AL153" s="111">
        <v>0</v>
      </c>
      <c r="AM153" s="112">
        <v>0</v>
      </c>
      <c r="AN153" s="111">
        <v>6</v>
      </c>
      <c r="AO153" s="112">
        <v>85.71428571428571</v>
      </c>
      <c r="AP153" s="111">
        <v>7</v>
      </c>
    </row>
    <row r="154" spans="1:42" ht="15">
      <c r="A154" s="65" t="s">
        <v>439</v>
      </c>
      <c r="B154" s="65" t="s">
        <v>786</v>
      </c>
      <c r="C154" s="66" t="s">
        <v>4509</v>
      </c>
      <c r="D154" s="67">
        <v>3</v>
      </c>
      <c r="E154" s="68"/>
      <c r="F154" s="69">
        <v>40</v>
      </c>
      <c r="G154" s="66"/>
      <c r="H154" s="70"/>
      <c r="I154" s="71"/>
      <c r="J154" s="71"/>
      <c r="K154" s="35" t="s">
        <v>65</v>
      </c>
      <c r="L154" s="79">
        <v>154</v>
      </c>
      <c r="M154" s="79"/>
      <c r="N154" s="73"/>
      <c r="O154" s="81" t="s">
        <v>788</v>
      </c>
      <c r="P154" s="81" t="s">
        <v>325</v>
      </c>
      <c r="Q154" s="84" t="s">
        <v>942</v>
      </c>
      <c r="R154" s="81" t="s">
        <v>439</v>
      </c>
      <c r="S154" s="81" t="s">
        <v>1507</v>
      </c>
      <c r="T154" s="86" t="str">
        <f>HYPERLINK("http://www.youtube.com/channel/UC8arHXt-X0QMxaO3HBnMShQ")</f>
        <v>http://www.youtube.com/channel/UC8arHXt-X0QMxaO3HBnMShQ</v>
      </c>
      <c r="U154" s="81"/>
      <c r="V154" s="81" t="s">
        <v>1885</v>
      </c>
      <c r="W154" s="86" t="str">
        <f>HYPERLINK("https://www.youtube.com/watch?v=wadBvDPeE4E")</f>
        <v>https://www.youtube.com/watch?v=wadBvDPeE4E</v>
      </c>
      <c r="X154" s="81" t="s">
        <v>1886</v>
      </c>
      <c r="Y154" s="81">
        <v>10</v>
      </c>
      <c r="Z154" s="88">
        <v>41203.13171296296</v>
      </c>
      <c r="AA154" s="88">
        <v>41203.13171296296</v>
      </c>
      <c r="AB154" s="81"/>
      <c r="AC154" s="81"/>
      <c r="AD154" s="84" t="s">
        <v>1927</v>
      </c>
      <c r="AE154" s="82">
        <v>1</v>
      </c>
      <c r="AF154" s="83" t="str">
        <f>REPLACE(INDEX(GroupVertices[Group],MATCH(Edges[[#This Row],[Vertex 1]],GroupVertices[Vertex],0)),1,1,"")</f>
        <v>3</v>
      </c>
      <c r="AG154" s="83" t="str">
        <f>REPLACE(INDEX(GroupVertices[Group],MATCH(Edges[[#This Row],[Vertex 2]],GroupVertices[Vertex],0)),1,1,"")</f>
        <v>1</v>
      </c>
      <c r="AH154" s="111">
        <v>1</v>
      </c>
      <c r="AI154" s="112">
        <v>3.3333333333333335</v>
      </c>
      <c r="AJ154" s="111">
        <v>1</v>
      </c>
      <c r="AK154" s="112">
        <v>3.3333333333333335</v>
      </c>
      <c r="AL154" s="111">
        <v>0</v>
      </c>
      <c r="AM154" s="112">
        <v>0</v>
      </c>
      <c r="AN154" s="111">
        <v>28</v>
      </c>
      <c r="AO154" s="112">
        <v>93.33333333333333</v>
      </c>
      <c r="AP154" s="111">
        <v>30</v>
      </c>
    </row>
    <row r="155" spans="1:42" ht="15">
      <c r="A155" s="65" t="s">
        <v>440</v>
      </c>
      <c r="B155" s="65" t="s">
        <v>786</v>
      </c>
      <c r="C155" s="66" t="s">
        <v>4509</v>
      </c>
      <c r="D155" s="67">
        <v>3</v>
      </c>
      <c r="E155" s="68"/>
      <c r="F155" s="69">
        <v>40</v>
      </c>
      <c r="G155" s="66"/>
      <c r="H155" s="70"/>
      <c r="I155" s="71"/>
      <c r="J155" s="71"/>
      <c r="K155" s="35" t="s">
        <v>65</v>
      </c>
      <c r="L155" s="79">
        <v>155</v>
      </c>
      <c r="M155" s="79"/>
      <c r="N155" s="73"/>
      <c r="O155" s="81" t="s">
        <v>788</v>
      </c>
      <c r="P155" s="81" t="s">
        <v>325</v>
      </c>
      <c r="Q155" s="84" t="s">
        <v>943</v>
      </c>
      <c r="R155" s="81" t="s">
        <v>440</v>
      </c>
      <c r="S155" s="81" t="s">
        <v>1508</v>
      </c>
      <c r="T155" s="86" t="str">
        <f>HYPERLINK("http://www.youtube.com/channel/UCQ6uCr5xhqJYoPqMsNUl8dQ")</f>
        <v>http://www.youtube.com/channel/UCQ6uCr5xhqJYoPqMsNUl8dQ</v>
      </c>
      <c r="U155" s="81"/>
      <c r="V155" s="81" t="s">
        <v>1885</v>
      </c>
      <c r="W155" s="86" t="str">
        <f>HYPERLINK("https://www.youtube.com/watch?v=wadBvDPeE4E")</f>
        <v>https://www.youtube.com/watch?v=wadBvDPeE4E</v>
      </c>
      <c r="X155" s="81" t="s">
        <v>1886</v>
      </c>
      <c r="Y155" s="81">
        <v>0</v>
      </c>
      <c r="Z155" s="88">
        <v>41203.14236111111</v>
      </c>
      <c r="AA155" s="88">
        <v>41203.14236111111</v>
      </c>
      <c r="AB155" s="81"/>
      <c r="AC155" s="81"/>
      <c r="AD155" s="84" t="s">
        <v>1927</v>
      </c>
      <c r="AE155" s="82">
        <v>1</v>
      </c>
      <c r="AF155" s="83" t="str">
        <f>REPLACE(INDEX(GroupVertices[Group],MATCH(Edges[[#This Row],[Vertex 1]],GroupVertices[Vertex],0)),1,1,"")</f>
        <v>1</v>
      </c>
      <c r="AG155" s="83" t="str">
        <f>REPLACE(INDEX(GroupVertices[Group],MATCH(Edges[[#This Row],[Vertex 2]],GroupVertices[Vertex],0)),1,1,"")</f>
        <v>1</v>
      </c>
      <c r="AH155" s="111">
        <v>0</v>
      </c>
      <c r="AI155" s="112">
        <v>0</v>
      </c>
      <c r="AJ155" s="111">
        <v>0</v>
      </c>
      <c r="AK155" s="112">
        <v>0</v>
      </c>
      <c r="AL155" s="111">
        <v>0</v>
      </c>
      <c r="AM155" s="112">
        <v>0</v>
      </c>
      <c r="AN155" s="111">
        <v>5</v>
      </c>
      <c r="AO155" s="112">
        <v>100</v>
      </c>
      <c r="AP155" s="111">
        <v>5</v>
      </c>
    </row>
    <row r="156" spans="1:42" ht="15">
      <c r="A156" s="65" t="s">
        <v>441</v>
      </c>
      <c r="B156" s="65" t="s">
        <v>786</v>
      </c>
      <c r="C156" s="66" t="s">
        <v>4509</v>
      </c>
      <c r="D156" s="67">
        <v>3</v>
      </c>
      <c r="E156" s="68"/>
      <c r="F156" s="69">
        <v>40</v>
      </c>
      <c r="G156" s="66"/>
      <c r="H156" s="70"/>
      <c r="I156" s="71"/>
      <c r="J156" s="71"/>
      <c r="K156" s="35" t="s">
        <v>65</v>
      </c>
      <c r="L156" s="79">
        <v>156</v>
      </c>
      <c r="M156" s="79"/>
      <c r="N156" s="73"/>
      <c r="O156" s="81" t="s">
        <v>788</v>
      </c>
      <c r="P156" s="81" t="s">
        <v>325</v>
      </c>
      <c r="Q156" s="84" t="s">
        <v>944</v>
      </c>
      <c r="R156" s="81" t="s">
        <v>441</v>
      </c>
      <c r="S156" s="81" t="s">
        <v>1509</v>
      </c>
      <c r="T156" s="86" t="str">
        <f>HYPERLINK("http://www.youtube.com/channel/UCpgmN2y1t17F3EckpZk79NQ")</f>
        <v>http://www.youtube.com/channel/UCpgmN2y1t17F3EckpZk79NQ</v>
      </c>
      <c r="U156" s="81"/>
      <c r="V156" s="81" t="s">
        <v>1885</v>
      </c>
      <c r="W156" s="86" t="str">
        <f>HYPERLINK("https://www.youtube.com/watch?v=wadBvDPeE4E")</f>
        <v>https://www.youtube.com/watch?v=wadBvDPeE4E</v>
      </c>
      <c r="X156" s="81" t="s">
        <v>1886</v>
      </c>
      <c r="Y156" s="81">
        <v>0</v>
      </c>
      <c r="Z156" s="88">
        <v>41203.14241898148</v>
      </c>
      <c r="AA156" s="88">
        <v>41203.14241898148</v>
      </c>
      <c r="AB156" s="81"/>
      <c r="AC156" s="81"/>
      <c r="AD156" s="84" t="s">
        <v>1927</v>
      </c>
      <c r="AE156" s="82">
        <v>1</v>
      </c>
      <c r="AF156" s="83" t="str">
        <f>REPLACE(INDEX(GroupVertices[Group],MATCH(Edges[[#This Row],[Vertex 1]],GroupVertices[Vertex],0)),1,1,"")</f>
        <v>1</v>
      </c>
      <c r="AG156" s="83" t="str">
        <f>REPLACE(INDEX(GroupVertices[Group],MATCH(Edges[[#This Row],[Vertex 2]],GroupVertices[Vertex],0)),1,1,"")</f>
        <v>1</v>
      </c>
      <c r="AH156" s="111">
        <v>0</v>
      </c>
      <c r="AI156" s="112">
        <v>0</v>
      </c>
      <c r="AJ156" s="111">
        <v>0</v>
      </c>
      <c r="AK156" s="112">
        <v>0</v>
      </c>
      <c r="AL156" s="111">
        <v>0</v>
      </c>
      <c r="AM156" s="112">
        <v>0</v>
      </c>
      <c r="AN156" s="111">
        <v>8</v>
      </c>
      <c r="AO156" s="112">
        <v>100</v>
      </c>
      <c r="AP156" s="111">
        <v>8</v>
      </c>
    </row>
    <row r="157" spans="1:42" ht="15">
      <c r="A157" s="65" t="s">
        <v>442</v>
      </c>
      <c r="B157" s="65" t="s">
        <v>786</v>
      </c>
      <c r="C157" s="66" t="s">
        <v>4509</v>
      </c>
      <c r="D157" s="67">
        <v>3</v>
      </c>
      <c r="E157" s="68"/>
      <c r="F157" s="69">
        <v>40</v>
      </c>
      <c r="G157" s="66"/>
      <c r="H157" s="70"/>
      <c r="I157" s="71"/>
      <c r="J157" s="71"/>
      <c r="K157" s="35" t="s">
        <v>65</v>
      </c>
      <c r="L157" s="79">
        <v>157</v>
      </c>
      <c r="M157" s="79"/>
      <c r="N157" s="73"/>
      <c r="O157" s="81" t="s">
        <v>788</v>
      </c>
      <c r="P157" s="81" t="s">
        <v>325</v>
      </c>
      <c r="Q157" s="84" t="s">
        <v>945</v>
      </c>
      <c r="R157" s="81" t="s">
        <v>442</v>
      </c>
      <c r="S157" s="81" t="s">
        <v>1510</v>
      </c>
      <c r="T157" s="86" t="str">
        <f>HYPERLINK("http://www.youtube.com/channel/UC4cRm0eDbP5GfY6lQkF4Cjw")</f>
        <v>http://www.youtube.com/channel/UC4cRm0eDbP5GfY6lQkF4Cjw</v>
      </c>
      <c r="U157" s="81"/>
      <c r="V157" s="81" t="s">
        <v>1885</v>
      </c>
      <c r="W157" s="86" t="str">
        <f>HYPERLINK("https://www.youtube.com/watch?v=wadBvDPeE4E")</f>
        <v>https://www.youtube.com/watch?v=wadBvDPeE4E</v>
      </c>
      <c r="X157" s="81" t="s">
        <v>1886</v>
      </c>
      <c r="Y157" s="81">
        <v>2</v>
      </c>
      <c r="Z157" s="88">
        <v>41203.15766203704</v>
      </c>
      <c r="AA157" s="88">
        <v>41203.15766203704</v>
      </c>
      <c r="AB157" s="81"/>
      <c r="AC157" s="81"/>
      <c r="AD157" s="84" t="s">
        <v>1927</v>
      </c>
      <c r="AE157" s="82">
        <v>1</v>
      </c>
      <c r="AF157" s="83" t="str">
        <f>REPLACE(INDEX(GroupVertices[Group],MATCH(Edges[[#This Row],[Vertex 1]],GroupVertices[Vertex],0)),1,1,"")</f>
        <v>1</v>
      </c>
      <c r="AG157" s="83" t="str">
        <f>REPLACE(INDEX(GroupVertices[Group],MATCH(Edges[[#This Row],[Vertex 2]],GroupVertices[Vertex],0)),1,1,"")</f>
        <v>1</v>
      </c>
      <c r="AH157" s="111">
        <v>1</v>
      </c>
      <c r="AI157" s="112">
        <v>12.5</v>
      </c>
      <c r="AJ157" s="111">
        <v>0</v>
      </c>
      <c r="AK157" s="112">
        <v>0</v>
      </c>
      <c r="AL157" s="111">
        <v>0</v>
      </c>
      <c r="AM157" s="112">
        <v>0</v>
      </c>
      <c r="AN157" s="111">
        <v>7</v>
      </c>
      <c r="AO157" s="112">
        <v>87.5</v>
      </c>
      <c r="AP157" s="111">
        <v>8</v>
      </c>
    </row>
    <row r="158" spans="1:42" ht="15">
      <c r="A158" s="65" t="s">
        <v>443</v>
      </c>
      <c r="B158" s="65" t="s">
        <v>786</v>
      </c>
      <c r="C158" s="66" t="s">
        <v>4511</v>
      </c>
      <c r="D158" s="67">
        <v>7.666666666666667</v>
      </c>
      <c r="E158" s="68"/>
      <c r="F158" s="69">
        <v>23.333333333333332</v>
      </c>
      <c r="G158" s="66"/>
      <c r="H158" s="70"/>
      <c r="I158" s="71"/>
      <c r="J158" s="71"/>
      <c r="K158" s="35" t="s">
        <v>65</v>
      </c>
      <c r="L158" s="79">
        <v>158</v>
      </c>
      <c r="M158" s="79"/>
      <c r="N158" s="73"/>
      <c r="O158" s="81" t="s">
        <v>788</v>
      </c>
      <c r="P158" s="81" t="s">
        <v>325</v>
      </c>
      <c r="Q158" s="84" t="s">
        <v>946</v>
      </c>
      <c r="R158" s="81" t="s">
        <v>443</v>
      </c>
      <c r="S158" s="81" t="s">
        <v>1511</v>
      </c>
      <c r="T158" s="86" t="str">
        <f>HYPERLINK("http://www.youtube.com/channel/UCc9qu9hmbak_0Nr5weLjSTQ")</f>
        <v>http://www.youtube.com/channel/UCc9qu9hmbak_0Nr5weLjSTQ</v>
      </c>
      <c r="U158" s="81"/>
      <c r="V158" s="81" t="s">
        <v>1885</v>
      </c>
      <c r="W158" s="86" t="str">
        <f>HYPERLINK("https://www.youtube.com/watch?v=wadBvDPeE4E")</f>
        <v>https://www.youtube.com/watch?v=wadBvDPeE4E</v>
      </c>
      <c r="X158" s="81" t="s">
        <v>1886</v>
      </c>
      <c r="Y158" s="81">
        <v>0</v>
      </c>
      <c r="Z158" s="88">
        <v>41202.888703703706</v>
      </c>
      <c r="AA158" s="88">
        <v>41202.888703703706</v>
      </c>
      <c r="AB158" s="81"/>
      <c r="AC158" s="81"/>
      <c r="AD158" s="84" t="s">
        <v>1927</v>
      </c>
      <c r="AE158" s="82">
        <v>3</v>
      </c>
      <c r="AF158" s="83" t="str">
        <f>REPLACE(INDEX(GroupVertices[Group],MATCH(Edges[[#This Row],[Vertex 1]],GroupVertices[Vertex],0)),1,1,"")</f>
        <v>1</v>
      </c>
      <c r="AG158" s="83" t="str">
        <f>REPLACE(INDEX(GroupVertices[Group],MATCH(Edges[[#This Row],[Vertex 2]],GroupVertices[Vertex],0)),1,1,"")</f>
        <v>1</v>
      </c>
      <c r="AH158" s="111">
        <v>1</v>
      </c>
      <c r="AI158" s="112">
        <v>1.9607843137254901</v>
      </c>
      <c r="AJ158" s="111">
        <v>0</v>
      </c>
      <c r="AK158" s="112">
        <v>0</v>
      </c>
      <c r="AL158" s="111">
        <v>0</v>
      </c>
      <c r="AM158" s="112">
        <v>0</v>
      </c>
      <c r="AN158" s="111">
        <v>50</v>
      </c>
      <c r="AO158" s="112">
        <v>98.03921568627452</v>
      </c>
      <c r="AP158" s="111">
        <v>51</v>
      </c>
    </row>
    <row r="159" spans="1:42" ht="15">
      <c r="A159" s="65" t="s">
        <v>443</v>
      </c>
      <c r="B159" s="65" t="s">
        <v>786</v>
      </c>
      <c r="C159" s="66" t="s">
        <v>4511</v>
      </c>
      <c r="D159" s="67">
        <v>7.666666666666667</v>
      </c>
      <c r="E159" s="68"/>
      <c r="F159" s="69">
        <v>23.333333333333332</v>
      </c>
      <c r="G159" s="66"/>
      <c r="H159" s="70"/>
      <c r="I159" s="71"/>
      <c r="J159" s="71"/>
      <c r="K159" s="35" t="s">
        <v>65</v>
      </c>
      <c r="L159" s="79">
        <v>159</v>
      </c>
      <c r="M159" s="79"/>
      <c r="N159" s="73"/>
      <c r="O159" s="81" t="s">
        <v>788</v>
      </c>
      <c r="P159" s="81" t="s">
        <v>325</v>
      </c>
      <c r="Q159" s="84" t="s">
        <v>947</v>
      </c>
      <c r="R159" s="81" t="s">
        <v>443</v>
      </c>
      <c r="S159" s="81" t="s">
        <v>1511</v>
      </c>
      <c r="T159" s="86" t="str">
        <f>HYPERLINK("http://www.youtube.com/channel/UCc9qu9hmbak_0Nr5weLjSTQ")</f>
        <v>http://www.youtube.com/channel/UCc9qu9hmbak_0Nr5weLjSTQ</v>
      </c>
      <c r="U159" s="81"/>
      <c r="V159" s="81" t="s">
        <v>1885</v>
      </c>
      <c r="W159" s="86" t="str">
        <f>HYPERLINK("https://www.youtube.com/watch?v=wadBvDPeE4E")</f>
        <v>https://www.youtube.com/watch?v=wadBvDPeE4E</v>
      </c>
      <c r="X159" s="81" t="s">
        <v>1886</v>
      </c>
      <c r="Y159" s="81">
        <v>0</v>
      </c>
      <c r="Z159" s="88">
        <v>41203.16101851852</v>
      </c>
      <c r="AA159" s="88">
        <v>41203.16101851852</v>
      </c>
      <c r="AB159" s="81"/>
      <c r="AC159" s="81"/>
      <c r="AD159" s="84" t="s">
        <v>1927</v>
      </c>
      <c r="AE159" s="82">
        <v>3</v>
      </c>
      <c r="AF159" s="83" t="str">
        <f>REPLACE(INDEX(GroupVertices[Group],MATCH(Edges[[#This Row],[Vertex 1]],GroupVertices[Vertex],0)),1,1,"")</f>
        <v>1</v>
      </c>
      <c r="AG159" s="83" t="str">
        <f>REPLACE(INDEX(GroupVertices[Group],MATCH(Edges[[#This Row],[Vertex 2]],GroupVertices[Vertex],0)),1,1,"")</f>
        <v>1</v>
      </c>
      <c r="AH159" s="111">
        <v>1</v>
      </c>
      <c r="AI159" s="112">
        <v>2.380952380952381</v>
      </c>
      <c r="AJ159" s="111">
        <v>3</v>
      </c>
      <c r="AK159" s="112">
        <v>7.142857142857143</v>
      </c>
      <c r="AL159" s="111">
        <v>0</v>
      </c>
      <c r="AM159" s="112">
        <v>0</v>
      </c>
      <c r="AN159" s="111">
        <v>38</v>
      </c>
      <c r="AO159" s="112">
        <v>90.47619047619048</v>
      </c>
      <c r="AP159" s="111">
        <v>42</v>
      </c>
    </row>
    <row r="160" spans="1:42" ht="15">
      <c r="A160" s="65" t="s">
        <v>443</v>
      </c>
      <c r="B160" s="65" t="s">
        <v>786</v>
      </c>
      <c r="C160" s="66" t="s">
        <v>4511</v>
      </c>
      <c r="D160" s="67">
        <v>7.666666666666667</v>
      </c>
      <c r="E160" s="68"/>
      <c r="F160" s="69">
        <v>23.333333333333332</v>
      </c>
      <c r="G160" s="66"/>
      <c r="H160" s="70"/>
      <c r="I160" s="71"/>
      <c r="J160" s="71"/>
      <c r="K160" s="35" t="s">
        <v>65</v>
      </c>
      <c r="L160" s="79">
        <v>160</v>
      </c>
      <c r="M160" s="79"/>
      <c r="N160" s="73"/>
      <c r="O160" s="81" t="s">
        <v>788</v>
      </c>
      <c r="P160" s="81" t="s">
        <v>325</v>
      </c>
      <c r="Q160" s="84" t="s">
        <v>948</v>
      </c>
      <c r="R160" s="81" t="s">
        <v>443</v>
      </c>
      <c r="S160" s="81" t="s">
        <v>1511</v>
      </c>
      <c r="T160" s="86" t="str">
        <f>HYPERLINK("http://www.youtube.com/channel/UCc9qu9hmbak_0Nr5weLjSTQ")</f>
        <v>http://www.youtube.com/channel/UCc9qu9hmbak_0Nr5weLjSTQ</v>
      </c>
      <c r="U160" s="81"/>
      <c r="V160" s="81" t="s">
        <v>1885</v>
      </c>
      <c r="W160" s="86" t="str">
        <f>HYPERLINK("https://www.youtube.com/watch?v=wadBvDPeE4E")</f>
        <v>https://www.youtube.com/watch?v=wadBvDPeE4E</v>
      </c>
      <c r="X160" s="81" t="s">
        <v>1886</v>
      </c>
      <c r="Y160" s="81">
        <v>0</v>
      </c>
      <c r="Z160" s="88">
        <v>41203.17344907407</v>
      </c>
      <c r="AA160" s="88">
        <v>41203.17344907407</v>
      </c>
      <c r="AB160" s="81"/>
      <c r="AC160" s="81"/>
      <c r="AD160" s="84" t="s">
        <v>1927</v>
      </c>
      <c r="AE160" s="82">
        <v>3</v>
      </c>
      <c r="AF160" s="83" t="str">
        <f>REPLACE(INDEX(GroupVertices[Group],MATCH(Edges[[#This Row],[Vertex 1]],GroupVertices[Vertex],0)),1,1,"")</f>
        <v>1</v>
      </c>
      <c r="AG160" s="83" t="str">
        <f>REPLACE(INDEX(GroupVertices[Group],MATCH(Edges[[#This Row],[Vertex 2]],GroupVertices[Vertex],0)),1,1,"")</f>
        <v>1</v>
      </c>
      <c r="AH160" s="111">
        <v>2</v>
      </c>
      <c r="AI160" s="112">
        <v>2.816901408450704</v>
      </c>
      <c r="AJ160" s="111">
        <v>2</v>
      </c>
      <c r="AK160" s="112">
        <v>2.816901408450704</v>
      </c>
      <c r="AL160" s="111">
        <v>0</v>
      </c>
      <c r="AM160" s="112">
        <v>0</v>
      </c>
      <c r="AN160" s="111">
        <v>67</v>
      </c>
      <c r="AO160" s="112">
        <v>94.36619718309859</v>
      </c>
      <c r="AP160" s="111">
        <v>71</v>
      </c>
    </row>
    <row r="161" spans="1:42" ht="15">
      <c r="A161" s="65" t="s">
        <v>444</v>
      </c>
      <c r="B161" s="65" t="s">
        <v>786</v>
      </c>
      <c r="C161" s="66" t="s">
        <v>4509</v>
      </c>
      <c r="D161" s="67">
        <v>3</v>
      </c>
      <c r="E161" s="68"/>
      <c r="F161" s="69">
        <v>40</v>
      </c>
      <c r="G161" s="66"/>
      <c r="H161" s="70"/>
      <c r="I161" s="71"/>
      <c r="J161" s="71"/>
      <c r="K161" s="35" t="s">
        <v>65</v>
      </c>
      <c r="L161" s="79">
        <v>161</v>
      </c>
      <c r="M161" s="79"/>
      <c r="N161" s="73"/>
      <c r="O161" s="81" t="s">
        <v>788</v>
      </c>
      <c r="P161" s="81" t="s">
        <v>325</v>
      </c>
      <c r="Q161" s="84" t="s">
        <v>949</v>
      </c>
      <c r="R161" s="81" t="s">
        <v>444</v>
      </c>
      <c r="S161" s="81" t="s">
        <v>1512</v>
      </c>
      <c r="T161" s="86" t="str">
        <f>HYPERLINK("http://www.youtube.com/channel/UCSk24Nsn_pSMK0mr6ApUyBw")</f>
        <v>http://www.youtube.com/channel/UCSk24Nsn_pSMK0mr6ApUyBw</v>
      </c>
      <c r="U161" s="81"/>
      <c r="V161" s="81" t="s">
        <v>1885</v>
      </c>
      <c r="W161" s="86" t="str">
        <f>HYPERLINK("https://www.youtube.com/watch?v=wadBvDPeE4E")</f>
        <v>https://www.youtube.com/watch?v=wadBvDPeE4E</v>
      </c>
      <c r="X161" s="81" t="s">
        <v>1886</v>
      </c>
      <c r="Y161" s="81">
        <v>0</v>
      </c>
      <c r="Z161" s="88">
        <v>41203.219363425924</v>
      </c>
      <c r="AA161" s="88">
        <v>41203.219363425924</v>
      </c>
      <c r="AB161" s="81"/>
      <c r="AC161" s="81"/>
      <c r="AD161" s="84" t="s">
        <v>1927</v>
      </c>
      <c r="AE161" s="82">
        <v>1</v>
      </c>
      <c r="AF161" s="83" t="str">
        <f>REPLACE(INDEX(GroupVertices[Group],MATCH(Edges[[#This Row],[Vertex 1]],GroupVertices[Vertex],0)),1,1,"")</f>
        <v>1</v>
      </c>
      <c r="AG161" s="83" t="str">
        <f>REPLACE(INDEX(GroupVertices[Group],MATCH(Edges[[#This Row],[Vertex 2]],GroupVertices[Vertex],0)),1,1,"")</f>
        <v>1</v>
      </c>
      <c r="AH161" s="111">
        <v>1</v>
      </c>
      <c r="AI161" s="112">
        <v>5</v>
      </c>
      <c r="AJ161" s="111">
        <v>2</v>
      </c>
      <c r="AK161" s="112">
        <v>10</v>
      </c>
      <c r="AL161" s="111">
        <v>0</v>
      </c>
      <c r="AM161" s="112">
        <v>0</v>
      </c>
      <c r="AN161" s="111">
        <v>17</v>
      </c>
      <c r="AO161" s="112">
        <v>85</v>
      </c>
      <c r="AP161" s="111">
        <v>20</v>
      </c>
    </row>
    <row r="162" spans="1:42" ht="15">
      <c r="A162" s="65" t="s">
        <v>445</v>
      </c>
      <c r="B162" s="65" t="s">
        <v>786</v>
      </c>
      <c r="C162" s="66" t="s">
        <v>4509</v>
      </c>
      <c r="D162" s="67">
        <v>3</v>
      </c>
      <c r="E162" s="68"/>
      <c r="F162" s="69">
        <v>40</v>
      </c>
      <c r="G162" s="66"/>
      <c r="H162" s="70"/>
      <c r="I162" s="71"/>
      <c r="J162" s="71"/>
      <c r="K162" s="35" t="s">
        <v>65</v>
      </c>
      <c r="L162" s="79">
        <v>162</v>
      </c>
      <c r="M162" s="79"/>
      <c r="N162" s="73"/>
      <c r="O162" s="81" t="s">
        <v>788</v>
      </c>
      <c r="P162" s="81" t="s">
        <v>325</v>
      </c>
      <c r="Q162" s="84" t="s">
        <v>950</v>
      </c>
      <c r="R162" s="81" t="s">
        <v>445</v>
      </c>
      <c r="S162" s="81" t="s">
        <v>1513</v>
      </c>
      <c r="T162" s="86" t="str">
        <f>HYPERLINK("http://www.youtube.com/channel/UCQCITDKhRvmb0qb9uKjq7Tw")</f>
        <v>http://www.youtube.com/channel/UCQCITDKhRvmb0qb9uKjq7Tw</v>
      </c>
      <c r="U162" s="81"/>
      <c r="V162" s="81" t="s">
        <v>1885</v>
      </c>
      <c r="W162" s="86" t="str">
        <f>HYPERLINK("https://www.youtube.com/watch?v=wadBvDPeE4E")</f>
        <v>https://www.youtube.com/watch?v=wadBvDPeE4E</v>
      </c>
      <c r="X162" s="81" t="s">
        <v>1886</v>
      </c>
      <c r="Y162" s="81">
        <v>0</v>
      </c>
      <c r="Z162" s="88">
        <v>41203.31574074074</v>
      </c>
      <c r="AA162" s="88">
        <v>41203.31574074074</v>
      </c>
      <c r="AB162" s="81"/>
      <c r="AC162" s="81"/>
      <c r="AD162" s="84" t="s">
        <v>1927</v>
      </c>
      <c r="AE162" s="82">
        <v>1</v>
      </c>
      <c r="AF162" s="83" t="str">
        <f>REPLACE(INDEX(GroupVertices[Group],MATCH(Edges[[#This Row],[Vertex 1]],GroupVertices[Vertex],0)),1,1,"")</f>
        <v>1</v>
      </c>
      <c r="AG162" s="83" t="str">
        <f>REPLACE(INDEX(GroupVertices[Group],MATCH(Edges[[#This Row],[Vertex 2]],GroupVertices[Vertex],0)),1,1,"")</f>
        <v>1</v>
      </c>
      <c r="AH162" s="111">
        <v>1</v>
      </c>
      <c r="AI162" s="112">
        <v>12.5</v>
      </c>
      <c r="AJ162" s="111">
        <v>0</v>
      </c>
      <c r="AK162" s="112">
        <v>0</v>
      </c>
      <c r="AL162" s="111">
        <v>0</v>
      </c>
      <c r="AM162" s="112">
        <v>0</v>
      </c>
      <c r="AN162" s="111">
        <v>7</v>
      </c>
      <c r="AO162" s="112">
        <v>87.5</v>
      </c>
      <c r="AP162" s="111">
        <v>8</v>
      </c>
    </row>
    <row r="163" spans="1:42" ht="15">
      <c r="A163" s="65" t="s">
        <v>446</v>
      </c>
      <c r="B163" s="65" t="s">
        <v>786</v>
      </c>
      <c r="C163" s="66" t="s">
        <v>4510</v>
      </c>
      <c r="D163" s="67">
        <v>5.333333333333334</v>
      </c>
      <c r="E163" s="68"/>
      <c r="F163" s="69">
        <v>31.666666666666664</v>
      </c>
      <c r="G163" s="66"/>
      <c r="H163" s="70"/>
      <c r="I163" s="71"/>
      <c r="J163" s="71"/>
      <c r="K163" s="35" t="s">
        <v>65</v>
      </c>
      <c r="L163" s="79">
        <v>163</v>
      </c>
      <c r="M163" s="79"/>
      <c r="N163" s="73"/>
      <c r="O163" s="81" t="s">
        <v>788</v>
      </c>
      <c r="P163" s="81" t="s">
        <v>325</v>
      </c>
      <c r="Q163" s="84" t="s">
        <v>951</v>
      </c>
      <c r="R163" s="81" t="s">
        <v>446</v>
      </c>
      <c r="S163" s="81" t="s">
        <v>1514</v>
      </c>
      <c r="T163" s="86" t="str">
        <f>HYPERLINK("http://www.youtube.com/channel/UCa5CmMz6J6zsMXzIVJy1XPQ")</f>
        <v>http://www.youtube.com/channel/UCa5CmMz6J6zsMXzIVJy1XPQ</v>
      </c>
      <c r="U163" s="81"/>
      <c r="V163" s="81" t="s">
        <v>1885</v>
      </c>
      <c r="W163" s="86" t="str">
        <f>HYPERLINK("https://www.youtube.com/watch?v=wadBvDPeE4E")</f>
        <v>https://www.youtube.com/watch?v=wadBvDPeE4E</v>
      </c>
      <c r="X163" s="81" t="s">
        <v>1886</v>
      </c>
      <c r="Y163" s="81">
        <v>0</v>
      </c>
      <c r="Z163" s="88">
        <v>41202.63471064815</v>
      </c>
      <c r="AA163" s="88">
        <v>41202.63471064815</v>
      </c>
      <c r="AB163" s="81"/>
      <c r="AC163" s="81"/>
      <c r="AD163" s="84" t="s">
        <v>1927</v>
      </c>
      <c r="AE163" s="82">
        <v>2</v>
      </c>
      <c r="AF163" s="83" t="str">
        <f>REPLACE(INDEX(GroupVertices[Group],MATCH(Edges[[#This Row],[Vertex 1]],GroupVertices[Vertex],0)),1,1,"")</f>
        <v>1</v>
      </c>
      <c r="AG163" s="83" t="str">
        <f>REPLACE(INDEX(GroupVertices[Group],MATCH(Edges[[#This Row],[Vertex 2]],GroupVertices[Vertex],0)),1,1,"")</f>
        <v>1</v>
      </c>
      <c r="AH163" s="111">
        <v>3</v>
      </c>
      <c r="AI163" s="112">
        <v>6.382978723404255</v>
      </c>
      <c r="AJ163" s="111">
        <v>0</v>
      </c>
      <c r="AK163" s="112">
        <v>0</v>
      </c>
      <c r="AL163" s="111">
        <v>0</v>
      </c>
      <c r="AM163" s="112">
        <v>0</v>
      </c>
      <c r="AN163" s="111">
        <v>44</v>
      </c>
      <c r="AO163" s="112">
        <v>93.61702127659575</v>
      </c>
      <c r="AP163" s="111">
        <v>47</v>
      </c>
    </row>
    <row r="164" spans="1:42" ht="15">
      <c r="A164" s="65" t="s">
        <v>446</v>
      </c>
      <c r="B164" s="65" t="s">
        <v>786</v>
      </c>
      <c r="C164" s="66" t="s">
        <v>4510</v>
      </c>
      <c r="D164" s="67">
        <v>5.333333333333334</v>
      </c>
      <c r="E164" s="68"/>
      <c r="F164" s="69">
        <v>31.666666666666664</v>
      </c>
      <c r="G164" s="66"/>
      <c r="H164" s="70"/>
      <c r="I164" s="71"/>
      <c r="J164" s="71"/>
      <c r="K164" s="35" t="s">
        <v>65</v>
      </c>
      <c r="L164" s="79">
        <v>164</v>
      </c>
      <c r="M164" s="79"/>
      <c r="N164" s="73"/>
      <c r="O164" s="81" t="s">
        <v>788</v>
      </c>
      <c r="P164" s="81" t="s">
        <v>325</v>
      </c>
      <c r="Q164" s="84" t="s">
        <v>952</v>
      </c>
      <c r="R164" s="81" t="s">
        <v>446</v>
      </c>
      <c r="S164" s="81" t="s">
        <v>1514</v>
      </c>
      <c r="T164" s="86" t="str">
        <f>HYPERLINK("http://www.youtube.com/channel/UCa5CmMz6J6zsMXzIVJy1XPQ")</f>
        <v>http://www.youtube.com/channel/UCa5CmMz6J6zsMXzIVJy1XPQ</v>
      </c>
      <c r="U164" s="81"/>
      <c r="V164" s="81" t="s">
        <v>1885</v>
      </c>
      <c r="W164" s="86" t="str">
        <f>HYPERLINK("https://www.youtube.com/watch?v=wadBvDPeE4E")</f>
        <v>https://www.youtube.com/watch?v=wadBvDPeE4E</v>
      </c>
      <c r="X164" s="81" t="s">
        <v>1886</v>
      </c>
      <c r="Y164" s="81">
        <v>0</v>
      </c>
      <c r="Z164" s="88">
        <v>41203.334386574075</v>
      </c>
      <c r="AA164" s="88">
        <v>41203.334386574075</v>
      </c>
      <c r="AB164" s="81"/>
      <c r="AC164" s="81"/>
      <c r="AD164" s="84" t="s">
        <v>1927</v>
      </c>
      <c r="AE164" s="82">
        <v>2</v>
      </c>
      <c r="AF164" s="83" t="str">
        <f>REPLACE(INDEX(GroupVertices[Group],MATCH(Edges[[#This Row],[Vertex 1]],GroupVertices[Vertex],0)),1,1,"")</f>
        <v>1</v>
      </c>
      <c r="AG164" s="83" t="str">
        <f>REPLACE(INDEX(GroupVertices[Group],MATCH(Edges[[#This Row],[Vertex 2]],GroupVertices[Vertex],0)),1,1,"")</f>
        <v>1</v>
      </c>
      <c r="AH164" s="111">
        <v>6</v>
      </c>
      <c r="AI164" s="112">
        <v>6.521739130434782</v>
      </c>
      <c r="AJ164" s="111">
        <v>4</v>
      </c>
      <c r="AK164" s="112">
        <v>4.3478260869565215</v>
      </c>
      <c r="AL164" s="111">
        <v>0</v>
      </c>
      <c r="AM164" s="112">
        <v>0</v>
      </c>
      <c r="AN164" s="111">
        <v>82</v>
      </c>
      <c r="AO164" s="112">
        <v>89.1304347826087</v>
      </c>
      <c r="AP164" s="111">
        <v>92</v>
      </c>
    </row>
    <row r="165" spans="1:42" ht="15">
      <c r="A165" s="65" t="s">
        <v>447</v>
      </c>
      <c r="B165" s="65" t="s">
        <v>786</v>
      </c>
      <c r="C165" s="66" t="s">
        <v>4509</v>
      </c>
      <c r="D165" s="67">
        <v>3</v>
      </c>
      <c r="E165" s="68"/>
      <c r="F165" s="69">
        <v>40</v>
      </c>
      <c r="G165" s="66"/>
      <c r="H165" s="70"/>
      <c r="I165" s="71"/>
      <c r="J165" s="71"/>
      <c r="K165" s="35" t="s">
        <v>65</v>
      </c>
      <c r="L165" s="79">
        <v>165</v>
      </c>
      <c r="M165" s="79"/>
      <c r="N165" s="73"/>
      <c r="O165" s="81" t="s">
        <v>788</v>
      </c>
      <c r="P165" s="81" t="s">
        <v>325</v>
      </c>
      <c r="Q165" s="84" t="s">
        <v>953</v>
      </c>
      <c r="R165" s="81" t="s">
        <v>447</v>
      </c>
      <c r="S165" s="81" t="s">
        <v>1515</v>
      </c>
      <c r="T165" s="86" t="str">
        <f>HYPERLINK("http://www.youtube.com/channel/UCp0gW4T9SMfczHwBLotTuNQ")</f>
        <v>http://www.youtube.com/channel/UCp0gW4T9SMfczHwBLotTuNQ</v>
      </c>
      <c r="U165" s="81"/>
      <c r="V165" s="81" t="s">
        <v>1885</v>
      </c>
      <c r="W165" s="86" t="str">
        <f>HYPERLINK("https://www.youtube.com/watch?v=wadBvDPeE4E")</f>
        <v>https://www.youtube.com/watch?v=wadBvDPeE4E</v>
      </c>
      <c r="X165" s="81" t="s">
        <v>1886</v>
      </c>
      <c r="Y165" s="81">
        <v>0</v>
      </c>
      <c r="Z165" s="88">
        <v>41203.36168981482</v>
      </c>
      <c r="AA165" s="88">
        <v>41203.36168981482</v>
      </c>
      <c r="AB165" s="81"/>
      <c r="AC165" s="81"/>
      <c r="AD165" s="84" t="s">
        <v>1927</v>
      </c>
      <c r="AE165" s="82">
        <v>1</v>
      </c>
      <c r="AF165" s="83" t="str">
        <f>REPLACE(INDEX(GroupVertices[Group],MATCH(Edges[[#This Row],[Vertex 1]],GroupVertices[Vertex],0)),1,1,"")</f>
        <v>1</v>
      </c>
      <c r="AG165" s="83" t="str">
        <f>REPLACE(INDEX(GroupVertices[Group],MATCH(Edges[[#This Row],[Vertex 2]],GroupVertices[Vertex],0)),1,1,"")</f>
        <v>1</v>
      </c>
      <c r="AH165" s="111">
        <v>2</v>
      </c>
      <c r="AI165" s="112">
        <v>5.405405405405405</v>
      </c>
      <c r="AJ165" s="111">
        <v>2</v>
      </c>
      <c r="AK165" s="112">
        <v>5.405405405405405</v>
      </c>
      <c r="AL165" s="111">
        <v>0</v>
      </c>
      <c r="AM165" s="112">
        <v>0</v>
      </c>
      <c r="AN165" s="111">
        <v>33</v>
      </c>
      <c r="AO165" s="112">
        <v>89.1891891891892</v>
      </c>
      <c r="AP165" s="111">
        <v>37</v>
      </c>
    </row>
    <row r="166" spans="1:42" ht="15">
      <c r="A166" s="65" t="s">
        <v>448</v>
      </c>
      <c r="B166" s="65" t="s">
        <v>786</v>
      </c>
      <c r="C166" s="66" t="s">
        <v>4509</v>
      </c>
      <c r="D166" s="67">
        <v>3</v>
      </c>
      <c r="E166" s="68"/>
      <c r="F166" s="69">
        <v>40</v>
      </c>
      <c r="G166" s="66"/>
      <c r="H166" s="70"/>
      <c r="I166" s="71"/>
      <c r="J166" s="71"/>
      <c r="K166" s="35" t="s">
        <v>65</v>
      </c>
      <c r="L166" s="79">
        <v>166</v>
      </c>
      <c r="M166" s="79"/>
      <c r="N166" s="73"/>
      <c r="O166" s="81" t="s">
        <v>788</v>
      </c>
      <c r="P166" s="81" t="s">
        <v>325</v>
      </c>
      <c r="Q166" s="84" t="s">
        <v>954</v>
      </c>
      <c r="R166" s="81" t="s">
        <v>448</v>
      </c>
      <c r="S166" s="81" t="s">
        <v>1516</v>
      </c>
      <c r="T166" s="86" t="str">
        <f>HYPERLINK("http://www.youtube.com/channel/UCqHav2T8EfBmAp2bGh1bJUQ")</f>
        <v>http://www.youtube.com/channel/UCqHav2T8EfBmAp2bGh1bJUQ</v>
      </c>
      <c r="U166" s="81"/>
      <c r="V166" s="81" t="s">
        <v>1885</v>
      </c>
      <c r="W166" s="86" t="str">
        <f>HYPERLINK("https://www.youtube.com/watch?v=wadBvDPeE4E")</f>
        <v>https://www.youtube.com/watch?v=wadBvDPeE4E</v>
      </c>
      <c r="X166" s="81" t="s">
        <v>1886</v>
      </c>
      <c r="Y166" s="81">
        <v>0</v>
      </c>
      <c r="Z166" s="88">
        <v>41203.36693287037</v>
      </c>
      <c r="AA166" s="88">
        <v>41203.36693287037</v>
      </c>
      <c r="AB166" s="81"/>
      <c r="AC166" s="81"/>
      <c r="AD166" s="84" t="s">
        <v>1927</v>
      </c>
      <c r="AE166" s="82">
        <v>1</v>
      </c>
      <c r="AF166" s="83" t="str">
        <f>REPLACE(INDEX(GroupVertices[Group],MATCH(Edges[[#This Row],[Vertex 1]],GroupVertices[Vertex],0)),1,1,"")</f>
        <v>1</v>
      </c>
      <c r="AG166" s="83" t="str">
        <f>REPLACE(INDEX(GroupVertices[Group],MATCH(Edges[[#This Row],[Vertex 2]],GroupVertices[Vertex],0)),1,1,"")</f>
        <v>1</v>
      </c>
      <c r="AH166" s="111">
        <v>1</v>
      </c>
      <c r="AI166" s="112">
        <v>20</v>
      </c>
      <c r="AJ166" s="111">
        <v>0</v>
      </c>
      <c r="AK166" s="112">
        <v>0</v>
      </c>
      <c r="AL166" s="111">
        <v>0</v>
      </c>
      <c r="AM166" s="112">
        <v>0</v>
      </c>
      <c r="AN166" s="111">
        <v>4</v>
      </c>
      <c r="AO166" s="112">
        <v>80</v>
      </c>
      <c r="AP166" s="111">
        <v>5</v>
      </c>
    </row>
    <row r="167" spans="1:42" ht="15">
      <c r="A167" s="65" t="s">
        <v>449</v>
      </c>
      <c r="B167" s="65" t="s">
        <v>786</v>
      </c>
      <c r="C167" s="66" t="s">
        <v>4509</v>
      </c>
      <c r="D167" s="67">
        <v>3</v>
      </c>
      <c r="E167" s="68"/>
      <c r="F167" s="69">
        <v>40</v>
      </c>
      <c r="G167" s="66"/>
      <c r="H167" s="70"/>
      <c r="I167" s="71"/>
      <c r="J167" s="71"/>
      <c r="K167" s="35" t="s">
        <v>65</v>
      </c>
      <c r="L167" s="79">
        <v>167</v>
      </c>
      <c r="M167" s="79"/>
      <c r="N167" s="73"/>
      <c r="O167" s="81" t="s">
        <v>788</v>
      </c>
      <c r="P167" s="81" t="s">
        <v>325</v>
      </c>
      <c r="Q167" s="84" t="s">
        <v>955</v>
      </c>
      <c r="R167" s="81" t="s">
        <v>449</v>
      </c>
      <c r="S167" s="81" t="s">
        <v>1517</v>
      </c>
      <c r="T167" s="86" t="str">
        <f>HYPERLINK("http://www.youtube.com/channel/UCBtYZsDaTEj51OodIzYrgmQ")</f>
        <v>http://www.youtube.com/channel/UCBtYZsDaTEj51OodIzYrgmQ</v>
      </c>
      <c r="U167" s="81"/>
      <c r="V167" s="81" t="s">
        <v>1885</v>
      </c>
      <c r="W167" s="86" t="str">
        <f>HYPERLINK("https://www.youtube.com/watch?v=wadBvDPeE4E")</f>
        <v>https://www.youtube.com/watch?v=wadBvDPeE4E</v>
      </c>
      <c r="X167" s="81" t="s">
        <v>1886</v>
      </c>
      <c r="Y167" s="81">
        <v>2</v>
      </c>
      <c r="Z167" s="88">
        <v>41203.4197337963</v>
      </c>
      <c r="AA167" s="88">
        <v>41203.4197337963</v>
      </c>
      <c r="AB167" s="81"/>
      <c r="AC167" s="81"/>
      <c r="AD167" s="84" t="s">
        <v>1927</v>
      </c>
      <c r="AE167" s="82">
        <v>1</v>
      </c>
      <c r="AF167" s="83" t="str">
        <f>REPLACE(INDEX(GroupVertices[Group],MATCH(Edges[[#This Row],[Vertex 1]],GroupVertices[Vertex],0)),1,1,"")</f>
        <v>1</v>
      </c>
      <c r="AG167" s="83" t="str">
        <f>REPLACE(INDEX(GroupVertices[Group],MATCH(Edges[[#This Row],[Vertex 2]],GroupVertices[Vertex],0)),1,1,"")</f>
        <v>1</v>
      </c>
      <c r="AH167" s="111">
        <v>3</v>
      </c>
      <c r="AI167" s="112">
        <v>4.225352112676056</v>
      </c>
      <c r="AJ167" s="111">
        <v>0</v>
      </c>
      <c r="AK167" s="112">
        <v>0</v>
      </c>
      <c r="AL167" s="111">
        <v>0</v>
      </c>
      <c r="AM167" s="112">
        <v>0</v>
      </c>
      <c r="AN167" s="111">
        <v>68</v>
      </c>
      <c r="AO167" s="112">
        <v>95.77464788732394</v>
      </c>
      <c r="AP167" s="111">
        <v>71</v>
      </c>
    </row>
    <row r="168" spans="1:42" ht="15">
      <c r="A168" s="65" t="s">
        <v>450</v>
      </c>
      <c r="B168" s="65" t="s">
        <v>786</v>
      </c>
      <c r="C168" s="66" t="s">
        <v>4510</v>
      </c>
      <c r="D168" s="67">
        <v>5.333333333333334</v>
      </c>
      <c r="E168" s="68"/>
      <c r="F168" s="69">
        <v>31.666666666666664</v>
      </c>
      <c r="G168" s="66"/>
      <c r="H168" s="70"/>
      <c r="I168" s="71"/>
      <c r="J168" s="71"/>
      <c r="K168" s="35" t="s">
        <v>65</v>
      </c>
      <c r="L168" s="79">
        <v>168</v>
      </c>
      <c r="M168" s="79"/>
      <c r="N168" s="73"/>
      <c r="O168" s="81" t="s">
        <v>788</v>
      </c>
      <c r="P168" s="81" t="s">
        <v>325</v>
      </c>
      <c r="Q168" s="84" t="s">
        <v>956</v>
      </c>
      <c r="R168" s="81" t="s">
        <v>450</v>
      </c>
      <c r="S168" s="81" t="s">
        <v>1518</v>
      </c>
      <c r="T168" s="86" t="str">
        <f>HYPERLINK("http://www.youtube.com/channel/UCsXnwapwuxHXs70NCxCVDmg")</f>
        <v>http://www.youtube.com/channel/UCsXnwapwuxHXs70NCxCVDmg</v>
      </c>
      <c r="U168" s="81"/>
      <c r="V168" s="81" t="s">
        <v>1885</v>
      </c>
      <c r="W168" s="86" t="str">
        <f>HYPERLINK("https://www.youtube.com/watch?v=wadBvDPeE4E")</f>
        <v>https://www.youtube.com/watch?v=wadBvDPeE4E</v>
      </c>
      <c r="X168" s="81" t="s">
        <v>1886</v>
      </c>
      <c r="Y168" s="81">
        <v>0</v>
      </c>
      <c r="Z168" s="88">
        <v>41203.04100694445</v>
      </c>
      <c r="AA168" s="88">
        <v>41203.04100694445</v>
      </c>
      <c r="AB168" s="81"/>
      <c r="AC168" s="81"/>
      <c r="AD168" s="84" t="s">
        <v>1927</v>
      </c>
      <c r="AE168" s="82">
        <v>2</v>
      </c>
      <c r="AF168" s="83" t="str">
        <f>REPLACE(INDEX(GroupVertices[Group],MATCH(Edges[[#This Row],[Vertex 1]],GroupVertices[Vertex],0)),1,1,"")</f>
        <v>1</v>
      </c>
      <c r="AG168" s="83" t="str">
        <f>REPLACE(INDEX(GroupVertices[Group],MATCH(Edges[[#This Row],[Vertex 2]],GroupVertices[Vertex],0)),1,1,"")</f>
        <v>1</v>
      </c>
      <c r="AH168" s="111">
        <v>0</v>
      </c>
      <c r="AI168" s="112">
        <v>0</v>
      </c>
      <c r="AJ168" s="111">
        <v>0</v>
      </c>
      <c r="AK168" s="112">
        <v>0</v>
      </c>
      <c r="AL168" s="111">
        <v>0</v>
      </c>
      <c r="AM168" s="112">
        <v>0</v>
      </c>
      <c r="AN168" s="111">
        <v>7</v>
      </c>
      <c r="AO168" s="112">
        <v>100</v>
      </c>
      <c r="AP168" s="111">
        <v>7</v>
      </c>
    </row>
    <row r="169" spans="1:42" ht="15">
      <c r="A169" s="65" t="s">
        <v>450</v>
      </c>
      <c r="B169" s="65" t="s">
        <v>786</v>
      </c>
      <c r="C169" s="66" t="s">
        <v>4510</v>
      </c>
      <c r="D169" s="67">
        <v>5.333333333333334</v>
      </c>
      <c r="E169" s="68"/>
      <c r="F169" s="69">
        <v>31.666666666666664</v>
      </c>
      <c r="G169" s="66"/>
      <c r="H169" s="70"/>
      <c r="I169" s="71"/>
      <c r="J169" s="71"/>
      <c r="K169" s="35" t="s">
        <v>65</v>
      </c>
      <c r="L169" s="79">
        <v>169</v>
      </c>
      <c r="M169" s="79"/>
      <c r="N169" s="73"/>
      <c r="O169" s="81" t="s">
        <v>788</v>
      </c>
      <c r="P169" s="81" t="s">
        <v>325</v>
      </c>
      <c r="Q169" s="84" t="s">
        <v>957</v>
      </c>
      <c r="R169" s="81" t="s">
        <v>450</v>
      </c>
      <c r="S169" s="81" t="s">
        <v>1518</v>
      </c>
      <c r="T169" s="86" t="str">
        <f>HYPERLINK("http://www.youtube.com/channel/UCsXnwapwuxHXs70NCxCVDmg")</f>
        <v>http://www.youtube.com/channel/UCsXnwapwuxHXs70NCxCVDmg</v>
      </c>
      <c r="U169" s="81"/>
      <c r="V169" s="81" t="s">
        <v>1885</v>
      </c>
      <c r="W169" s="86" t="str">
        <f>HYPERLINK("https://www.youtube.com/watch?v=wadBvDPeE4E")</f>
        <v>https://www.youtube.com/watch?v=wadBvDPeE4E</v>
      </c>
      <c r="X169" s="81" t="s">
        <v>1886</v>
      </c>
      <c r="Y169" s="81">
        <v>0</v>
      </c>
      <c r="Z169" s="88">
        <v>41203.60292824074</v>
      </c>
      <c r="AA169" s="88">
        <v>41203.60292824074</v>
      </c>
      <c r="AB169" s="81"/>
      <c r="AC169" s="81"/>
      <c r="AD169" s="84" t="s">
        <v>1927</v>
      </c>
      <c r="AE169" s="82">
        <v>2</v>
      </c>
      <c r="AF169" s="83" t="str">
        <f>REPLACE(INDEX(GroupVertices[Group],MATCH(Edges[[#This Row],[Vertex 1]],GroupVertices[Vertex],0)),1,1,"")</f>
        <v>1</v>
      </c>
      <c r="AG169" s="83" t="str">
        <f>REPLACE(INDEX(GroupVertices[Group],MATCH(Edges[[#This Row],[Vertex 2]],GroupVertices[Vertex],0)),1,1,"")</f>
        <v>1</v>
      </c>
      <c r="AH169" s="111">
        <v>0</v>
      </c>
      <c r="AI169" s="112">
        <v>0</v>
      </c>
      <c r="AJ169" s="111">
        <v>0</v>
      </c>
      <c r="AK169" s="112">
        <v>0</v>
      </c>
      <c r="AL169" s="111">
        <v>0</v>
      </c>
      <c r="AM169" s="112">
        <v>0</v>
      </c>
      <c r="AN169" s="111">
        <v>12</v>
      </c>
      <c r="AO169" s="112">
        <v>100</v>
      </c>
      <c r="AP169" s="111">
        <v>12</v>
      </c>
    </row>
    <row r="170" spans="1:42" ht="15">
      <c r="A170" s="65" t="s">
        <v>451</v>
      </c>
      <c r="B170" s="65" t="s">
        <v>786</v>
      </c>
      <c r="C170" s="66" t="s">
        <v>4509</v>
      </c>
      <c r="D170" s="67">
        <v>3</v>
      </c>
      <c r="E170" s="68"/>
      <c r="F170" s="69">
        <v>40</v>
      </c>
      <c r="G170" s="66"/>
      <c r="H170" s="70"/>
      <c r="I170" s="71"/>
      <c r="J170" s="71"/>
      <c r="K170" s="35" t="s">
        <v>65</v>
      </c>
      <c r="L170" s="79">
        <v>170</v>
      </c>
      <c r="M170" s="79"/>
      <c r="N170" s="73"/>
      <c r="O170" s="81" t="s">
        <v>788</v>
      </c>
      <c r="P170" s="81" t="s">
        <v>325</v>
      </c>
      <c r="Q170" s="84" t="s">
        <v>958</v>
      </c>
      <c r="R170" s="81" t="s">
        <v>451</v>
      </c>
      <c r="S170" s="81" t="s">
        <v>1519</v>
      </c>
      <c r="T170" s="86" t="str">
        <f>HYPERLINK("http://www.youtube.com/channel/UCzBU8flfYX1lWOo-JAnAKTg")</f>
        <v>http://www.youtube.com/channel/UCzBU8flfYX1lWOo-JAnAKTg</v>
      </c>
      <c r="U170" s="81"/>
      <c r="V170" s="81" t="s">
        <v>1885</v>
      </c>
      <c r="W170" s="86" t="str">
        <f>HYPERLINK("https://www.youtube.com/watch?v=wadBvDPeE4E")</f>
        <v>https://www.youtube.com/watch?v=wadBvDPeE4E</v>
      </c>
      <c r="X170" s="81" t="s">
        <v>1886</v>
      </c>
      <c r="Y170" s="81">
        <v>0</v>
      </c>
      <c r="Z170" s="88">
        <v>41203.65267361111</v>
      </c>
      <c r="AA170" s="88">
        <v>41203.65267361111</v>
      </c>
      <c r="AB170" s="81"/>
      <c r="AC170" s="81"/>
      <c r="AD170" s="84" t="s">
        <v>1927</v>
      </c>
      <c r="AE170" s="82">
        <v>1</v>
      </c>
      <c r="AF170" s="83" t="str">
        <f>REPLACE(INDEX(GroupVertices[Group],MATCH(Edges[[#This Row],[Vertex 1]],GroupVertices[Vertex],0)),1,1,"")</f>
        <v>1</v>
      </c>
      <c r="AG170" s="83" t="str">
        <f>REPLACE(INDEX(GroupVertices[Group],MATCH(Edges[[#This Row],[Vertex 2]],GroupVertices[Vertex],0)),1,1,"")</f>
        <v>1</v>
      </c>
      <c r="AH170" s="111">
        <v>0</v>
      </c>
      <c r="AI170" s="112">
        <v>0</v>
      </c>
      <c r="AJ170" s="111">
        <v>1</v>
      </c>
      <c r="AK170" s="112">
        <v>16.666666666666668</v>
      </c>
      <c r="AL170" s="111">
        <v>0</v>
      </c>
      <c r="AM170" s="112">
        <v>0</v>
      </c>
      <c r="AN170" s="111">
        <v>5</v>
      </c>
      <c r="AO170" s="112">
        <v>83.33333333333333</v>
      </c>
      <c r="AP170" s="111">
        <v>6</v>
      </c>
    </row>
    <row r="171" spans="1:42" ht="15">
      <c r="A171" s="65" t="s">
        <v>452</v>
      </c>
      <c r="B171" s="65" t="s">
        <v>786</v>
      </c>
      <c r="C171" s="66" t="s">
        <v>4509</v>
      </c>
      <c r="D171" s="67">
        <v>3</v>
      </c>
      <c r="E171" s="68"/>
      <c r="F171" s="69">
        <v>40</v>
      </c>
      <c r="G171" s="66"/>
      <c r="H171" s="70"/>
      <c r="I171" s="71"/>
      <c r="J171" s="71"/>
      <c r="K171" s="35" t="s">
        <v>65</v>
      </c>
      <c r="L171" s="79">
        <v>171</v>
      </c>
      <c r="M171" s="79"/>
      <c r="N171" s="73"/>
      <c r="O171" s="81" t="s">
        <v>788</v>
      </c>
      <c r="P171" s="81" t="s">
        <v>325</v>
      </c>
      <c r="Q171" s="84" t="s">
        <v>959</v>
      </c>
      <c r="R171" s="81" t="s">
        <v>452</v>
      </c>
      <c r="S171" s="81" t="s">
        <v>1520</v>
      </c>
      <c r="T171" s="86" t="str">
        <f>HYPERLINK("http://www.youtube.com/channel/UC39xVeV3dYjBTUkSBK8XBaA")</f>
        <v>http://www.youtube.com/channel/UC39xVeV3dYjBTUkSBK8XBaA</v>
      </c>
      <c r="U171" s="81"/>
      <c r="V171" s="81" t="s">
        <v>1885</v>
      </c>
      <c r="W171" s="86" t="str">
        <f>HYPERLINK("https://www.youtube.com/watch?v=wadBvDPeE4E")</f>
        <v>https://www.youtube.com/watch?v=wadBvDPeE4E</v>
      </c>
      <c r="X171" s="81" t="s">
        <v>1886</v>
      </c>
      <c r="Y171" s="81">
        <v>0</v>
      </c>
      <c r="Z171" s="88">
        <v>41203.69877314815</v>
      </c>
      <c r="AA171" s="88">
        <v>41203.69877314815</v>
      </c>
      <c r="AB171" s="81"/>
      <c r="AC171" s="81"/>
      <c r="AD171" s="84" t="s">
        <v>1927</v>
      </c>
      <c r="AE171" s="82">
        <v>1</v>
      </c>
      <c r="AF171" s="83" t="str">
        <f>REPLACE(INDEX(GroupVertices[Group],MATCH(Edges[[#This Row],[Vertex 1]],GroupVertices[Vertex],0)),1,1,"")</f>
        <v>1</v>
      </c>
      <c r="AG171" s="83" t="str">
        <f>REPLACE(INDEX(GroupVertices[Group],MATCH(Edges[[#This Row],[Vertex 2]],GroupVertices[Vertex],0)),1,1,"")</f>
        <v>1</v>
      </c>
      <c r="AH171" s="111">
        <v>2</v>
      </c>
      <c r="AI171" s="112">
        <v>6.896551724137931</v>
      </c>
      <c r="AJ171" s="111">
        <v>0</v>
      </c>
      <c r="AK171" s="112">
        <v>0</v>
      </c>
      <c r="AL171" s="111">
        <v>0</v>
      </c>
      <c r="AM171" s="112">
        <v>0</v>
      </c>
      <c r="AN171" s="111">
        <v>27</v>
      </c>
      <c r="AO171" s="112">
        <v>93.10344827586206</v>
      </c>
      <c r="AP171" s="111">
        <v>29</v>
      </c>
    </row>
    <row r="172" spans="1:42" ht="15">
      <c r="A172" s="65" t="s">
        <v>453</v>
      </c>
      <c r="B172" s="65" t="s">
        <v>786</v>
      </c>
      <c r="C172" s="66" t="s">
        <v>4509</v>
      </c>
      <c r="D172" s="67">
        <v>3</v>
      </c>
      <c r="E172" s="68"/>
      <c r="F172" s="69">
        <v>40</v>
      </c>
      <c r="G172" s="66"/>
      <c r="H172" s="70"/>
      <c r="I172" s="71"/>
      <c r="J172" s="71"/>
      <c r="K172" s="35" t="s">
        <v>65</v>
      </c>
      <c r="L172" s="79">
        <v>172</v>
      </c>
      <c r="M172" s="79"/>
      <c r="N172" s="73"/>
      <c r="O172" s="81" t="s">
        <v>788</v>
      </c>
      <c r="P172" s="81" t="s">
        <v>325</v>
      </c>
      <c r="Q172" s="84" t="s">
        <v>960</v>
      </c>
      <c r="R172" s="81" t="s">
        <v>453</v>
      </c>
      <c r="S172" s="81" t="s">
        <v>1521</v>
      </c>
      <c r="T172" s="86" t="str">
        <f>HYPERLINK("http://www.youtube.com/channel/UCLvt3bD1AJUnf7LEUXk_SOA")</f>
        <v>http://www.youtube.com/channel/UCLvt3bD1AJUnf7LEUXk_SOA</v>
      </c>
      <c r="U172" s="81"/>
      <c r="V172" s="81" t="s">
        <v>1885</v>
      </c>
      <c r="W172" s="86" t="str">
        <f>HYPERLINK("https://www.youtube.com/watch?v=wadBvDPeE4E")</f>
        <v>https://www.youtube.com/watch?v=wadBvDPeE4E</v>
      </c>
      <c r="X172" s="81" t="s">
        <v>1886</v>
      </c>
      <c r="Y172" s="81">
        <v>0</v>
      </c>
      <c r="Z172" s="88">
        <v>41203.699270833335</v>
      </c>
      <c r="AA172" s="88">
        <v>41203.699270833335</v>
      </c>
      <c r="AB172" s="81"/>
      <c r="AC172" s="81"/>
      <c r="AD172" s="84" t="s">
        <v>1927</v>
      </c>
      <c r="AE172" s="82">
        <v>1</v>
      </c>
      <c r="AF172" s="83" t="str">
        <f>REPLACE(INDEX(GroupVertices[Group],MATCH(Edges[[#This Row],[Vertex 1]],GroupVertices[Vertex],0)),1,1,"")</f>
        <v>1</v>
      </c>
      <c r="AG172" s="83" t="str">
        <f>REPLACE(INDEX(GroupVertices[Group],MATCH(Edges[[#This Row],[Vertex 2]],GroupVertices[Vertex],0)),1,1,"")</f>
        <v>1</v>
      </c>
      <c r="AH172" s="111">
        <v>2</v>
      </c>
      <c r="AI172" s="112">
        <v>6.25</v>
      </c>
      <c r="AJ172" s="111">
        <v>1</v>
      </c>
      <c r="AK172" s="112">
        <v>3.125</v>
      </c>
      <c r="AL172" s="111">
        <v>0</v>
      </c>
      <c r="AM172" s="112">
        <v>0</v>
      </c>
      <c r="AN172" s="111">
        <v>29</v>
      </c>
      <c r="AO172" s="112">
        <v>90.625</v>
      </c>
      <c r="AP172" s="111">
        <v>32</v>
      </c>
    </row>
    <row r="173" spans="1:42" ht="15">
      <c r="A173" s="65" t="s">
        <v>454</v>
      </c>
      <c r="B173" s="65" t="s">
        <v>786</v>
      </c>
      <c r="C173" s="66" t="s">
        <v>4510</v>
      </c>
      <c r="D173" s="67">
        <v>5.333333333333334</v>
      </c>
      <c r="E173" s="68"/>
      <c r="F173" s="69">
        <v>31.666666666666664</v>
      </c>
      <c r="G173" s="66"/>
      <c r="H173" s="70"/>
      <c r="I173" s="71"/>
      <c r="J173" s="71"/>
      <c r="K173" s="35" t="s">
        <v>65</v>
      </c>
      <c r="L173" s="79">
        <v>173</v>
      </c>
      <c r="M173" s="79"/>
      <c r="N173" s="73"/>
      <c r="O173" s="81" t="s">
        <v>788</v>
      </c>
      <c r="P173" s="81" t="s">
        <v>325</v>
      </c>
      <c r="Q173" s="84" t="s">
        <v>961</v>
      </c>
      <c r="R173" s="81" t="s">
        <v>454</v>
      </c>
      <c r="S173" s="81" t="s">
        <v>1522</v>
      </c>
      <c r="T173" s="86" t="str">
        <f>HYPERLINK("http://www.youtube.com/channel/UCfzICRGe-9WPFYK7DQC4i0g")</f>
        <v>http://www.youtube.com/channel/UCfzICRGe-9WPFYK7DQC4i0g</v>
      </c>
      <c r="U173" s="81"/>
      <c r="V173" s="81" t="s">
        <v>1885</v>
      </c>
      <c r="W173" s="86" t="str">
        <f>HYPERLINK("https://www.youtube.com/watch?v=wadBvDPeE4E")</f>
        <v>https://www.youtube.com/watch?v=wadBvDPeE4E</v>
      </c>
      <c r="X173" s="81" t="s">
        <v>1886</v>
      </c>
      <c r="Y173" s="81">
        <v>0</v>
      </c>
      <c r="Z173" s="88">
        <v>41202.57592592593</v>
      </c>
      <c r="AA173" s="88">
        <v>41202.57592592593</v>
      </c>
      <c r="AB173" s="81"/>
      <c r="AC173" s="81"/>
      <c r="AD173" s="84" t="s">
        <v>1927</v>
      </c>
      <c r="AE173" s="82">
        <v>2</v>
      </c>
      <c r="AF173" s="83" t="str">
        <f>REPLACE(INDEX(GroupVertices[Group],MATCH(Edges[[#This Row],[Vertex 1]],GroupVertices[Vertex],0)),1,1,"")</f>
        <v>1</v>
      </c>
      <c r="AG173" s="83" t="str">
        <f>REPLACE(INDEX(GroupVertices[Group],MATCH(Edges[[#This Row],[Vertex 2]],GroupVertices[Vertex],0)),1,1,"")</f>
        <v>1</v>
      </c>
      <c r="AH173" s="111">
        <v>1</v>
      </c>
      <c r="AI173" s="112">
        <v>16.666666666666668</v>
      </c>
      <c r="AJ173" s="111">
        <v>0</v>
      </c>
      <c r="AK173" s="112">
        <v>0</v>
      </c>
      <c r="AL173" s="111">
        <v>0</v>
      </c>
      <c r="AM173" s="112">
        <v>0</v>
      </c>
      <c r="AN173" s="111">
        <v>5</v>
      </c>
      <c r="AO173" s="112">
        <v>83.33333333333333</v>
      </c>
      <c r="AP173" s="111">
        <v>6</v>
      </c>
    </row>
    <row r="174" spans="1:42" ht="15">
      <c r="A174" s="65" t="s">
        <v>454</v>
      </c>
      <c r="B174" s="65" t="s">
        <v>786</v>
      </c>
      <c r="C174" s="66" t="s">
        <v>4510</v>
      </c>
      <c r="D174" s="67">
        <v>5.333333333333334</v>
      </c>
      <c r="E174" s="68"/>
      <c r="F174" s="69">
        <v>31.666666666666664</v>
      </c>
      <c r="G174" s="66"/>
      <c r="H174" s="70"/>
      <c r="I174" s="71"/>
      <c r="J174" s="71"/>
      <c r="K174" s="35" t="s">
        <v>65</v>
      </c>
      <c r="L174" s="79">
        <v>174</v>
      </c>
      <c r="M174" s="79"/>
      <c r="N174" s="73"/>
      <c r="O174" s="81" t="s">
        <v>788</v>
      </c>
      <c r="P174" s="81" t="s">
        <v>325</v>
      </c>
      <c r="Q174" s="84" t="s">
        <v>962</v>
      </c>
      <c r="R174" s="81" t="s">
        <v>454</v>
      </c>
      <c r="S174" s="81" t="s">
        <v>1522</v>
      </c>
      <c r="T174" s="86" t="str">
        <f>HYPERLINK("http://www.youtube.com/channel/UCfzICRGe-9WPFYK7DQC4i0g")</f>
        <v>http://www.youtube.com/channel/UCfzICRGe-9WPFYK7DQC4i0g</v>
      </c>
      <c r="U174" s="81"/>
      <c r="V174" s="81" t="s">
        <v>1885</v>
      </c>
      <c r="W174" s="86" t="str">
        <f>HYPERLINK("https://www.youtube.com/watch?v=wadBvDPeE4E")</f>
        <v>https://www.youtube.com/watch?v=wadBvDPeE4E</v>
      </c>
      <c r="X174" s="81" t="s">
        <v>1886</v>
      </c>
      <c r="Y174" s="81">
        <v>0</v>
      </c>
      <c r="Z174" s="88">
        <v>41203.76550925926</v>
      </c>
      <c r="AA174" s="88">
        <v>41203.76550925926</v>
      </c>
      <c r="AB174" s="81"/>
      <c r="AC174" s="81"/>
      <c r="AD174" s="84" t="s">
        <v>1927</v>
      </c>
      <c r="AE174" s="82">
        <v>2</v>
      </c>
      <c r="AF174" s="83" t="str">
        <f>REPLACE(INDEX(GroupVertices[Group],MATCH(Edges[[#This Row],[Vertex 1]],GroupVertices[Vertex],0)),1,1,"")</f>
        <v>1</v>
      </c>
      <c r="AG174" s="83" t="str">
        <f>REPLACE(INDEX(GroupVertices[Group],MATCH(Edges[[#This Row],[Vertex 2]],GroupVertices[Vertex],0)),1,1,"")</f>
        <v>1</v>
      </c>
      <c r="AH174" s="111">
        <v>0</v>
      </c>
      <c r="AI174" s="112">
        <v>0</v>
      </c>
      <c r="AJ174" s="111">
        <v>0</v>
      </c>
      <c r="AK174" s="112">
        <v>0</v>
      </c>
      <c r="AL174" s="111">
        <v>0</v>
      </c>
      <c r="AM174" s="112">
        <v>0</v>
      </c>
      <c r="AN174" s="111">
        <v>14</v>
      </c>
      <c r="AO174" s="112">
        <v>100</v>
      </c>
      <c r="AP174" s="111">
        <v>14</v>
      </c>
    </row>
    <row r="175" spans="1:42" ht="15">
      <c r="A175" s="65" t="s">
        <v>455</v>
      </c>
      <c r="B175" s="65" t="s">
        <v>465</v>
      </c>
      <c r="C175" s="66" t="s">
        <v>4509</v>
      </c>
      <c r="D175" s="67">
        <v>3</v>
      </c>
      <c r="E175" s="68"/>
      <c r="F175" s="69">
        <v>40</v>
      </c>
      <c r="G175" s="66"/>
      <c r="H175" s="70"/>
      <c r="I175" s="71"/>
      <c r="J175" s="71"/>
      <c r="K175" s="35" t="s">
        <v>65</v>
      </c>
      <c r="L175" s="79">
        <v>175</v>
      </c>
      <c r="M175" s="79"/>
      <c r="N175" s="73"/>
      <c r="O175" s="81" t="s">
        <v>789</v>
      </c>
      <c r="P175" s="81" t="s">
        <v>791</v>
      </c>
      <c r="Q175" s="84" t="s">
        <v>963</v>
      </c>
      <c r="R175" s="81" t="s">
        <v>455</v>
      </c>
      <c r="S175" s="81" t="s">
        <v>1523</v>
      </c>
      <c r="T175" s="86" t="str">
        <f>HYPERLINK("http://www.youtube.com/channel/UCnWB9pweC3vmwsOFh9CiJ9A")</f>
        <v>http://www.youtube.com/channel/UCnWB9pweC3vmwsOFh9CiJ9A</v>
      </c>
      <c r="U175" s="81" t="s">
        <v>1857</v>
      </c>
      <c r="V175" s="81" t="s">
        <v>1885</v>
      </c>
      <c r="W175" s="86" t="str">
        <f>HYPERLINK("https://www.youtube.com/watch?v=wadBvDPeE4E")</f>
        <v>https://www.youtube.com/watch?v=wadBvDPeE4E</v>
      </c>
      <c r="X175" s="81" t="s">
        <v>1886</v>
      </c>
      <c r="Y175" s="81">
        <v>0</v>
      </c>
      <c r="Z175" s="88">
        <v>43982.10425925926</v>
      </c>
      <c r="AA175" s="88">
        <v>43982.10425925926</v>
      </c>
      <c r="AB175" s="81"/>
      <c r="AC175" s="81"/>
      <c r="AD175" s="84" t="s">
        <v>1927</v>
      </c>
      <c r="AE175" s="82">
        <v>1</v>
      </c>
      <c r="AF175" s="83" t="str">
        <f>REPLACE(INDEX(GroupVertices[Group],MATCH(Edges[[#This Row],[Vertex 1]],GroupVertices[Vertex],0)),1,1,"")</f>
        <v>13</v>
      </c>
      <c r="AG175" s="83" t="str">
        <f>REPLACE(INDEX(GroupVertices[Group],MATCH(Edges[[#This Row],[Vertex 2]],GroupVertices[Vertex],0)),1,1,"")</f>
        <v>13</v>
      </c>
      <c r="AH175" s="111">
        <v>0</v>
      </c>
      <c r="AI175" s="112">
        <v>0</v>
      </c>
      <c r="AJ175" s="111">
        <v>0</v>
      </c>
      <c r="AK175" s="112">
        <v>0</v>
      </c>
      <c r="AL175" s="111">
        <v>0</v>
      </c>
      <c r="AM175" s="112">
        <v>0</v>
      </c>
      <c r="AN175" s="111">
        <v>9</v>
      </c>
      <c r="AO175" s="112">
        <v>100</v>
      </c>
      <c r="AP175" s="111">
        <v>9</v>
      </c>
    </row>
    <row r="176" spans="1:42" ht="15">
      <c r="A176" s="65" t="s">
        <v>456</v>
      </c>
      <c r="B176" s="65" t="s">
        <v>465</v>
      </c>
      <c r="C176" s="66" t="s">
        <v>4509</v>
      </c>
      <c r="D176" s="67">
        <v>3</v>
      </c>
      <c r="E176" s="68"/>
      <c r="F176" s="69">
        <v>40</v>
      </c>
      <c r="G176" s="66"/>
      <c r="H176" s="70"/>
      <c r="I176" s="71"/>
      <c r="J176" s="71"/>
      <c r="K176" s="35" t="s">
        <v>65</v>
      </c>
      <c r="L176" s="79">
        <v>176</v>
      </c>
      <c r="M176" s="79"/>
      <c r="N176" s="73"/>
      <c r="O176" s="81" t="s">
        <v>789</v>
      </c>
      <c r="P176" s="81" t="s">
        <v>791</v>
      </c>
      <c r="Q176" s="84" t="s">
        <v>964</v>
      </c>
      <c r="R176" s="81" t="s">
        <v>456</v>
      </c>
      <c r="S176" s="81" t="s">
        <v>1524</v>
      </c>
      <c r="T176" s="86" t="str">
        <f>HYPERLINK("http://www.youtube.com/channel/UCzdkUb_z4LGJ-yz6CW4wFOQ")</f>
        <v>http://www.youtube.com/channel/UCzdkUb_z4LGJ-yz6CW4wFOQ</v>
      </c>
      <c r="U176" s="81" t="s">
        <v>1857</v>
      </c>
      <c r="V176" s="81" t="s">
        <v>1885</v>
      </c>
      <c r="W176" s="86" t="str">
        <f>HYPERLINK("https://www.youtube.com/watch?v=wadBvDPeE4E")</f>
        <v>https://www.youtube.com/watch?v=wadBvDPeE4E</v>
      </c>
      <c r="X176" s="81" t="s">
        <v>1886</v>
      </c>
      <c r="Y176" s="81">
        <v>0</v>
      </c>
      <c r="Z176" s="88">
        <v>44560.82293981482</v>
      </c>
      <c r="AA176" s="88">
        <v>44560.82293981482</v>
      </c>
      <c r="AB176" s="81"/>
      <c r="AC176" s="81"/>
      <c r="AD176" s="84" t="s">
        <v>1927</v>
      </c>
      <c r="AE176" s="82">
        <v>1</v>
      </c>
      <c r="AF176" s="83" t="str">
        <f>REPLACE(INDEX(GroupVertices[Group],MATCH(Edges[[#This Row],[Vertex 1]],GroupVertices[Vertex],0)),1,1,"")</f>
        <v>13</v>
      </c>
      <c r="AG176" s="83" t="str">
        <f>REPLACE(INDEX(GroupVertices[Group],MATCH(Edges[[#This Row],[Vertex 2]],GroupVertices[Vertex],0)),1,1,"")</f>
        <v>13</v>
      </c>
      <c r="AH176" s="111">
        <v>0</v>
      </c>
      <c r="AI176" s="112">
        <v>0</v>
      </c>
      <c r="AJ176" s="111">
        <v>0</v>
      </c>
      <c r="AK176" s="112">
        <v>0</v>
      </c>
      <c r="AL176" s="111">
        <v>0</v>
      </c>
      <c r="AM176" s="112">
        <v>0</v>
      </c>
      <c r="AN176" s="111">
        <v>11</v>
      </c>
      <c r="AO176" s="112">
        <v>100</v>
      </c>
      <c r="AP176" s="111">
        <v>11</v>
      </c>
    </row>
    <row r="177" spans="1:42" ht="15">
      <c r="A177" s="65" t="s">
        <v>457</v>
      </c>
      <c r="B177" s="65" t="s">
        <v>786</v>
      </c>
      <c r="C177" s="66" t="s">
        <v>4509</v>
      </c>
      <c r="D177" s="67">
        <v>3</v>
      </c>
      <c r="E177" s="68"/>
      <c r="F177" s="69">
        <v>40</v>
      </c>
      <c r="G177" s="66"/>
      <c r="H177" s="70"/>
      <c r="I177" s="71"/>
      <c r="J177" s="71"/>
      <c r="K177" s="35" t="s">
        <v>65</v>
      </c>
      <c r="L177" s="79">
        <v>177</v>
      </c>
      <c r="M177" s="79"/>
      <c r="N177" s="73"/>
      <c r="O177" s="81" t="s">
        <v>788</v>
      </c>
      <c r="P177" s="81" t="s">
        <v>325</v>
      </c>
      <c r="Q177" s="84" t="s">
        <v>965</v>
      </c>
      <c r="R177" s="81" t="s">
        <v>457</v>
      </c>
      <c r="S177" s="81" t="s">
        <v>1525</v>
      </c>
      <c r="T177" s="86" t="str">
        <f>HYPERLINK("http://www.youtube.com/channel/UCQWi4ALl7UzEqBQ_DhdkygA")</f>
        <v>http://www.youtube.com/channel/UCQWi4ALl7UzEqBQ_DhdkygA</v>
      </c>
      <c r="U177" s="81"/>
      <c r="V177" s="81" t="s">
        <v>1885</v>
      </c>
      <c r="W177" s="86" t="str">
        <f>HYPERLINK("https://www.youtube.com/watch?v=wadBvDPeE4E")</f>
        <v>https://www.youtube.com/watch?v=wadBvDPeE4E</v>
      </c>
      <c r="X177" s="81" t="s">
        <v>1886</v>
      </c>
      <c r="Y177" s="81">
        <v>0</v>
      </c>
      <c r="Z177" s="88">
        <v>41203.79263888889</v>
      </c>
      <c r="AA177" s="88">
        <v>41203.79263888889</v>
      </c>
      <c r="AB177" s="81"/>
      <c r="AC177" s="81"/>
      <c r="AD177" s="84" t="s">
        <v>1927</v>
      </c>
      <c r="AE177" s="82">
        <v>1</v>
      </c>
      <c r="AF177" s="83" t="str">
        <f>REPLACE(INDEX(GroupVertices[Group],MATCH(Edges[[#This Row],[Vertex 1]],GroupVertices[Vertex],0)),1,1,"")</f>
        <v>1</v>
      </c>
      <c r="AG177" s="83" t="str">
        <f>REPLACE(INDEX(GroupVertices[Group],MATCH(Edges[[#This Row],[Vertex 2]],GroupVertices[Vertex],0)),1,1,"")</f>
        <v>1</v>
      </c>
      <c r="AH177" s="111">
        <v>1</v>
      </c>
      <c r="AI177" s="112">
        <v>50</v>
      </c>
      <c r="AJ177" s="111">
        <v>0</v>
      </c>
      <c r="AK177" s="112">
        <v>0</v>
      </c>
      <c r="AL177" s="111">
        <v>0</v>
      </c>
      <c r="AM177" s="112">
        <v>0</v>
      </c>
      <c r="AN177" s="111">
        <v>1</v>
      </c>
      <c r="AO177" s="112">
        <v>50</v>
      </c>
      <c r="AP177" s="111">
        <v>2</v>
      </c>
    </row>
    <row r="178" spans="1:42" ht="15">
      <c r="A178" s="65" t="s">
        <v>458</v>
      </c>
      <c r="B178" s="65" t="s">
        <v>786</v>
      </c>
      <c r="C178" s="66" t="s">
        <v>4510</v>
      </c>
      <c r="D178" s="67">
        <v>5.333333333333334</v>
      </c>
      <c r="E178" s="68"/>
      <c r="F178" s="69">
        <v>31.666666666666664</v>
      </c>
      <c r="G178" s="66"/>
      <c r="H178" s="70"/>
      <c r="I178" s="71"/>
      <c r="J178" s="71"/>
      <c r="K178" s="35" t="s">
        <v>65</v>
      </c>
      <c r="L178" s="79">
        <v>178</v>
      </c>
      <c r="M178" s="79"/>
      <c r="N178" s="73"/>
      <c r="O178" s="81" t="s">
        <v>788</v>
      </c>
      <c r="P178" s="81" t="s">
        <v>325</v>
      </c>
      <c r="Q178" s="84" t="s">
        <v>966</v>
      </c>
      <c r="R178" s="81" t="s">
        <v>458</v>
      </c>
      <c r="S178" s="81" t="s">
        <v>1526</v>
      </c>
      <c r="T178" s="86" t="str">
        <f>HYPERLINK("http://www.youtube.com/channel/UCESIaJhf6RuFhvtpGfvCEVg")</f>
        <v>http://www.youtube.com/channel/UCESIaJhf6RuFhvtpGfvCEVg</v>
      </c>
      <c r="U178" s="81"/>
      <c r="V178" s="81" t="s">
        <v>1885</v>
      </c>
      <c r="W178" s="86" t="str">
        <f>HYPERLINK("https://www.youtube.com/watch?v=wadBvDPeE4E")</f>
        <v>https://www.youtube.com/watch?v=wadBvDPeE4E</v>
      </c>
      <c r="X178" s="81" t="s">
        <v>1886</v>
      </c>
      <c r="Y178" s="81">
        <v>0</v>
      </c>
      <c r="Z178" s="88">
        <v>41203.80003472222</v>
      </c>
      <c r="AA178" s="88">
        <v>41203.80003472222</v>
      </c>
      <c r="AB178" s="81"/>
      <c r="AC178" s="81"/>
      <c r="AD178" s="84" t="s">
        <v>1927</v>
      </c>
      <c r="AE178" s="82">
        <v>2</v>
      </c>
      <c r="AF178" s="83" t="str">
        <f>REPLACE(INDEX(GroupVertices[Group],MATCH(Edges[[#This Row],[Vertex 1]],GroupVertices[Vertex],0)),1,1,"")</f>
        <v>1</v>
      </c>
      <c r="AG178" s="83" t="str">
        <f>REPLACE(INDEX(GroupVertices[Group],MATCH(Edges[[#This Row],[Vertex 2]],GroupVertices[Vertex],0)),1,1,"")</f>
        <v>1</v>
      </c>
      <c r="AH178" s="111">
        <v>2</v>
      </c>
      <c r="AI178" s="112">
        <v>2.3529411764705883</v>
      </c>
      <c r="AJ178" s="111">
        <v>9</v>
      </c>
      <c r="AK178" s="112">
        <v>10.588235294117647</v>
      </c>
      <c r="AL178" s="111">
        <v>0</v>
      </c>
      <c r="AM178" s="112">
        <v>0</v>
      </c>
      <c r="AN178" s="111">
        <v>74</v>
      </c>
      <c r="AO178" s="112">
        <v>87.05882352941177</v>
      </c>
      <c r="AP178" s="111">
        <v>85</v>
      </c>
    </row>
    <row r="179" spans="1:42" ht="15">
      <c r="A179" s="65" t="s">
        <v>458</v>
      </c>
      <c r="B179" s="65" t="s">
        <v>786</v>
      </c>
      <c r="C179" s="66" t="s">
        <v>4510</v>
      </c>
      <c r="D179" s="67">
        <v>5.333333333333334</v>
      </c>
      <c r="E179" s="68"/>
      <c r="F179" s="69">
        <v>31.666666666666664</v>
      </c>
      <c r="G179" s="66"/>
      <c r="H179" s="70"/>
      <c r="I179" s="71"/>
      <c r="J179" s="71"/>
      <c r="K179" s="35" t="s">
        <v>65</v>
      </c>
      <c r="L179" s="79">
        <v>179</v>
      </c>
      <c r="M179" s="79"/>
      <c r="N179" s="73"/>
      <c r="O179" s="81" t="s">
        <v>788</v>
      </c>
      <c r="P179" s="81" t="s">
        <v>325</v>
      </c>
      <c r="Q179" s="84" t="s">
        <v>967</v>
      </c>
      <c r="R179" s="81" t="s">
        <v>458</v>
      </c>
      <c r="S179" s="81" t="s">
        <v>1526</v>
      </c>
      <c r="T179" s="86" t="str">
        <f>HYPERLINK("http://www.youtube.com/channel/UCESIaJhf6RuFhvtpGfvCEVg")</f>
        <v>http://www.youtube.com/channel/UCESIaJhf6RuFhvtpGfvCEVg</v>
      </c>
      <c r="U179" s="81"/>
      <c r="V179" s="81" t="s">
        <v>1885</v>
      </c>
      <c r="W179" s="86" t="str">
        <f>HYPERLINK("https://www.youtube.com/watch?v=wadBvDPeE4E")</f>
        <v>https://www.youtube.com/watch?v=wadBvDPeE4E</v>
      </c>
      <c r="X179" s="81" t="s">
        <v>1886</v>
      </c>
      <c r="Y179" s="81">
        <v>0</v>
      </c>
      <c r="Z179" s="88">
        <v>41203.822534722225</v>
      </c>
      <c r="AA179" s="88">
        <v>41203.822534722225</v>
      </c>
      <c r="AB179" s="81"/>
      <c r="AC179" s="81"/>
      <c r="AD179" s="84" t="s">
        <v>1927</v>
      </c>
      <c r="AE179" s="82">
        <v>2</v>
      </c>
      <c r="AF179" s="83" t="str">
        <f>REPLACE(INDEX(GroupVertices[Group],MATCH(Edges[[#This Row],[Vertex 1]],GroupVertices[Vertex],0)),1,1,"")</f>
        <v>1</v>
      </c>
      <c r="AG179" s="83" t="str">
        <f>REPLACE(INDEX(GroupVertices[Group],MATCH(Edges[[#This Row],[Vertex 2]],GroupVertices[Vertex],0)),1,1,"")</f>
        <v>1</v>
      </c>
      <c r="AH179" s="111">
        <v>1</v>
      </c>
      <c r="AI179" s="112">
        <v>16.666666666666668</v>
      </c>
      <c r="AJ179" s="111">
        <v>0</v>
      </c>
      <c r="AK179" s="112">
        <v>0</v>
      </c>
      <c r="AL179" s="111">
        <v>0</v>
      </c>
      <c r="AM179" s="112">
        <v>0</v>
      </c>
      <c r="AN179" s="111">
        <v>5</v>
      </c>
      <c r="AO179" s="112">
        <v>83.33333333333333</v>
      </c>
      <c r="AP179" s="111">
        <v>6</v>
      </c>
    </row>
    <row r="180" spans="1:42" ht="15">
      <c r="A180" s="65" t="s">
        <v>459</v>
      </c>
      <c r="B180" s="65" t="s">
        <v>786</v>
      </c>
      <c r="C180" s="66" t="s">
        <v>4509</v>
      </c>
      <c r="D180" s="67">
        <v>3</v>
      </c>
      <c r="E180" s="68"/>
      <c r="F180" s="69">
        <v>40</v>
      </c>
      <c r="G180" s="66"/>
      <c r="H180" s="70"/>
      <c r="I180" s="71"/>
      <c r="J180" s="71"/>
      <c r="K180" s="35" t="s">
        <v>65</v>
      </c>
      <c r="L180" s="79">
        <v>180</v>
      </c>
      <c r="M180" s="79"/>
      <c r="N180" s="73"/>
      <c r="O180" s="81" t="s">
        <v>788</v>
      </c>
      <c r="P180" s="81" t="s">
        <v>325</v>
      </c>
      <c r="Q180" s="84" t="s">
        <v>968</v>
      </c>
      <c r="R180" s="81" t="s">
        <v>459</v>
      </c>
      <c r="S180" s="81" t="s">
        <v>1527</v>
      </c>
      <c r="T180" s="86" t="str">
        <f>HYPERLINK("http://www.youtube.com/channel/UCVXQrNbG3_sjKQE9T4fpkYQ")</f>
        <v>http://www.youtube.com/channel/UCVXQrNbG3_sjKQE9T4fpkYQ</v>
      </c>
      <c r="U180" s="81"/>
      <c r="V180" s="81" t="s">
        <v>1885</v>
      </c>
      <c r="W180" s="86" t="str">
        <f>HYPERLINK("https://www.youtube.com/watch?v=wadBvDPeE4E")</f>
        <v>https://www.youtube.com/watch?v=wadBvDPeE4E</v>
      </c>
      <c r="X180" s="81" t="s">
        <v>1886</v>
      </c>
      <c r="Y180" s="81">
        <v>0</v>
      </c>
      <c r="Z180" s="88">
        <v>41203.837060185186</v>
      </c>
      <c r="AA180" s="88">
        <v>41203.837060185186</v>
      </c>
      <c r="AB180" s="81"/>
      <c r="AC180" s="81"/>
      <c r="AD180" s="84" t="s">
        <v>1927</v>
      </c>
      <c r="AE180" s="82">
        <v>1</v>
      </c>
      <c r="AF180" s="83" t="str">
        <f>REPLACE(INDEX(GroupVertices[Group],MATCH(Edges[[#This Row],[Vertex 1]],GroupVertices[Vertex],0)),1,1,"")</f>
        <v>1</v>
      </c>
      <c r="AG180" s="83" t="str">
        <f>REPLACE(INDEX(GroupVertices[Group],MATCH(Edges[[#This Row],[Vertex 2]],GroupVertices[Vertex],0)),1,1,"")</f>
        <v>1</v>
      </c>
      <c r="AH180" s="111">
        <v>0</v>
      </c>
      <c r="AI180" s="112">
        <v>0</v>
      </c>
      <c r="AJ180" s="111">
        <v>0</v>
      </c>
      <c r="AK180" s="112">
        <v>0</v>
      </c>
      <c r="AL180" s="111">
        <v>0</v>
      </c>
      <c r="AM180" s="112">
        <v>0</v>
      </c>
      <c r="AN180" s="111">
        <v>9</v>
      </c>
      <c r="AO180" s="112">
        <v>100</v>
      </c>
      <c r="AP180" s="111">
        <v>9</v>
      </c>
    </row>
    <row r="181" spans="1:42" ht="15">
      <c r="A181" s="65" t="s">
        <v>460</v>
      </c>
      <c r="B181" s="65" t="s">
        <v>786</v>
      </c>
      <c r="C181" s="66" t="s">
        <v>4509</v>
      </c>
      <c r="D181" s="67">
        <v>3</v>
      </c>
      <c r="E181" s="68"/>
      <c r="F181" s="69">
        <v>40</v>
      </c>
      <c r="G181" s="66"/>
      <c r="H181" s="70"/>
      <c r="I181" s="71"/>
      <c r="J181" s="71"/>
      <c r="K181" s="35" t="s">
        <v>65</v>
      </c>
      <c r="L181" s="79">
        <v>181</v>
      </c>
      <c r="M181" s="79"/>
      <c r="N181" s="73"/>
      <c r="O181" s="81" t="s">
        <v>788</v>
      </c>
      <c r="P181" s="81" t="s">
        <v>325</v>
      </c>
      <c r="Q181" s="84" t="s">
        <v>969</v>
      </c>
      <c r="R181" s="81" t="s">
        <v>460</v>
      </c>
      <c r="S181" s="81" t="s">
        <v>1528</v>
      </c>
      <c r="T181" s="86" t="str">
        <f>HYPERLINK("http://www.youtube.com/channel/UCCLFsheeNQmsG8a6iEVeTIA")</f>
        <v>http://www.youtube.com/channel/UCCLFsheeNQmsG8a6iEVeTIA</v>
      </c>
      <c r="U181" s="81"/>
      <c r="V181" s="81" t="s">
        <v>1885</v>
      </c>
      <c r="W181" s="86" t="str">
        <f>HYPERLINK("https://www.youtube.com/watch?v=wadBvDPeE4E")</f>
        <v>https://www.youtube.com/watch?v=wadBvDPeE4E</v>
      </c>
      <c r="X181" s="81" t="s">
        <v>1886</v>
      </c>
      <c r="Y181" s="81">
        <v>0</v>
      </c>
      <c r="Z181" s="88">
        <v>41203.91778935185</v>
      </c>
      <c r="AA181" s="88">
        <v>41203.91778935185</v>
      </c>
      <c r="AB181" s="81"/>
      <c r="AC181" s="81"/>
      <c r="AD181" s="84" t="s">
        <v>1927</v>
      </c>
      <c r="AE181" s="82">
        <v>1</v>
      </c>
      <c r="AF181" s="83" t="str">
        <f>REPLACE(INDEX(GroupVertices[Group],MATCH(Edges[[#This Row],[Vertex 1]],GroupVertices[Vertex],0)),1,1,"")</f>
        <v>1</v>
      </c>
      <c r="AG181" s="83" t="str">
        <f>REPLACE(INDEX(GroupVertices[Group],MATCH(Edges[[#This Row],[Vertex 2]],GroupVertices[Vertex],0)),1,1,"")</f>
        <v>1</v>
      </c>
      <c r="AH181" s="111">
        <v>0</v>
      </c>
      <c r="AI181" s="112">
        <v>0</v>
      </c>
      <c r="AJ181" s="111">
        <v>1</v>
      </c>
      <c r="AK181" s="112">
        <v>5.555555555555555</v>
      </c>
      <c r="AL181" s="111">
        <v>0</v>
      </c>
      <c r="AM181" s="112">
        <v>0</v>
      </c>
      <c r="AN181" s="111">
        <v>17</v>
      </c>
      <c r="AO181" s="112">
        <v>94.44444444444444</v>
      </c>
      <c r="AP181" s="111">
        <v>18</v>
      </c>
    </row>
    <row r="182" spans="1:42" ht="15">
      <c r="A182" s="65" t="s">
        <v>461</v>
      </c>
      <c r="B182" s="65" t="s">
        <v>786</v>
      </c>
      <c r="C182" s="66" t="s">
        <v>4509</v>
      </c>
      <c r="D182" s="67">
        <v>3</v>
      </c>
      <c r="E182" s="68"/>
      <c r="F182" s="69">
        <v>40</v>
      </c>
      <c r="G182" s="66"/>
      <c r="H182" s="70"/>
      <c r="I182" s="71"/>
      <c r="J182" s="71"/>
      <c r="K182" s="35" t="s">
        <v>65</v>
      </c>
      <c r="L182" s="79">
        <v>182</v>
      </c>
      <c r="M182" s="79"/>
      <c r="N182" s="73"/>
      <c r="O182" s="81" t="s">
        <v>788</v>
      </c>
      <c r="P182" s="81" t="s">
        <v>325</v>
      </c>
      <c r="Q182" s="84" t="s">
        <v>970</v>
      </c>
      <c r="R182" s="81" t="s">
        <v>461</v>
      </c>
      <c r="S182" s="81" t="s">
        <v>1529</v>
      </c>
      <c r="T182" s="86" t="str">
        <f>HYPERLINK("http://www.youtube.com/channel/UC7s6geywFBnD83-AAuxTKkQ")</f>
        <v>http://www.youtube.com/channel/UC7s6geywFBnD83-AAuxTKkQ</v>
      </c>
      <c r="U182" s="81"/>
      <c r="V182" s="81" t="s">
        <v>1885</v>
      </c>
      <c r="W182" s="86" t="str">
        <f>HYPERLINK("https://www.youtube.com/watch?v=wadBvDPeE4E")</f>
        <v>https://www.youtube.com/watch?v=wadBvDPeE4E</v>
      </c>
      <c r="X182" s="81" t="s">
        <v>1886</v>
      </c>
      <c r="Y182" s="81">
        <v>0</v>
      </c>
      <c r="Z182" s="88">
        <v>41203.92759259259</v>
      </c>
      <c r="AA182" s="88">
        <v>41203.92759259259</v>
      </c>
      <c r="AB182" s="81"/>
      <c r="AC182" s="81"/>
      <c r="AD182" s="84" t="s">
        <v>1927</v>
      </c>
      <c r="AE182" s="82">
        <v>1</v>
      </c>
      <c r="AF182" s="83" t="str">
        <f>REPLACE(INDEX(GroupVertices[Group],MATCH(Edges[[#This Row],[Vertex 1]],GroupVertices[Vertex],0)),1,1,"")</f>
        <v>1</v>
      </c>
      <c r="AG182" s="83" t="str">
        <f>REPLACE(INDEX(GroupVertices[Group],MATCH(Edges[[#This Row],[Vertex 2]],GroupVertices[Vertex],0)),1,1,"")</f>
        <v>1</v>
      </c>
      <c r="AH182" s="111">
        <v>0</v>
      </c>
      <c r="AI182" s="112">
        <v>0</v>
      </c>
      <c r="AJ182" s="111">
        <v>1</v>
      </c>
      <c r="AK182" s="112">
        <v>50</v>
      </c>
      <c r="AL182" s="111">
        <v>0</v>
      </c>
      <c r="AM182" s="112">
        <v>0</v>
      </c>
      <c r="AN182" s="111">
        <v>1</v>
      </c>
      <c r="AO182" s="112">
        <v>50</v>
      </c>
      <c r="AP182" s="111">
        <v>2</v>
      </c>
    </row>
    <row r="183" spans="1:42" ht="15">
      <c r="A183" s="65" t="s">
        <v>462</v>
      </c>
      <c r="B183" s="65" t="s">
        <v>786</v>
      </c>
      <c r="C183" s="66" t="s">
        <v>4509</v>
      </c>
      <c r="D183" s="67">
        <v>3</v>
      </c>
      <c r="E183" s="68"/>
      <c r="F183" s="69">
        <v>40</v>
      </c>
      <c r="G183" s="66"/>
      <c r="H183" s="70"/>
      <c r="I183" s="71"/>
      <c r="J183" s="71"/>
      <c r="K183" s="35" t="s">
        <v>65</v>
      </c>
      <c r="L183" s="79">
        <v>183</v>
      </c>
      <c r="M183" s="79"/>
      <c r="N183" s="73"/>
      <c r="O183" s="81" t="s">
        <v>788</v>
      </c>
      <c r="P183" s="81" t="s">
        <v>325</v>
      </c>
      <c r="Q183" s="84" t="s">
        <v>971</v>
      </c>
      <c r="R183" s="81" t="s">
        <v>462</v>
      </c>
      <c r="S183" s="81" t="s">
        <v>1530</v>
      </c>
      <c r="T183" s="86" t="str">
        <f>HYPERLINK("http://www.youtube.com/channel/UC7QqPCx8JUs30KzlclH4UiQ")</f>
        <v>http://www.youtube.com/channel/UC7QqPCx8JUs30KzlclH4UiQ</v>
      </c>
      <c r="U183" s="81"/>
      <c r="V183" s="81" t="s">
        <v>1885</v>
      </c>
      <c r="W183" s="86" t="str">
        <f>HYPERLINK("https://www.youtube.com/watch?v=wadBvDPeE4E")</f>
        <v>https://www.youtube.com/watch?v=wadBvDPeE4E</v>
      </c>
      <c r="X183" s="81" t="s">
        <v>1886</v>
      </c>
      <c r="Y183" s="81">
        <v>0</v>
      </c>
      <c r="Z183" s="88">
        <v>41203.93145833333</v>
      </c>
      <c r="AA183" s="88">
        <v>41203.93145833333</v>
      </c>
      <c r="AB183" s="81"/>
      <c r="AC183" s="81"/>
      <c r="AD183" s="84" t="s">
        <v>1927</v>
      </c>
      <c r="AE183" s="82">
        <v>1</v>
      </c>
      <c r="AF183" s="83" t="str">
        <f>REPLACE(INDEX(GroupVertices[Group],MATCH(Edges[[#This Row],[Vertex 1]],GroupVertices[Vertex],0)),1,1,"")</f>
        <v>1</v>
      </c>
      <c r="AG183" s="83" t="str">
        <f>REPLACE(INDEX(GroupVertices[Group],MATCH(Edges[[#This Row],[Vertex 2]],GroupVertices[Vertex],0)),1,1,"")</f>
        <v>1</v>
      </c>
      <c r="AH183" s="111">
        <v>0</v>
      </c>
      <c r="AI183" s="112">
        <v>0</v>
      </c>
      <c r="AJ183" s="111">
        <v>0</v>
      </c>
      <c r="AK183" s="112">
        <v>0</v>
      </c>
      <c r="AL183" s="111">
        <v>0</v>
      </c>
      <c r="AM183" s="112">
        <v>0</v>
      </c>
      <c r="AN183" s="111">
        <v>6</v>
      </c>
      <c r="AO183" s="112">
        <v>100</v>
      </c>
      <c r="AP183" s="111">
        <v>6</v>
      </c>
    </row>
    <row r="184" spans="1:42" ht="15">
      <c r="A184" s="65" t="s">
        <v>463</v>
      </c>
      <c r="B184" s="65" t="s">
        <v>786</v>
      </c>
      <c r="C184" s="66" t="s">
        <v>4509</v>
      </c>
      <c r="D184" s="67">
        <v>3</v>
      </c>
      <c r="E184" s="68"/>
      <c r="F184" s="69">
        <v>40</v>
      </c>
      <c r="G184" s="66"/>
      <c r="H184" s="70"/>
      <c r="I184" s="71"/>
      <c r="J184" s="71"/>
      <c r="K184" s="35" t="s">
        <v>65</v>
      </c>
      <c r="L184" s="79">
        <v>184</v>
      </c>
      <c r="M184" s="79"/>
      <c r="N184" s="73"/>
      <c r="O184" s="81" t="s">
        <v>788</v>
      </c>
      <c r="P184" s="81" t="s">
        <v>325</v>
      </c>
      <c r="Q184" s="84" t="s">
        <v>972</v>
      </c>
      <c r="R184" s="81" t="s">
        <v>463</v>
      </c>
      <c r="S184" s="81" t="s">
        <v>1531</v>
      </c>
      <c r="T184" s="86" t="str">
        <f>HYPERLINK("http://www.youtube.com/channel/UCZx4ITIvj0ywX13d6SeMxjg")</f>
        <v>http://www.youtube.com/channel/UCZx4ITIvj0ywX13d6SeMxjg</v>
      </c>
      <c r="U184" s="81"/>
      <c r="V184" s="81" t="s">
        <v>1885</v>
      </c>
      <c r="W184" s="86" t="str">
        <f>HYPERLINK("https://www.youtube.com/watch?v=wadBvDPeE4E")</f>
        <v>https://www.youtube.com/watch?v=wadBvDPeE4E</v>
      </c>
      <c r="X184" s="81" t="s">
        <v>1886</v>
      </c>
      <c r="Y184" s="81">
        <v>0</v>
      </c>
      <c r="Z184" s="88">
        <v>41203.98112268518</v>
      </c>
      <c r="AA184" s="88">
        <v>41203.98112268518</v>
      </c>
      <c r="AB184" s="81"/>
      <c r="AC184" s="81"/>
      <c r="AD184" s="84" t="s">
        <v>1927</v>
      </c>
      <c r="AE184" s="82">
        <v>1</v>
      </c>
      <c r="AF184" s="83" t="str">
        <f>REPLACE(INDEX(GroupVertices[Group],MATCH(Edges[[#This Row],[Vertex 1]],GroupVertices[Vertex],0)),1,1,"")</f>
        <v>1</v>
      </c>
      <c r="AG184" s="83" t="str">
        <f>REPLACE(INDEX(GroupVertices[Group],MATCH(Edges[[#This Row],[Vertex 2]],GroupVertices[Vertex],0)),1,1,"")</f>
        <v>1</v>
      </c>
      <c r="AH184" s="111">
        <v>0</v>
      </c>
      <c r="AI184" s="112">
        <v>0</v>
      </c>
      <c r="AJ184" s="111">
        <v>0</v>
      </c>
      <c r="AK184" s="112">
        <v>0</v>
      </c>
      <c r="AL184" s="111">
        <v>0</v>
      </c>
      <c r="AM184" s="112">
        <v>0</v>
      </c>
      <c r="AN184" s="111">
        <v>4</v>
      </c>
      <c r="AO184" s="112">
        <v>100</v>
      </c>
      <c r="AP184" s="111">
        <v>4</v>
      </c>
    </row>
    <row r="185" spans="1:42" ht="15">
      <c r="A185" s="65" t="s">
        <v>464</v>
      </c>
      <c r="B185" s="65" t="s">
        <v>786</v>
      </c>
      <c r="C185" s="66" t="s">
        <v>4510</v>
      </c>
      <c r="D185" s="67">
        <v>5.333333333333334</v>
      </c>
      <c r="E185" s="68"/>
      <c r="F185" s="69">
        <v>31.666666666666664</v>
      </c>
      <c r="G185" s="66"/>
      <c r="H185" s="70"/>
      <c r="I185" s="71"/>
      <c r="J185" s="71"/>
      <c r="K185" s="35" t="s">
        <v>65</v>
      </c>
      <c r="L185" s="79">
        <v>185</v>
      </c>
      <c r="M185" s="79"/>
      <c r="N185" s="73"/>
      <c r="O185" s="81" t="s">
        <v>788</v>
      </c>
      <c r="P185" s="81" t="s">
        <v>325</v>
      </c>
      <c r="Q185" s="84" t="s">
        <v>973</v>
      </c>
      <c r="R185" s="81" t="s">
        <v>464</v>
      </c>
      <c r="S185" s="81" t="s">
        <v>1532</v>
      </c>
      <c r="T185" s="86" t="str">
        <f>HYPERLINK("http://www.youtube.com/channel/UCucerXyWN1kO_jFDRofjfTg")</f>
        <v>http://www.youtube.com/channel/UCucerXyWN1kO_jFDRofjfTg</v>
      </c>
      <c r="U185" s="81"/>
      <c r="V185" s="81" t="s">
        <v>1885</v>
      </c>
      <c r="W185" s="86" t="str">
        <f>HYPERLINK("https://www.youtube.com/watch?v=wadBvDPeE4E")</f>
        <v>https://www.youtube.com/watch?v=wadBvDPeE4E</v>
      </c>
      <c r="X185" s="81" t="s">
        <v>1886</v>
      </c>
      <c r="Y185" s="81">
        <v>0</v>
      </c>
      <c r="Z185" s="88">
        <v>41203.992789351854</v>
      </c>
      <c r="AA185" s="88">
        <v>41203.992789351854</v>
      </c>
      <c r="AB185" s="81"/>
      <c r="AC185" s="81"/>
      <c r="AD185" s="84" t="s">
        <v>1927</v>
      </c>
      <c r="AE185" s="82">
        <v>2</v>
      </c>
      <c r="AF185" s="83" t="str">
        <f>REPLACE(INDEX(GroupVertices[Group],MATCH(Edges[[#This Row],[Vertex 1]],GroupVertices[Vertex],0)),1,1,"")</f>
        <v>1</v>
      </c>
      <c r="AG185" s="83" t="str">
        <f>REPLACE(INDEX(GroupVertices[Group],MATCH(Edges[[#This Row],[Vertex 2]],GroupVertices[Vertex],0)),1,1,"")</f>
        <v>1</v>
      </c>
      <c r="AH185" s="111">
        <v>1</v>
      </c>
      <c r="AI185" s="112">
        <v>1.408450704225352</v>
      </c>
      <c r="AJ185" s="111">
        <v>5</v>
      </c>
      <c r="AK185" s="112">
        <v>7.042253521126761</v>
      </c>
      <c r="AL185" s="111">
        <v>0</v>
      </c>
      <c r="AM185" s="112">
        <v>0</v>
      </c>
      <c r="AN185" s="111">
        <v>65</v>
      </c>
      <c r="AO185" s="112">
        <v>91.54929577464789</v>
      </c>
      <c r="AP185" s="111">
        <v>71</v>
      </c>
    </row>
    <row r="186" spans="1:42" ht="15">
      <c r="A186" s="65" t="s">
        <v>464</v>
      </c>
      <c r="B186" s="65" t="s">
        <v>786</v>
      </c>
      <c r="C186" s="66" t="s">
        <v>4510</v>
      </c>
      <c r="D186" s="67">
        <v>5.333333333333334</v>
      </c>
      <c r="E186" s="68"/>
      <c r="F186" s="69">
        <v>31.666666666666664</v>
      </c>
      <c r="G186" s="66"/>
      <c r="H186" s="70"/>
      <c r="I186" s="71"/>
      <c r="J186" s="71"/>
      <c r="K186" s="35" t="s">
        <v>65</v>
      </c>
      <c r="L186" s="79">
        <v>186</v>
      </c>
      <c r="M186" s="79"/>
      <c r="N186" s="73"/>
      <c r="O186" s="81" t="s">
        <v>788</v>
      </c>
      <c r="P186" s="81" t="s">
        <v>325</v>
      </c>
      <c r="Q186" s="84" t="s">
        <v>974</v>
      </c>
      <c r="R186" s="81" t="s">
        <v>464</v>
      </c>
      <c r="S186" s="81" t="s">
        <v>1532</v>
      </c>
      <c r="T186" s="86" t="str">
        <f>HYPERLINK("http://www.youtube.com/channel/UCucerXyWN1kO_jFDRofjfTg")</f>
        <v>http://www.youtube.com/channel/UCucerXyWN1kO_jFDRofjfTg</v>
      </c>
      <c r="U186" s="81"/>
      <c r="V186" s="81" t="s">
        <v>1885</v>
      </c>
      <c r="W186" s="86" t="str">
        <f>HYPERLINK("https://www.youtube.com/watch?v=wadBvDPeE4E")</f>
        <v>https://www.youtube.com/watch?v=wadBvDPeE4E</v>
      </c>
      <c r="X186" s="81" t="s">
        <v>1886</v>
      </c>
      <c r="Y186" s="81">
        <v>1</v>
      </c>
      <c r="Z186" s="88">
        <v>41204.00738425926</v>
      </c>
      <c r="AA186" s="88">
        <v>41204.00738425926</v>
      </c>
      <c r="AB186" s="81"/>
      <c r="AC186" s="81"/>
      <c r="AD186" s="84" t="s">
        <v>1927</v>
      </c>
      <c r="AE186" s="82">
        <v>2</v>
      </c>
      <c r="AF186" s="83" t="str">
        <f>REPLACE(INDEX(GroupVertices[Group],MATCH(Edges[[#This Row],[Vertex 1]],GroupVertices[Vertex],0)),1,1,"")</f>
        <v>1</v>
      </c>
      <c r="AG186" s="83" t="str">
        <f>REPLACE(INDEX(GroupVertices[Group],MATCH(Edges[[#This Row],[Vertex 2]],GroupVertices[Vertex],0)),1,1,"")</f>
        <v>1</v>
      </c>
      <c r="AH186" s="111">
        <v>0</v>
      </c>
      <c r="AI186" s="112">
        <v>0</v>
      </c>
      <c r="AJ186" s="111">
        <v>0</v>
      </c>
      <c r="AK186" s="112">
        <v>0</v>
      </c>
      <c r="AL186" s="111">
        <v>0</v>
      </c>
      <c r="AM186" s="112">
        <v>0</v>
      </c>
      <c r="AN186" s="111">
        <v>10</v>
      </c>
      <c r="AO186" s="112">
        <v>100</v>
      </c>
      <c r="AP186" s="111">
        <v>10</v>
      </c>
    </row>
    <row r="187" spans="1:42" ht="15">
      <c r="A187" s="65" t="s">
        <v>465</v>
      </c>
      <c r="B187" s="65" t="s">
        <v>786</v>
      </c>
      <c r="C187" s="66" t="s">
        <v>4512</v>
      </c>
      <c r="D187" s="67">
        <v>10</v>
      </c>
      <c r="E187" s="68"/>
      <c r="F187" s="69">
        <v>15</v>
      </c>
      <c r="G187" s="66"/>
      <c r="H187" s="70"/>
      <c r="I187" s="71"/>
      <c r="J187" s="71"/>
      <c r="K187" s="35" t="s">
        <v>65</v>
      </c>
      <c r="L187" s="79">
        <v>187</v>
      </c>
      <c r="M187" s="79"/>
      <c r="N187" s="73"/>
      <c r="O187" s="81" t="s">
        <v>788</v>
      </c>
      <c r="P187" s="81" t="s">
        <v>325</v>
      </c>
      <c r="Q187" s="84" t="s">
        <v>975</v>
      </c>
      <c r="R187" s="81" t="s">
        <v>465</v>
      </c>
      <c r="S187" s="81" t="s">
        <v>1533</v>
      </c>
      <c r="T187" s="86" t="str">
        <f>HYPERLINK("http://www.youtube.com/channel/UCIrzfquSKE6mbwQqyL-Y8eQ")</f>
        <v>http://www.youtube.com/channel/UCIrzfquSKE6mbwQqyL-Y8eQ</v>
      </c>
      <c r="U187" s="81"/>
      <c r="V187" s="81" t="s">
        <v>1885</v>
      </c>
      <c r="W187" s="86" t="str">
        <f>HYPERLINK("https://www.youtube.com/watch?v=wadBvDPeE4E")</f>
        <v>https://www.youtube.com/watch?v=wadBvDPeE4E</v>
      </c>
      <c r="X187" s="81" t="s">
        <v>1886</v>
      </c>
      <c r="Y187" s="81">
        <v>0</v>
      </c>
      <c r="Z187" s="88">
        <v>41203.62431712963</v>
      </c>
      <c r="AA187" s="88">
        <v>41203.62431712963</v>
      </c>
      <c r="AB187" s="81"/>
      <c r="AC187" s="81"/>
      <c r="AD187" s="84" t="s">
        <v>1927</v>
      </c>
      <c r="AE187" s="82">
        <v>4</v>
      </c>
      <c r="AF187" s="83" t="str">
        <f>REPLACE(INDEX(GroupVertices[Group],MATCH(Edges[[#This Row],[Vertex 1]],GroupVertices[Vertex],0)),1,1,"")</f>
        <v>13</v>
      </c>
      <c r="AG187" s="83" t="str">
        <f>REPLACE(INDEX(GroupVertices[Group],MATCH(Edges[[#This Row],[Vertex 2]],GroupVertices[Vertex],0)),1,1,"")</f>
        <v>1</v>
      </c>
      <c r="AH187" s="111">
        <v>2</v>
      </c>
      <c r="AI187" s="112">
        <v>9.090909090909092</v>
      </c>
      <c r="AJ187" s="111">
        <v>0</v>
      </c>
      <c r="AK187" s="112">
        <v>0</v>
      </c>
      <c r="AL187" s="111">
        <v>0</v>
      </c>
      <c r="AM187" s="112">
        <v>0</v>
      </c>
      <c r="AN187" s="111">
        <v>20</v>
      </c>
      <c r="AO187" s="112">
        <v>90.9090909090909</v>
      </c>
      <c r="AP187" s="111">
        <v>22</v>
      </c>
    </row>
    <row r="188" spans="1:42" ht="15">
      <c r="A188" s="65" t="s">
        <v>465</v>
      </c>
      <c r="B188" s="65" t="s">
        <v>786</v>
      </c>
      <c r="C188" s="66" t="s">
        <v>4512</v>
      </c>
      <c r="D188" s="67">
        <v>10</v>
      </c>
      <c r="E188" s="68"/>
      <c r="F188" s="69">
        <v>15</v>
      </c>
      <c r="G188" s="66"/>
      <c r="H188" s="70"/>
      <c r="I188" s="71"/>
      <c r="J188" s="71"/>
      <c r="K188" s="35" t="s">
        <v>65</v>
      </c>
      <c r="L188" s="79">
        <v>188</v>
      </c>
      <c r="M188" s="79"/>
      <c r="N188" s="73"/>
      <c r="O188" s="81" t="s">
        <v>788</v>
      </c>
      <c r="P188" s="81" t="s">
        <v>325</v>
      </c>
      <c r="Q188" s="84" t="s">
        <v>976</v>
      </c>
      <c r="R188" s="81" t="s">
        <v>465</v>
      </c>
      <c r="S188" s="81" t="s">
        <v>1533</v>
      </c>
      <c r="T188" s="86" t="str">
        <f>HYPERLINK("http://www.youtube.com/channel/UCIrzfquSKE6mbwQqyL-Y8eQ")</f>
        <v>http://www.youtube.com/channel/UCIrzfquSKE6mbwQqyL-Y8eQ</v>
      </c>
      <c r="U188" s="81"/>
      <c r="V188" s="81" t="s">
        <v>1885</v>
      </c>
      <c r="W188" s="86" t="str">
        <f>HYPERLINK("https://www.youtube.com/watch?v=wadBvDPeE4E")</f>
        <v>https://www.youtube.com/watch?v=wadBvDPeE4E</v>
      </c>
      <c r="X188" s="81" t="s">
        <v>1886</v>
      </c>
      <c r="Y188" s="81">
        <v>1</v>
      </c>
      <c r="Z188" s="88">
        <v>41203.77097222222</v>
      </c>
      <c r="AA188" s="88">
        <v>41203.77097222222</v>
      </c>
      <c r="AB188" s="81"/>
      <c r="AC188" s="81"/>
      <c r="AD188" s="84" t="s">
        <v>1927</v>
      </c>
      <c r="AE188" s="82">
        <v>4</v>
      </c>
      <c r="AF188" s="83" t="str">
        <f>REPLACE(INDEX(GroupVertices[Group],MATCH(Edges[[#This Row],[Vertex 1]],GroupVertices[Vertex],0)),1,1,"")</f>
        <v>13</v>
      </c>
      <c r="AG188" s="83" t="str">
        <f>REPLACE(INDEX(GroupVertices[Group],MATCH(Edges[[#This Row],[Vertex 2]],GroupVertices[Vertex],0)),1,1,"")</f>
        <v>1</v>
      </c>
      <c r="AH188" s="111">
        <v>2</v>
      </c>
      <c r="AI188" s="112">
        <v>14.285714285714286</v>
      </c>
      <c r="AJ188" s="111">
        <v>0</v>
      </c>
      <c r="AK188" s="112">
        <v>0</v>
      </c>
      <c r="AL188" s="111">
        <v>0</v>
      </c>
      <c r="AM188" s="112">
        <v>0</v>
      </c>
      <c r="AN188" s="111">
        <v>12</v>
      </c>
      <c r="AO188" s="112">
        <v>85.71428571428571</v>
      </c>
      <c r="AP188" s="111">
        <v>14</v>
      </c>
    </row>
    <row r="189" spans="1:42" ht="15">
      <c r="A189" s="65" t="s">
        <v>465</v>
      </c>
      <c r="B189" s="65" t="s">
        <v>786</v>
      </c>
      <c r="C189" s="66" t="s">
        <v>4512</v>
      </c>
      <c r="D189" s="67">
        <v>10</v>
      </c>
      <c r="E189" s="68"/>
      <c r="F189" s="69">
        <v>15</v>
      </c>
      <c r="G189" s="66"/>
      <c r="H189" s="70"/>
      <c r="I189" s="71"/>
      <c r="J189" s="71"/>
      <c r="K189" s="35" t="s">
        <v>65</v>
      </c>
      <c r="L189" s="79">
        <v>189</v>
      </c>
      <c r="M189" s="79"/>
      <c r="N189" s="73"/>
      <c r="O189" s="81" t="s">
        <v>788</v>
      </c>
      <c r="P189" s="81" t="s">
        <v>325</v>
      </c>
      <c r="Q189" s="84" t="s">
        <v>977</v>
      </c>
      <c r="R189" s="81" t="s">
        <v>465</v>
      </c>
      <c r="S189" s="81" t="s">
        <v>1533</v>
      </c>
      <c r="T189" s="86" t="str">
        <f>HYPERLINK("http://www.youtube.com/channel/UCIrzfquSKE6mbwQqyL-Y8eQ")</f>
        <v>http://www.youtube.com/channel/UCIrzfquSKE6mbwQqyL-Y8eQ</v>
      </c>
      <c r="U189" s="81"/>
      <c r="V189" s="81" t="s">
        <v>1885</v>
      </c>
      <c r="W189" s="86" t="str">
        <f>HYPERLINK("https://www.youtube.com/watch?v=wadBvDPeE4E")</f>
        <v>https://www.youtube.com/watch?v=wadBvDPeE4E</v>
      </c>
      <c r="X189" s="81" t="s">
        <v>1886</v>
      </c>
      <c r="Y189" s="81">
        <v>0</v>
      </c>
      <c r="Z189" s="88">
        <v>41203.77334490741</v>
      </c>
      <c r="AA189" s="88">
        <v>41203.77334490741</v>
      </c>
      <c r="AB189" s="81"/>
      <c r="AC189" s="81"/>
      <c r="AD189" s="84" t="s">
        <v>1927</v>
      </c>
      <c r="AE189" s="82">
        <v>4</v>
      </c>
      <c r="AF189" s="83" t="str">
        <f>REPLACE(INDEX(GroupVertices[Group],MATCH(Edges[[#This Row],[Vertex 1]],GroupVertices[Vertex],0)),1,1,"")</f>
        <v>13</v>
      </c>
      <c r="AG189" s="83" t="str">
        <f>REPLACE(INDEX(GroupVertices[Group],MATCH(Edges[[#This Row],[Vertex 2]],GroupVertices[Vertex],0)),1,1,"")</f>
        <v>1</v>
      </c>
      <c r="AH189" s="111">
        <v>1</v>
      </c>
      <c r="AI189" s="112">
        <v>1.3157894736842106</v>
      </c>
      <c r="AJ189" s="111">
        <v>1</v>
      </c>
      <c r="AK189" s="112">
        <v>1.3157894736842106</v>
      </c>
      <c r="AL189" s="111">
        <v>0</v>
      </c>
      <c r="AM189" s="112">
        <v>0</v>
      </c>
      <c r="AN189" s="111">
        <v>74</v>
      </c>
      <c r="AO189" s="112">
        <v>97.36842105263158</v>
      </c>
      <c r="AP189" s="111">
        <v>76</v>
      </c>
    </row>
    <row r="190" spans="1:42" ht="15">
      <c r="A190" s="65" t="s">
        <v>465</v>
      </c>
      <c r="B190" s="65" t="s">
        <v>786</v>
      </c>
      <c r="C190" s="66" t="s">
        <v>4512</v>
      </c>
      <c r="D190" s="67">
        <v>10</v>
      </c>
      <c r="E190" s="68"/>
      <c r="F190" s="69">
        <v>15</v>
      </c>
      <c r="G190" s="66"/>
      <c r="H190" s="70"/>
      <c r="I190" s="71"/>
      <c r="J190" s="71"/>
      <c r="K190" s="35" t="s">
        <v>65</v>
      </c>
      <c r="L190" s="79">
        <v>190</v>
      </c>
      <c r="M190" s="79"/>
      <c r="N190" s="73"/>
      <c r="O190" s="81" t="s">
        <v>788</v>
      </c>
      <c r="P190" s="81" t="s">
        <v>325</v>
      </c>
      <c r="Q190" s="84" t="s">
        <v>978</v>
      </c>
      <c r="R190" s="81" t="s">
        <v>465</v>
      </c>
      <c r="S190" s="81" t="s">
        <v>1533</v>
      </c>
      <c r="T190" s="86" t="str">
        <f>HYPERLINK("http://www.youtube.com/channel/UCIrzfquSKE6mbwQqyL-Y8eQ")</f>
        <v>http://www.youtube.com/channel/UCIrzfquSKE6mbwQqyL-Y8eQ</v>
      </c>
      <c r="U190" s="81"/>
      <c r="V190" s="81" t="s">
        <v>1885</v>
      </c>
      <c r="W190" s="86" t="str">
        <f>HYPERLINK("https://www.youtube.com/watch?v=wadBvDPeE4E")</f>
        <v>https://www.youtube.com/watch?v=wadBvDPeE4E</v>
      </c>
      <c r="X190" s="81" t="s">
        <v>1886</v>
      </c>
      <c r="Y190" s="81">
        <v>0</v>
      </c>
      <c r="Z190" s="88">
        <v>41204.02128472222</v>
      </c>
      <c r="AA190" s="88">
        <v>41204.02128472222</v>
      </c>
      <c r="AB190" s="81"/>
      <c r="AC190" s="81"/>
      <c r="AD190" s="84" t="s">
        <v>1927</v>
      </c>
      <c r="AE190" s="82">
        <v>4</v>
      </c>
      <c r="AF190" s="83" t="str">
        <f>REPLACE(INDEX(GroupVertices[Group],MATCH(Edges[[#This Row],[Vertex 1]],GroupVertices[Vertex],0)),1,1,"")</f>
        <v>13</v>
      </c>
      <c r="AG190" s="83" t="str">
        <f>REPLACE(INDEX(GroupVertices[Group],MATCH(Edges[[#This Row],[Vertex 2]],GroupVertices[Vertex],0)),1,1,"")</f>
        <v>1</v>
      </c>
      <c r="AH190" s="111">
        <v>1</v>
      </c>
      <c r="AI190" s="112">
        <v>2.3255813953488373</v>
      </c>
      <c r="AJ190" s="111">
        <v>0</v>
      </c>
      <c r="AK190" s="112">
        <v>0</v>
      </c>
      <c r="AL190" s="111">
        <v>0</v>
      </c>
      <c r="AM190" s="112">
        <v>0</v>
      </c>
      <c r="AN190" s="111">
        <v>42</v>
      </c>
      <c r="AO190" s="112">
        <v>97.67441860465117</v>
      </c>
      <c r="AP190" s="111">
        <v>43</v>
      </c>
    </row>
    <row r="191" spans="1:42" ht="15">
      <c r="A191" s="65" t="s">
        <v>466</v>
      </c>
      <c r="B191" s="65" t="s">
        <v>786</v>
      </c>
      <c r="C191" s="66" t="s">
        <v>4509</v>
      </c>
      <c r="D191" s="67">
        <v>3</v>
      </c>
      <c r="E191" s="68"/>
      <c r="F191" s="69">
        <v>40</v>
      </c>
      <c r="G191" s="66"/>
      <c r="H191" s="70"/>
      <c r="I191" s="71"/>
      <c r="J191" s="71"/>
      <c r="K191" s="35" t="s">
        <v>65</v>
      </c>
      <c r="L191" s="79">
        <v>191</v>
      </c>
      <c r="M191" s="79"/>
      <c r="N191" s="73"/>
      <c r="O191" s="81" t="s">
        <v>788</v>
      </c>
      <c r="P191" s="81" t="s">
        <v>325</v>
      </c>
      <c r="Q191" s="84" t="s">
        <v>979</v>
      </c>
      <c r="R191" s="81" t="s">
        <v>466</v>
      </c>
      <c r="S191" s="81" t="s">
        <v>1534</v>
      </c>
      <c r="T191" s="86" t="str">
        <f>HYPERLINK("http://www.youtube.com/channel/UCkPmuaC7K6pQeDfJLxVtwxg")</f>
        <v>http://www.youtube.com/channel/UCkPmuaC7K6pQeDfJLxVtwxg</v>
      </c>
      <c r="U191" s="81"/>
      <c r="V191" s="81" t="s">
        <v>1885</v>
      </c>
      <c r="W191" s="86" t="str">
        <f>HYPERLINK("https://www.youtube.com/watch?v=wadBvDPeE4E")</f>
        <v>https://www.youtube.com/watch?v=wadBvDPeE4E</v>
      </c>
      <c r="X191" s="81" t="s">
        <v>1886</v>
      </c>
      <c r="Y191" s="81">
        <v>0</v>
      </c>
      <c r="Z191" s="88">
        <v>41204.03359953704</v>
      </c>
      <c r="AA191" s="88">
        <v>41204.03359953704</v>
      </c>
      <c r="AB191" s="81"/>
      <c r="AC191" s="81"/>
      <c r="AD191" s="84" t="s">
        <v>1927</v>
      </c>
      <c r="AE191" s="82">
        <v>1</v>
      </c>
      <c r="AF191" s="83" t="str">
        <f>REPLACE(INDEX(GroupVertices[Group],MATCH(Edges[[#This Row],[Vertex 1]],GroupVertices[Vertex],0)),1,1,"")</f>
        <v>1</v>
      </c>
      <c r="AG191" s="83" t="str">
        <f>REPLACE(INDEX(GroupVertices[Group],MATCH(Edges[[#This Row],[Vertex 2]],GroupVertices[Vertex],0)),1,1,"")</f>
        <v>1</v>
      </c>
      <c r="AH191" s="111">
        <v>1</v>
      </c>
      <c r="AI191" s="112">
        <v>8.333333333333334</v>
      </c>
      <c r="AJ191" s="111">
        <v>0</v>
      </c>
      <c r="AK191" s="112">
        <v>0</v>
      </c>
      <c r="AL191" s="111">
        <v>0</v>
      </c>
      <c r="AM191" s="112">
        <v>0</v>
      </c>
      <c r="AN191" s="111">
        <v>11</v>
      </c>
      <c r="AO191" s="112">
        <v>91.66666666666667</v>
      </c>
      <c r="AP191" s="111">
        <v>12</v>
      </c>
    </row>
    <row r="192" spans="1:42" ht="15">
      <c r="A192" s="65" t="s">
        <v>467</v>
      </c>
      <c r="B192" s="65" t="s">
        <v>468</v>
      </c>
      <c r="C192" s="66" t="s">
        <v>4509</v>
      </c>
      <c r="D192" s="67">
        <v>3</v>
      </c>
      <c r="E192" s="68"/>
      <c r="F192" s="69">
        <v>40</v>
      </c>
      <c r="G192" s="66"/>
      <c r="H192" s="70"/>
      <c r="I192" s="71"/>
      <c r="J192" s="71"/>
      <c r="K192" s="35" t="s">
        <v>65</v>
      </c>
      <c r="L192" s="79">
        <v>192</v>
      </c>
      <c r="M192" s="79"/>
      <c r="N192" s="73"/>
      <c r="O192" s="81" t="s">
        <v>789</v>
      </c>
      <c r="P192" s="81" t="s">
        <v>791</v>
      </c>
      <c r="Q192" s="84" t="s">
        <v>980</v>
      </c>
      <c r="R192" s="81" t="s">
        <v>467</v>
      </c>
      <c r="S192" s="81" t="s">
        <v>1535</v>
      </c>
      <c r="T192" s="86" t="str">
        <f>HYPERLINK("http://www.youtube.com/channel/UC6OdjLZrVAo6n2iY3ZHy9jw")</f>
        <v>http://www.youtube.com/channel/UC6OdjLZrVAo6n2iY3ZHy9jw</v>
      </c>
      <c r="U192" s="81" t="s">
        <v>1858</v>
      </c>
      <c r="V192" s="81" t="s">
        <v>1885</v>
      </c>
      <c r="W192" s="86" t="str">
        <f>HYPERLINK("https://www.youtube.com/watch?v=wadBvDPeE4E")</f>
        <v>https://www.youtube.com/watch?v=wadBvDPeE4E</v>
      </c>
      <c r="X192" s="81" t="s">
        <v>1886</v>
      </c>
      <c r="Y192" s="81">
        <v>0</v>
      </c>
      <c r="Z192" s="88">
        <v>44135.4612037037</v>
      </c>
      <c r="AA192" s="88">
        <v>44135.4612037037</v>
      </c>
      <c r="AB192" s="81"/>
      <c r="AC192" s="81"/>
      <c r="AD192" s="84" t="s">
        <v>1927</v>
      </c>
      <c r="AE192" s="82">
        <v>1</v>
      </c>
      <c r="AF192" s="83" t="str">
        <f>REPLACE(INDEX(GroupVertices[Group],MATCH(Edges[[#This Row],[Vertex 1]],GroupVertices[Vertex],0)),1,1,"")</f>
        <v>17</v>
      </c>
      <c r="AG192" s="83" t="str">
        <f>REPLACE(INDEX(GroupVertices[Group],MATCH(Edges[[#This Row],[Vertex 2]],GroupVertices[Vertex],0)),1,1,"")</f>
        <v>17</v>
      </c>
      <c r="AH192" s="111">
        <v>0</v>
      </c>
      <c r="AI192" s="112">
        <v>0</v>
      </c>
      <c r="AJ192" s="111">
        <v>0</v>
      </c>
      <c r="AK192" s="112">
        <v>0</v>
      </c>
      <c r="AL192" s="111">
        <v>0</v>
      </c>
      <c r="AM192" s="112">
        <v>0</v>
      </c>
      <c r="AN192" s="111">
        <v>5</v>
      </c>
      <c r="AO192" s="112">
        <v>100</v>
      </c>
      <c r="AP192" s="111">
        <v>5</v>
      </c>
    </row>
    <row r="193" spans="1:42" ht="15">
      <c r="A193" s="65" t="s">
        <v>468</v>
      </c>
      <c r="B193" s="65" t="s">
        <v>786</v>
      </c>
      <c r="C193" s="66" t="s">
        <v>4509</v>
      </c>
      <c r="D193" s="67">
        <v>3</v>
      </c>
      <c r="E193" s="68"/>
      <c r="F193" s="69">
        <v>40</v>
      </c>
      <c r="G193" s="66"/>
      <c r="H193" s="70"/>
      <c r="I193" s="71"/>
      <c r="J193" s="71"/>
      <c r="K193" s="35" t="s">
        <v>65</v>
      </c>
      <c r="L193" s="79">
        <v>193</v>
      </c>
      <c r="M193" s="79"/>
      <c r="N193" s="73"/>
      <c r="O193" s="81" t="s">
        <v>788</v>
      </c>
      <c r="P193" s="81" t="s">
        <v>325</v>
      </c>
      <c r="Q193" s="84" t="s">
        <v>981</v>
      </c>
      <c r="R193" s="81" t="s">
        <v>468</v>
      </c>
      <c r="S193" s="81" t="s">
        <v>1536</v>
      </c>
      <c r="T193" s="86" t="str">
        <f>HYPERLINK("http://www.youtube.com/channel/UCFoQC1-a6Y3QoUtDlNAOubQ")</f>
        <v>http://www.youtube.com/channel/UCFoQC1-a6Y3QoUtDlNAOubQ</v>
      </c>
      <c r="U193" s="81"/>
      <c r="V193" s="81" t="s">
        <v>1885</v>
      </c>
      <c r="W193" s="86" t="str">
        <f>HYPERLINK("https://www.youtube.com/watch?v=wadBvDPeE4E")</f>
        <v>https://www.youtube.com/watch?v=wadBvDPeE4E</v>
      </c>
      <c r="X193" s="81" t="s">
        <v>1886</v>
      </c>
      <c r="Y193" s="81">
        <v>1</v>
      </c>
      <c r="Z193" s="88">
        <v>41204.04371527778</v>
      </c>
      <c r="AA193" s="88">
        <v>41204.04371527778</v>
      </c>
      <c r="AB193" s="81"/>
      <c r="AC193" s="81"/>
      <c r="AD193" s="84" t="s">
        <v>1927</v>
      </c>
      <c r="AE193" s="82">
        <v>1</v>
      </c>
      <c r="AF193" s="83" t="str">
        <f>REPLACE(INDEX(GroupVertices[Group],MATCH(Edges[[#This Row],[Vertex 1]],GroupVertices[Vertex],0)),1,1,"")</f>
        <v>17</v>
      </c>
      <c r="AG193" s="83" t="str">
        <f>REPLACE(INDEX(GroupVertices[Group],MATCH(Edges[[#This Row],[Vertex 2]],GroupVertices[Vertex],0)),1,1,"")</f>
        <v>1</v>
      </c>
      <c r="AH193" s="111">
        <v>1</v>
      </c>
      <c r="AI193" s="112">
        <v>12.5</v>
      </c>
      <c r="AJ193" s="111">
        <v>0</v>
      </c>
      <c r="AK193" s="112">
        <v>0</v>
      </c>
      <c r="AL193" s="111">
        <v>0</v>
      </c>
      <c r="AM193" s="112">
        <v>0</v>
      </c>
      <c r="AN193" s="111">
        <v>7</v>
      </c>
      <c r="AO193" s="112">
        <v>87.5</v>
      </c>
      <c r="AP193" s="111">
        <v>8</v>
      </c>
    </row>
    <row r="194" spans="1:42" ht="15">
      <c r="A194" s="65" t="s">
        <v>469</v>
      </c>
      <c r="B194" s="65" t="s">
        <v>786</v>
      </c>
      <c r="C194" s="66" t="s">
        <v>4509</v>
      </c>
      <c r="D194" s="67">
        <v>3</v>
      </c>
      <c r="E194" s="68"/>
      <c r="F194" s="69">
        <v>40</v>
      </c>
      <c r="G194" s="66"/>
      <c r="H194" s="70"/>
      <c r="I194" s="71"/>
      <c r="J194" s="71"/>
      <c r="K194" s="35" t="s">
        <v>65</v>
      </c>
      <c r="L194" s="79">
        <v>194</v>
      </c>
      <c r="M194" s="79"/>
      <c r="N194" s="73"/>
      <c r="O194" s="81" t="s">
        <v>788</v>
      </c>
      <c r="P194" s="81" t="s">
        <v>325</v>
      </c>
      <c r="Q194" s="84" t="s">
        <v>982</v>
      </c>
      <c r="R194" s="81" t="s">
        <v>469</v>
      </c>
      <c r="S194" s="81" t="s">
        <v>1537</v>
      </c>
      <c r="T194" s="86" t="str">
        <f>HYPERLINK("http://www.youtube.com/channel/UCe_v3IeUGHGbB4B3MECm65g")</f>
        <v>http://www.youtube.com/channel/UCe_v3IeUGHGbB4B3MECm65g</v>
      </c>
      <c r="U194" s="81"/>
      <c r="V194" s="81" t="s">
        <v>1885</v>
      </c>
      <c r="W194" s="86" t="str">
        <f>HYPERLINK("https://www.youtube.com/watch?v=wadBvDPeE4E")</f>
        <v>https://www.youtube.com/watch?v=wadBvDPeE4E</v>
      </c>
      <c r="X194" s="81" t="s">
        <v>1886</v>
      </c>
      <c r="Y194" s="81">
        <v>0</v>
      </c>
      <c r="Z194" s="88">
        <v>41204.048113425924</v>
      </c>
      <c r="AA194" s="88">
        <v>41204.048113425924</v>
      </c>
      <c r="AB194" s="81"/>
      <c r="AC194" s="81"/>
      <c r="AD194" s="84" t="s">
        <v>1927</v>
      </c>
      <c r="AE194" s="82">
        <v>1</v>
      </c>
      <c r="AF194" s="83" t="str">
        <f>REPLACE(INDEX(GroupVertices[Group],MATCH(Edges[[#This Row],[Vertex 1]],GroupVertices[Vertex],0)),1,1,"")</f>
        <v>1</v>
      </c>
      <c r="AG194" s="83" t="str">
        <f>REPLACE(INDEX(GroupVertices[Group],MATCH(Edges[[#This Row],[Vertex 2]],GroupVertices[Vertex],0)),1,1,"")</f>
        <v>1</v>
      </c>
      <c r="AH194" s="111">
        <v>1</v>
      </c>
      <c r="AI194" s="112">
        <v>50</v>
      </c>
      <c r="AJ194" s="111">
        <v>0</v>
      </c>
      <c r="AK194" s="112">
        <v>0</v>
      </c>
      <c r="AL194" s="111">
        <v>0</v>
      </c>
      <c r="AM194" s="112">
        <v>0</v>
      </c>
      <c r="AN194" s="111">
        <v>1</v>
      </c>
      <c r="AO194" s="112">
        <v>50</v>
      </c>
      <c r="AP194" s="111">
        <v>2</v>
      </c>
    </row>
    <row r="195" spans="1:42" ht="15">
      <c r="A195" s="65" t="s">
        <v>470</v>
      </c>
      <c r="B195" s="65" t="s">
        <v>786</v>
      </c>
      <c r="C195" s="66" t="s">
        <v>4509</v>
      </c>
      <c r="D195" s="67">
        <v>3</v>
      </c>
      <c r="E195" s="68"/>
      <c r="F195" s="69">
        <v>40</v>
      </c>
      <c r="G195" s="66"/>
      <c r="H195" s="70"/>
      <c r="I195" s="71"/>
      <c r="J195" s="71"/>
      <c r="K195" s="35" t="s">
        <v>65</v>
      </c>
      <c r="L195" s="79">
        <v>195</v>
      </c>
      <c r="M195" s="79"/>
      <c r="N195" s="73"/>
      <c r="O195" s="81" t="s">
        <v>788</v>
      </c>
      <c r="P195" s="81" t="s">
        <v>325</v>
      </c>
      <c r="Q195" s="84" t="s">
        <v>983</v>
      </c>
      <c r="R195" s="81" t="s">
        <v>470</v>
      </c>
      <c r="S195" s="81" t="s">
        <v>1538</v>
      </c>
      <c r="T195" s="86" t="str">
        <f>HYPERLINK("http://www.youtube.com/channel/UCpTmLYv1oTol3nYfhult0nA")</f>
        <v>http://www.youtube.com/channel/UCpTmLYv1oTol3nYfhult0nA</v>
      </c>
      <c r="U195" s="81"/>
      <c r="V195" s="81" t="s">
        <v>1885</v>
      </c>
      <c r="W195" s="86" t="str">
        <f>HYPERLINK("https://www.youtube.com/watch?v=wadBvDPeE4E")</f>
        <v>https://www.youtube.com/watch?v=wadBvDPeE4E</v>
      </c>
      <c r="X195" s="81" t="s">
        <v>1886</v>
      </c>
      <c r="Y195" s="81">
        <v>0</v>
      </c>
      <c r="Z195" s="88">
        <v>41204.130428240744</v>
      </c>
      <c r="AA195" s="88">
        <v>41204.130428240744</v>
      </c>
      <c r="AB195" s="81"/>
      <c r="AC195" s="81"/>
      <c r="AD195" s="84" t="s">
        <v>1927</v>
      </c>
      <c r="AE195" s="82">
        <v>1</v>
      </c>
      <c r="AF195" s="83" t="str">
        <f>REPLACE(INDEX(GroupVertices[Group],MATCH(Edges[[#This Row],[Vertex 1]],GroupVertices[Vertex],0)),1,1,"")</f>
        <v>1</v>
      </c>
      <c r="AG195" s="83" t="str">
        <f>REPLACE(INDEX(GroupVertices[Group],MATCH(Edges[[#This Row],[Vertex 2]],GroupVertices[Vertex],0)),1,1,"")</f>
        <v>1</v>
      </c>
      <c r="AH195" s="111">
        <v>1</v>
      </c>
      <c r="AI195" s="112">
        <v>25</v>
      </c>
      <c r="AJ195" s="111">
        <v>0</v>
      </c>
      <c r="AK195" s="112">
        <v>0</v>
      </c>
      <c r="AL195" s="111">
        <v>0</v>
      </c>
      <c r="AM195" s="112">
        <v>0</v>
      </c>
      <c r="AN195" s="111">
        <v>3</v>
      </c>
      <c r="AO195" s="112">
        <v>75</v>
      </c>
      <c r="AP195" s="111">
        <v>4</v>
      </c>
    </row>
    <row r="196" spans="1:42" ht="15">
      <c r="A196" s="65" t="s">
        <v>471</v>
      </c>
      <c r="B196" s="65" t="s">
        <v>786</v>
      </c>
      <c r="C196" s="66" t="s">
        <v>4509</v>
      </c>
      <c r="D196" s="67">
        <v>3</v>
      </c>
      <c r="E196" s="68"/>
      <c r="F196" s="69">
        <v>40</v>
      </c>
      <c r="G196" s="66"/>
      <c r="H196" s="70"/>
      <c r="I196" s="71"/>
      <c r="J196" s="71"/>
      <c r="K196" s="35" t="s">
        <v>65</v>
      </c>
      <c r="L196" s="79">
        <v>196</v>
      </c>
      <c r="M196" s="79"/>
      <c r="N196" s="73"/>
      <c r="O196" s="81" t="s">
        <v>788</v>
      </c>
      <c r="P196" s="81" t="s">
        <v>325</v>
      </c>
      <c r="Q196" s="84" t="s">
        <v>984</v>
      </c>
      <c r="R196" s="81" t="s">
        <v>471</v>
      </c>
      <c r="S196" s="81" t="s">
        <v>1539</v>
      </c>
      <c r="T196" s="86" t="str">
        <f>HYPERLINK("http://www.youtube.com/channel/UCvLJwnZedAU3vc7U3k-GcLg")</f>
        <v>http://www.youtube.com/channel/UCvLJwnZedAU3vc7U3k-GcLg</v>
      </c>
      <c r="U196" s="81"/>
      <c r="V196" s="81" t="s">
        <v>1885</v>
      </c>
      <c r="W196" s="86" t="str">
        <f>HYPERLINK("https://www.youtube.com/watch?v=wadBvDPeE4E")</f>
        <v>https://www.youtube.com/watch?v=wadBvDPeE4E</v>
      </c>
      <c r="X196" s="81" t="s">
        <v>1886</v>
      </c>
      <c r="Y196" s="81">
        <v>0</v>
      </c>
      <c r="Z196" s="88">
        <v>41204.13857638889</v>
      </c>
      <c r="AA196" s="88">
        <v>41204.13857638889</v>
      </c>
      <c r="AB196" s="81"/>
      <c r="AC196" s="81"/>
      <c r="AD196" s="84" t="s">
        <v>1927</v>
      </c>
      <c r="AE196" s="82">
        <v>1</v>
      </c>
      <c r="AF196" s="83" t="str">
        <f>REPLACE(INDEX(GroupVertices[Group],MATCH(Edges[[#This Row],[Vertex 1]],GroupVertices[Vertex],0)),1,1,"")</f>
        <v>1</v>
      </c>
      <c r="AG196" s="83" t="str">
        <f>REPLACE(INDEX(GroupVertices[Group],MATCH(Edges[[#This Row],[Vertex 2]],GroupVertices[Vertex],0)),1,1,"")</f>
        <v>1</v>
      </c>
      <c r="AH196" s="111">
        <v>1</v>
      </c>
      <c r="AI196" s="112">
        <v>100</v>
      </c>
      <c r="AJ196" s="111">
        <v>0</v>
      </c>
      <c r="AK196" s="112">
        <v>0</v>
      </c>
      <c r="AL196" s="111">
        <v>0</v>
      </c>
      <c r="AM196" s="112">
        <v>0</v>
      </c>
      <c r="AN196" s="111">
        <v>0</v>
      </c>
      <c r="AO196" s="112">
        <v>0</v>
      </c>
      <c r="AP196" s="111">
        <v>1</v>
      </c>
    </row>
    <row r="197" spans="1:42" ht="15">
      <c r="A197" s="65" t="s">
        <v>472</v>
      </c>
      <c r="B197" s="65" t="s">
        <v>786</v>
      </c>
      <c r="C197" s="66" t="s">
        <v>4509</v>
      </c>
      <c r="D197" s="67">
        <v>3</v>
      </c>
      <c r="E197" s="68"/>
      <c r="F197" s="69">
        <v>40</v>
      </c>
      <c r="G197" s="66"/>
      <c r="H197" s="70"/>
      <c r="I197" s="71"/>
      <c r="J197" s="71"/>
      <c r="K197" s="35" t="s">
        <v>65</v>
      </c>
      <c r="L197" s="79">
        <v>197</v>
      </c>
      <c r="M197" s="79"/>
      <c r="N197" s="73"/>
      <c r="O197" s="81" t="s">
        <v>788</v>
      </c>
      <c r="P197" s="81" t="s">
        <v>325</v>
      </c>
      <c r="Q197" s="84" t="s">
        <v>985</v>
      </c>
      <c r="R197" s="81" t="s">
        <v>472</v>
      </c>
      <c r="S197" s="81" t="s">
        <v>1540</v>
      </c>
      <c r="T197" s="86" t="str">
        <f>HYPERLINK("http://www.youtube.com/channel/UCjvZu-1q13oykl4Ggmh8i-w")</f>
        <v>http://www.youtube.com/channel/UCjvZu-1q13oykl4Ggmh8i-w</v>
      </c>
      <c r="U197" s="81"/>
      <c r="V197" s="81" t="s">
        <v>1885</v>
      </c>
      <c r="W197" s="86" t="str">
        <f>HYPERLINK("https://www.youtube.com/watch?v=wadBvDPeE4E")</f>
        <v>https://www.youtube.com/watch?v=wadBvDPeE4E</v>
      </c>
      <c r="X197" s="81" t="s">
        <v>1886</v>
      </c>
      <c r="Y197" s="81">
        <v>0</v>
      </c>
      <c r="Z197" s="88">
        <v>41204.184386574074</v>
      </c>
      <c r="AA197" s="88">
        <v>41204.184386574074</v>
      </c>
      <c r="AB197" s="81"/>
      <c r="AC197" s="81"/>
      <c r="AD197" s="84" t="s">
        <v>1927</v>
      </c>
      <c r="AE197" s="82">
        <v>1</v>
      </c>
      <c r="AF197" s="83" t="str">
        <f>REPLACE(INDEX(GroupVertices[Group],MATCH(Edges[[#This Row],[Vertex 1]],GroupVertices[Vertex],0)),1,1,"")</f>
        <v>1</v>
      </c>
      <c r="AG197" s="83" t="str">
        <f>REPLACE(INDEX(GroupVertices[Group],MATCH(Edges[[#This Row],[Vertex 2]],GroupVertices[Vertex],0)),1,1,"")</f>
        <v>1</v>
      </c>
      <c r="AH197" s="111">
        <v>1</v>
      </c>
      <c r="AI197" s="112">
        <v>4.761904761904762</v>
      </c>
      <c r="AJ197" s="111">
        <v>1</v>
      </c>
      <c r="AK197" s="112">
        <v>4.761904761904762</v>
      </c>
      <c r="AL197" s="111">
        <v>0</v>
      </c>
      <c r="AM197" s="112">
        <v>0</v>
      </c>
      <c r="AN197" s="111">
        <v>19</v>
      </c>
      <c r="AO197" s="112">
        <v>90.47619047619048</v>
      </c>
      <c r="AP197" s="111">
        <v>21</v>
      </c>
    </row>
    <row r="198" spans="1:42" ht="15">
      <c r="A198" s="65" t="s">
        <v>473</v>
      </c>
      <c r="B198" s="65" t="s">
        <v>786</v>
      </c>
      <c r="C198" s="66" t="s">
        <v>4510</v>
      </c>
      <c r="D198" s="67">
        <v>5.333333333333334</v>
      </c>
      <c r="E198" s="68"/>
      <c r="F198" s="69">
        <v>31.666666666666664</v>
      </c>
      <c r="G198" s="66"/>
      <c r="H198" s="70"/>
      <c r="I198" s="71"/>
      <c r="J198" s="71"/>
      <c r="K198" s="35" t="s">
        <v>65</v>
      </c>
      <c r="L198" s="79">
        <v>198</v>
      </c>
      <c r="M198" s="79"/>
      <c r="N198" s="73"/>
      <c r="O198" s="81" t="s">
        <v>788</v>
      </c>
      <c r="P198" s="81" t="s">
        <v>325</v>
      </c>
      <c r="Q198" s="84" t="s">
        <v>986</v>
      </c>
      <c r="R198" s="81" t="s">
        <v>473</v>
      </c>
      <c r="S198" s="81" t="s">
        <v>1541</v>
      </c>
      <c r="T198" s="86" t="str">
        <f>HYPERLINK("http://www.youtube.com/channel/UCt5dZNnmMNccXdtemElxqeA")</f>
        <v>http://www.youtube.com/channel/UCt5dZNnmMNccXdtemElxqeA</v>
      </c>
      <c r="U198" s="81"/>
      <c r="V198" s="81" t="s">
        <v>1885</v>
      </c>
      <c r="W198" s="86" t="str">
        <f>HYPERLINK("https://www.youtube.com/watch?v=wadBvDPeE4E")</f>
        <v>https://www.youtube.com/watch?v=wadBvDPeE4E</v>
      </c>
      <c r="X198" s="81" t="s">
        <v>1886</v>
      </c>
      <c r="Y198" s="81">
        <v>0</v>
      </c>
      <c r="Z198" s="88">
        <v>41204.24947916667</v>
      </c>
      <c r="AA198" s="88">
        <v>41204.24947916667</v>
      </c>
      <c r="AB198" s="81"/>
      <c r="AC198" s="81"/>
      <c r="AD198" s="84" t="s">
        <v>1927</v>
      </c>
      <c r="AE198" s="82">
        <v>2</v>
      </c>
      <c r="AF198" s="83" t="str">
        <f>REPLACE(INDEX(GroupVertices[Group],MATCH(Edges[[#This Row],[Vertex 1]],GroupVertices[Vertex],0)),1,1,"")</f>
        <v>1</v>
      </c>
      <c r="AG198" s="83" t="str">
        <f>REPLACE(INDEX(GroupVertices[Group],MATCH(Edges[[#This Row],[Vertex 2]],GroupVertices[Vertex],0)),1,1,"")</f>
        <v>1</v>
      </c>
      <c r="AH198" s="111">
        <v>0</v>
      </c>
      <c r="AI198" s="112">
        <v>0</v>
      </c>
      <c r="AJ198" s="111">
        <v>0</v>
      </c>
      <c r="AK198" s="112">
        <v>0</v>
      </c>
      <c r="AL198" s="111">
        <v>0</v>
      </c>
      <c r="AM198" s="112">
        <v>0</v>
      </c>
      <c r="AN198" s="111">
        <v>31</v>
      </c>
      <c r="AO198" s="112">
        <v>100</v>
      </c>
      <c r="AP198" s="111">
        <v>31</v>
      </c>
    </row>
    <row r="199" spans="1:42" ht="15">
      <c r="A199" s="65" t="s">
        <v>473</v>
      </c>
      <c r="B199" s="65" t="s">
        <v>786</v>
      </c>
      <c r="C199" s="66" t="s">
        <v>4510</v>
      </c>
      <c r="D199" s="67">
        <v>5.333333333333334</v>
      </c>
      <c r="E199" s="68"/>
      <c r="F199" s="69">
        <v>31.666666666666664</v>
      </c>
      <c r="G199" s="66"/>
      <c r="H199" s="70"/>
      <c r="I199" s="71"/>
      <c r="J199" s="71"/>
      <c r="K199" s="35" t="s">
        <v>65</v>
      </c>
      <c r="L199" s="79">
        <v>199</v>
      </c>
      <c r="M199" s="79"/>
      <c r="N199" s="73"/>
      <c r="O199" s="81" t="s">
        <v>788</v>
      </c>
      <c r="P199" s="81" t="s">
        <v>325</v>
      </c>
      <c r="Q199" s="84" t="s">
        <v>987</v>
      </c>
      <c r="R199" s="81" t="s">
        <v>473</v>
      </c>
      <c r="S199" s="81" t="s">
        <v>1541</v>
      </c>
      <c r="T199" s="86" t="str">
        <f>HYPERLINK("http://www.youtube.com/channel/UCt5dZNnmMNccXdtemElxqeA")</f>
        <v>http://www.youtube.com/channel/UCt5dZNnmMNccXdtemElxqeA</v>
      </c>
      <c r="U199" s="81"/>
      <c r="V199" s="81" t="s">
        <v>1885</v>
      </c>
      <c r="W199" s="86" t="str">
        <f>HYPERLINK("https://www.youtube.com/watch?v=wadBvDPeE4E")</f>
        <v>https://www.youtube.com/watch?v=wadBvDPeE4E</v>
      </c>
      <c r="X199" s="81" t="s">
        <v>1886</v>
      </c>
      <c r="Y199" s="81">
        <v>0</v>
      </c>
      <c r="Z199" s="88">
        <v>41204.253587962965</v>
      </c>
      <c r="AA199" s="88">
        <v>41204.253587962965</v>
      </c>
      <c r="AB199" s="81"/>
      <c r="AC199" s="81"/>
      <c r="AD199" s="84" t="s">
        <v>1927</v>
      </c>
      <c r="AE199" s="82">
        <v>2</v>
      </c>
      <c r="AF199" s="83" t="str">
        <f>REPLACE(INDEX(GroupVertices[Group],MATCH(Edges[[#This Row],[Vertex 1]],GroupVertices[Vertex],0)),1,1,"")</f>
        <v>1</v>
      </c>
      <c r="AG199" s="83" t="str">
        <f>REPLACE(INDEX(GroupVertices[Group],MATCH(Edges[[#This Row],[Vertex 2]],GroupVertices[Vertex],0)),1,1,"")</f>
        <v>1</v>
      </c>
      <c r="AH199" s="111">
        <v>0</v>
      </c>
      <c r="AI199" s="112">
        <v>0</v>
      </c>
      <c r="AJ199" s="111">
        <v>0</v>
      </c>
      <c r="AK199" s="112">
        <v>0</v>
      </c>
      <c r="AL199" s="111">
        <v>0</v>
      </c>
      <c r="AM199" s="112">
        <v>0</v>
      </c>
      <c r="AN199" s="111">
        <v>4</v>
      </c>
      <c r="AO199" s="112">
        <v>100</v>
      </c>
      <c r="AP199" s="111">
        <v>4</v>
      </c>
    </row>
    <row r="200" spans="1:42" ht="15">
      <c r="A200" s="65" t="s">
        <v>474</v>
      </c>
      <c r="B200" s="65" t="s">
        <v>786</v>
      </c>
      <c r="C200" s="66" t="s">
        <v>4509</v>
      </c>
      <c r="D200" s="67">
        <v>3</v>
      </c>
      <c r="E200" s="68"/>
      <c r="F200" s="69">
        <v>40</v>
      </c>
      <c r="G200" s="66"/>
      <c r="H200" s="70"/>
      <c r="I200" s="71"/>
      <c r="J200" s="71"/>
      <c r="K200" s="35" t="s">
        <v>65</v>
      </c>
      <c r="L200" s="79">
        <v>200</v>
      </c>
      <c r="M200" s="79"/>
      <c r="N200" s="73"/>
      <c r="O200" s="81" t="s">
        <v>788</v>
      </c>
      <c r="P200" s="81" t="s">
        <v>325</v>
      </c>
      <c r="Q200" s="84" t="s">
        <v>988</v>
      </c>
      <c r="R200" s="81" t="s">
        <v>474</v>
      </c>
      <c r="S200" s="81" t="s">
        <v>1542</v>
      </c>
      <c r="T200" s="86" t="str">
        <f>HYPERLINK("http://www.youtube.com/channel/UCV8B5_8wLN0zPRgP0nEvJ_Q")</f>
        <v>http://www.youtube.com/channel/UCV8B5_8wLN0zPRgP0nEvJ_Q</v>
      </c>
      <c r="U200" s="81"/>
      <c r="V200" s="81" t="s">
        <v>1885</v>
      </c>
      <c r="W200" s="86" t="str">
        <f>HYPERLINK("https://www.youtube.com/watch?v=wadBvDPeE4E")</f>
        <v>https://www.youtube.com/watch?v=wadBvDPeE4E</v>
      </c>
      <c r="X200" s="81" t="s">
        <v>1886</v>
      </c>
      <c r="Y200" s="81">
        <v>0</v>
      </c>
      <c r="Z200" s="88">
        <v>41204.269155092596</v>
      </c>
      <c r="AA200" s="88">
        <v>41204.269155092596</v>
      </c>
      <c r="AB200" s="81"/>
      <c r="AC200" s="81"/>
      <c r="AD200" s="84" t="s">
        <v>1927</v>
      </c>
      <c r="AE200" s="82">
        <v>1</v>
      </c>
      <c r="AF200" s="83" t="str">
        <f>REPLACE(INDEX(GroupVertices[Group],MATCH(Edges[[#This Row],[Vertex 1]],GroupVertices[Vertex],0)),1,1,"")</f>
        <v>1</v>
      </c>
      <c r="AG200" s="83" t="str">
        <f>REPLACE(INDEX(GroupVertices[Group],MATCH(Edges[[#This Row],[Vertex 2]],GroupVertices[Vertex],0)),1,1,"")</f>
        <v>1</v>
      </c>
      <c r="AH200" s="111">
        <v>2</v>
      </c>
      <c r="AI200" s="112">
        <v>4.081632653061225</v>
      </c>
      <c r="AJ200" s="111">
        <v>1</v>
      </c>
      <c r="AK200" s="112">
        <v>2.0408163265306123</v>
      </c>
      <c r="AL200" s="111">
        <v>0</v>
      </c>
      <c r="AM200" s="112">
        <v>0</v>
      </c>
      <c r="AN200" s="111">
        <v>46</v>
      </c>
      <c r="AO200" s="112">
        <v>93.87755102040816</v>
      </c>
      <c r="AP200" s="111">
        <v>49</v>
      </c>
    </row>
    <row r="201" spans="1:42" ht="15">
      <c r="A201" s="65" t="s">
        <v>475</v>
      </c>
      <c r="B201" s="65" t="s">
        <v>786</v>
      </c>
      <c r="C201" s="66" t="s">
        <v>4509</v>
      </c>
      <c r="D201" s="67">
        <v>3</v>
      </c>
      <c r="E201" s="68"/>
      <c r="F201" s="69">
        <v>40</v>
      </c>
      <c r="G201" s="66"/>
      <c r="H201" s="70"/>
      <c r="I201" s="71"/>
      <c r="J201" s="71"/>
      <c r="K201" s="35" t="s">
        <v>65</v>
      </c>
      <c r="L201" s="79">
        <v>201</v>
      </c>
      <c r="M201" s="79"/>
      <c r="N201" s="73"/>
      <c r="O201" s="81" t="s">
        <v>788</v>
      </c>
      <c r="P201" s="81" t="s">
        <v>325</v>
      </c>
      <c r="Q201" s="84" t="s">
        <v>989</v>
      </c>
      <c r="R201" s="81" t="s">
        <v>475</v>
      </c>
      <c r="S201" s="81" t="s">
        <v>1543</v>
      </c>
      <c r="T201" s="86" t="str">
        <f>HYPERLINK("http://www.youtube.com/channel/UCjaxtx_NGa5TStCheS4nNnw")</f>
        <v>http://www.youtube.com/channel/UCjaxtx_NGa5TStCheS4nNnw</v>
      </c>
      <c r="U201" s="81"/>
      <c r="V201" s="81" t="s">
        <v>1885</v>
      </c>
      <c r="W201" s="86" t="str">
        <f>HYPERLINK("https://www.youtube.com/watch?v=wadBvDPeE4E")</f>
        <v>https://www.youtube.com/watch?v=wadBvDPeE4E</v>
      </c>
      <c r="X201" s="81" t="s">
        <v>1886</v>
      </c>
      <c r="Y201" s="81">
        <v>0</v>
      </c>
      <c r="Z201" s="88">
        <v>41204.31028935185</v>
      </c>
      <c r="AA201" s="88">
        <v>41204.31028935185</v>
      </c>
      <c r="AB201" s="81"/>
      <c r="AC201" s="81"/>
      <c r="AD201" s="84" t="s">
        <v>1927</v>
      </c>
      <c r="AE201" s="82">
        <v>1</v>
      </c>
      <c r="AF201" s="83" t="str">
        <f>REPLACE(INDEX(GroupVertices[Group],MATCH(Edges[[#This Row],[Vertex 1]],GroupVertices[Vertex],0)),1,1,"")</f>
        <v>1</v>
      </c>
      <c r="AG201" s="83" t="str">
        <f>REPLACE(INDEX(GroupVertices[Group],MATCH(Edges[[#This Row],[Vertex 2]],GroupVertices[Vertex],0)),1,1,"")</f>
        <v>1</v>
      </c>
      <c r="AH201" s="111">
        <v>0</v>
      </c>
      <c r="AI201" s="112">
        <v>0</v>
      </c>
      <c r="AJ201" s="111">
        <v>0</v>
      </c>
      <c r="AK201" s="112">
        <v>0</v>
      </c>
      <c r="AL201" s="111">
        <v>0</v>
      </c>
      <c r="AM201" s="112">
        <v>0</v>
      </c>
      <c r="AN201" s="111">
        <v>1</v>
      </c>
      <c r="AO201" s="112">
        <v>100</v>
      </c>
      <c r="AP201" s="111">
        <v>1</v>
      </c>
    </row>
    <row r="202" spans="1:42" ht="15">
      <c r="A202" s="65" t="s">
        <v>476</v>
      </c>
      <c r="B202" s="65" t="s">
        <v>786</v>
      </c>
      <c r="C202" s="66" t="s">
        <v>4513</v>
      </c>
      <c r="D202" s="67">
        <v>10</v>
      </c>
      <c r="E202" s="68"/>
      <c r="F202" s="69">
        <v>15</v>
      </c>
      <c r="G202" s="66"/>
      <c r="H202" s="70"/>
      <c r="I202" s="71"/>
      <c r="J202" s="71"/>
      <c r="K202" s="35" t="s">
        <v>65</v>
      </c>
      <c r="L202" s="79">
        <v>202</v>
      </c>
      <c r="M202" s="79"/>
      <c r="N202" s="73"/>
      <c r="O202" s="81" t="s">
        <v>788</v>
      </c>
      <c r="P202" s="81" t="s">
        <v>325</v>
      </c>
      <c r="Q202" s="84" t="s">
        <v>990</v>
      </c>
      <c r="R202" s="81" t="s">
        <v>476</v>
      </c>
      <c r="S202" s="81" t="s">
        <v>1544</v>
      </c>
      <c r="T202" s="86" t="str">
        <f>HYPERLINK("http://www.youtube.com/channel/UCcg9nOqmYYkZmY0TU3Aw6MQ")</f>
        <v>http://www.youtube.com/channel/UCcg9nOqmYYkZmY0TU3Aw6MQ</v>
      </c>
      <c r="U202" s="81"/>
      <c r="V202" s="81" t="s">
        <v>1885</v>
      </c>
      <c r="W202" s="86" t="str">
        <f>HYPERLINK("https://www.youtube.com/watch?v=wadBvDPeE4E")</f>
        <v>https://www.youtube.com/watch?v=wadBvDPeE4E</v>
      </c>
      <c r="X202" s="81" t="s">
        <v>1886</v>
      </c>
      <c r="Y202" s="81">
        <v>0</v>
      </c>
      <c r="Z202" s="88">
        <v>41203.50173611111</v>
      </c>
      <c r="AA202" s="88">
        <v>41203.50173611111</v>
      </c>
      <c r="AB202" s="81"/>
      <c r="AC202" s="81"/>
      <c r="AD202" s="84" t="s">
        <v>1927</v>
      </c>
      <c r="AE202" s="82">
        <v>5</v>
      </c>
      <c r="AF202" s="83" t="str">
        <f>REPLACE(INDEX(GroupVertices[Group],MATCH(Edges[[#This Row],[Vertex 1]],GroupVertices[Vertex],0)),1,1,"")</f>
        <v>1</v>
      </c>
      <c r="AG202" s="83" t="str">
        <f>REPLACE(INDEX(GroupVertices[Group],MATCH(Edges[[#This Row],[Vertex 2]],GroupVertices[Vertex],0)),1,1,"")</f>
        <v>1</v>
      </c>
      <c r="AH202" s="111">
        <v>1</v>
      </c>
      <c r="AI202" s="112">
        <v>1.2048192771084338</v>
      </c>
      <c r="AJ202" s="111">
        <v>4</v>
      </c>
      <c r="AK202" s="112">
        <v>4.819277108433735</v>
      </c>
      <c r="AL202" s="111">
        <v>0</v>
      </c>
      <c r="AM202" s="112">
        <v>0</v>
      </c>
      <c r="AN202" s="111">
        <v>78</v>
      </c>
      <c r="AO202" s="112">
        <v>93.97590361445783</v>
      </c>
      <c r="AP202" s="111">
        <v>83</v>
      </c>
    </row>
    <row r="203" spans="1:42" ht="15">
      <c r="A203" s="65" t="s">
        <v>476</v>
      </c>
      <c r="B203" s="65" t="s">
        <v>786</v>
      </c>
      <c r="C203" s="66" t="s">
        <v>4513</v>
      </c>
      <c r="D203" s="67">
        <v>10</v>
      </c>
      <c r="E203" s="68"/>
      <c r="F203" s="69">
        <v>15</v>
      </c>
      <c r="G203" s="66"/>
      <c r="H203" s="70"/>
      <c r="I203" s="71"/>
      <c r="J203" s="71"/>
      <c r="K203" s="35" t="s">
        <v>65</v>
      </c>
      <c r="L203" s="79">
        <v>203</v>
      </c>
      <c r="M203" s="79"/>
      <c r="N203" s="73"/>
      <c r="O203" s="81" t="s">
        <v>788</v>
      </c>
      <c r="P203" s="81" t="s">
        <v>325</v>
      </c>
      <c r="Q203" s="84" t="s">
        <v>991</v>
      </c>
      <c r="R203" s="81" t="s">
        <v>476</v>
      </c>
      <c r="S203" s="81" t="s">
        <v>1544</v>
      </c>
      <c r="T203" s="86" t="str">
        <f>HYPERLINK("http://www.youtube.com/channel/UCcg9nOqmYYkZmY0TU3Aw6MQ")</f>
        <v>http://www.youtube.com/channel/UCcg9nOqmYYkZmY0TU3Aw6MQ</v>
      </c>
      <c r="U203" s="81"/>
      <c r="V203" s="81" t="s">
        <v>1885</v>
      </c>
      <c r="W203" s="86" t="str">
        <f>HYPERLINK("https://www.youtube.com/watch?v=wadBvDPeE4E")</f>
        <v>https://www.youtube.com/watch?v=wadBvDPeE4E</v>
      </c>
      <c r="X203" s="81" t="s">
        <v>1886</v>
      </c>
      <c r="Y203" s="81">
        <v>0</v>
      </c>
      <c r="Z203" s="88">
        <v>41203.72090277778</v>
      </c>
      <c r="AA203" s="88">
        <v>41203.72090277778</v>
      </c>
      <c r="AB203" s="81"/>
      <c r="AC203" s="81"/>
      <c r="AD203" s="84" t="s">
        <v>1927</v>
      </c>
      <c r="AE203" s="82">
        <v>5</v>
      </c>
      <c r="AF203" s="83" t="str">
        <f>REPLACE(INDEX(GroupVertices[Group],MATCH(Edges[[#This Row],[Vertex 1]],GroupVertices[Vertex],0)),1,1,"")</f>
        <v>1</v>
      </c>
      <c r="AG203" s="83" t="str">
        <f>REPLACE(INDEX(GroupVertices[Group],MATCH(Edges[[#This Row],[Vertex 2]],GroupVertices[Vertex],0)),1,1,"")</f>
        <v>1</v>
      </c>
      <c r="AH203" s="111">
        <v>1</v>
      </c>
      <c r="AI203" s="112">
        <v>1.2658227848101267</v>
      </c>
      <c r="AJ203" s="111">
        <v>2</v>
      </c>
      <c r="AK203" s="112">
        <v>2.5316455696202533</v>
      </c>
      <c r="AL203" s="111">
        <v>0</v>
      </c>
      <c r="AM203" s="112">
        <v>0</v>
      </c>
      <c r="AN203" s="111">
        <v>76</v>
      </c>
      <c r="AO203" s="112">
        <v>96.20253164556962</v>
      </c>
      <c r="AP203" s="111">
        <v>79</v>
      </c>
    </row>
    <row r="204" spans="1:42" ht="15">
      <c r="A204" s="65" t="s">
        <v>476</v>
      </c>
      <c r="B204" s="65" t="s">
        <v>786</v>
      </c>
      <c r="C204" s="66" t="s">
        <v>4513</v>
      </c>
      <c r="D204" s="67">
        <v>10</v>
      </c>
      <c r="E204" s="68"/>
      <c r="F204" s="69">
        <v>15</v>
      </c>
      <c r="G204" s="66"/>
      <c r="H204" s="70"/>
      <c r="I204" s="71"/>
      <c r="J204" s="71"/>
      <c r="K204" s="35" t="s">
        <v>65</v>
      </c>
      <c r="L204" s="79">
        <v>204</v>
      </c>
      <c r="M204" s="79"/>
      <c r="N204" s="73"/>
      <c r="O204" s="81" t="s">
        <v>788</v>
      </c>
      <c r="P204" s="81" t="s">
        <v>325</v>
      </c>
      <c r="Q204" s="84" t="s">
        <v>992</v>
      </c>
      <c r="R204" s="81" t="s">
        <v>476</v>
      </c>
      <c r="S204" s="81" t="s">
        <v>1544</v>
      </c>
      <c r="T204" s="86" t="str">
        <f>HYPERLINK("http://www.youtube.com/channel/UCcg9nOqmYYkZmY0TU3Aw6MQ")</f>
        <v>http://www.youtube.com/channel/UCcg9nOqmYYkZmY0TU3Aw6MQ</v>
      </c>
      <c r="U204" s="81"/>
      <c r="V204" s="81" t="s">
        <v>1885</v>
      </c>
      <c r="W204" s="86" t="str">
        <f>HYPERLINK("https://www.youtube.com/watch?v=wadBvDPeE4E")</f>
        <v>https://www.youtube.com/watch?v=wadBvDPeE4E</v>
      </c>
      <c r="X204" s="81" t="s">
        <v>1886</v>
      </c>
      <c r="Y204" s="81">
        <v>0</v>
      </c>
      <c r="Z204" s="88">
        <v>41203.721342592595</v>
      </c>
      <c r="AA204" s="88">
        <v>41203.721342592595</v>
      </c>
      <c r="AB204" s="81"/>
      <c r="AC204" s="81"/>
      <c r="AD204" s="84" t="s">
        <v>1927</v>
      </c>
      <c r="AE204" s="82">
        <v>5</v>
      </c>
      <c r="AF204" s="83" t="str">
        <f>REPLACE(INDEX(GroupVertices[Group],MATCH(Edges[[#This Row],[Vertex 1]],GroupVertices[Vertex],0)),1,1,"")</f>
        <v>1</v>
      </c>
      <c r="AG204" s="83" t="str">
        <f>REPLACE(INDEX(GroupVertices[Group],MATCH(Edges[[#This Row],[Vertex 2]],GroupVertices[Vertex],0)),1,1,"")</f>
        <v>1</v>
      </c>
      <c r="AH204" s="111">
        <v>2</v>
      </c>
      <c r="AI204" s="112">
        <v>15.384615384615385</v>
      </c>
      <c r="AJ204" s="111">
        <v>0</v>
      </c>
      <c r="AK204" s="112">
        <v>0</v>
      </c>
      <c r="AL204" s="111">
        <v>0</v>
      </c>
      <c r="AM204" s="112">
        <v>0</v>
      </c>
      <c r="AN204" s="111">
        <v>11</v>
      </c>
      <c r="AO204" s="112">
        <v>84.61538461538461</v>
      </c>
      <c r="AP204" s="111">
        <v>13</v>
      </c>
    </row>
    <row r="205" spans="1:42" ht="15">
      <c r="A205" s="65" t="s">
        <v>476</v>
      </c>
      <c r="B205" s="65" t="s">
        <v>786</v>
      </c>
      <c r="C205" s="66" t="s">
        <v>4513</v>
      </c>
      <c r="D205" s="67">
        <v>10</v>
      </c>
      <c r="E205" s="68"/>
      <c r="F205" s="69">
        <v>15</v>
      </c>
      <c r="G205" s="66"/>
      <c r="H205" s="70"/>
      <c r="I205" s="71"/>
      <c r="J205" s="71"/>
      <c r="K205" s="35" t="s">
        <v>65</v>
      </c>
      <c r="L205" s="79">
        <v>205</v>
      </c>
      <c r="M205" s="79"/>
      <c r="N205" s="73"/>
      <c r="O205" s="81" t="s">
        <v>788</v>
      </c>
      <c r="P205" s="81" t="s">
        <v>325</v>
      </c>
      <c r="Q205" s="84" t="s">
        <v>993</v>
      </c>
      <c r="R205" s="81" t="s">
        <v>476</v>
      </c>
      <c r="S205" s="81" t="s">
        <v>1544</v>
      </c>
      <c r="T205" s="86" t="str">
        <f>HYPERLINK("http://www.youtube.com/channel/UCcg9nOqmYYkZmY0TU3Aw6MQ")</f>
        <v>http://www.youtube.com/channel/UCcg9nOqmYYkZmY0TU3Aw6MQ</v>
      </c>
      <c r="U205" s="81"/>
      <c r="V205" s="81" t="s">
        <v>1885</v>
      </c>
      <c r="W205" s="86" t="str">
        <f>HYPERLINK("https://www.youtube.com/watch?v=wadBvDPeE4E")</f>
        <v>https://www.youtube.com/watch?v=wadBvDPeE4E</v>
      </c>
      <c r="X205" s="81" t="s">
        <v>1886</v>
      </c>
      <c r="Y205" s="81">
        <v>0</v>
      </c>
      <c r="Z205" s="88">
        <v>41204.33063657407</v>
      </c>
      <c r="AA205" s="88">
        <v>41204.33063657407</v>
      </c>
      <c r="AB205" s="81"/>
      <c r="AC205" s="81"/>
      <c r="AD205" s="84" t="s">
        <v>1927</v>
      </c>
      <c r="AE205" s="82">
        <v>5</v>
      </c>
      <c r="AF205" s="83" t="str">
        <f>REPLACE(INDEX(GroupVertices[Group],MATCH(Edges[[#This Row],[Vertex 1]],GroupVertices[Vertex],0)),1,1,"")</f>
        <v>1</v>
      </c>
      <c r="AG205" s="83" t="str">
        <f>REPLACE(INDEX(GroupVertices[Group],MATCH(Edges[[#This Row],[Vertex 2]],GroupVertices[Vertex],0)),1,1,"")</f>
        <v>1</v>
      </c>
      <c r="AH205" s="111">
        <v>0</v>
      </c>
      <c r="AI205" s="112">
        <v>0</v>
      </c>
      <c r="AJ205" s="111">
        <v>4</v>
      </c>
      <c r="AK205" s="112">
        <v>4.878048780487805</v>
      </c>
      <c r="AL205" s="111">
        <v>0</v>
      </c>
      <c r="AM205" s="112">
        <v>0</v>
      </c>
      <c r="AN205" s="111">
        <v>78</v>
      </c>
      <c r="AO205" s="112">
        <v>95.1219512195122</v>
      </c>
      <c r="AP205" s="111">
        <v>82</v>
      </c>
    </row>
    <row r="206" spans="1:42" ht="15">
      <c r="A206" s="65" t="s">
        <v>476</v>
      </c>
      <c r="B206" s="65" t="s">
        <v>786</v>
      </c>
      <c r="C206" s="66" t="s">
        <v>4513</v>
      </c>
      <c r="D206" s="67">
        <v>10</v>
      </c>
      <c r="E206" s="68"/>
      <c r="F206" s="69">
        <v>15</v>
      </c>
      <c r="G206" s="66"/>
      <c r="H206" s="70"/>
      <c r="I206" s="71"/>
      <c r="J206" s="71"/>
      <c r="K206" s="35" t="s">
        <v>65</v>
      </c>
      <c r="L206" s="79">
        <v>206</v>
      </c>
      <c r="M206" s="79"/>
      <c r="N206" s="73"/>
      <c r="O206" s="81" t="s">
        <v>788</v>
      </c>
      <c r="P206" s="81" t="s">
        <v>325</v>
      </c>
      <c r="Q206" s="84" t="s">
        <v>994</v>
      </c>
      <c r="R206" s="81" t="s">
        <v>476</v>
      </c>
      <c r="S206" s="81" t="s">
        <v>1544</v>
      </c>
      <c r="T206" s="86" t="str">
        <f>HYPERLINK("http://www.youtube.com/channel/UCcg9nOqmYYkZmY0TU3Aw6MQ")</f>
        <v>http://www.youtube.com/channel/UCcg9nOqmYYkZmY0TU3Aw6MQ</v>
      </c>
      <c r="U206" s="81"/>
      <c r="V206" s="81" t="s">
        <v>1885</v>
      </c>
      <c r="W206" s="86" t="str">
        <f>HYPERLINK("https://www.youtube.com/watch?v=wadBvDPeE4E")</f>
        <v>https://www.youtube.com/watch?v=wadBvDPeE4E</v>
      </c>
      <c r="X206" s="81" t="s">
        <v>1886</v>
      </c>
      <c r="Y206" s="81">
        <v>0</v>
      </c>
      <c r="Z206" s="88">
        <v>41204.33091435185</v>
      </c>
      <c r="AA206" s="88">
        <v>41204.33091435185</v>
      </c>
      <c r="AB206" s="81"/>
      <c r="AC206" s="81"/>
      <c r="AD206" s="84" t="s">
        <v>1927</v>
      </c>
      <c r="AE206" s="82">
        <v>5</v>
      </c>
      <c r="AF206" s="83" t="str">
        <f>REPLACE(INDEX(GroupVertices[Group],MATCH(Edges[[#This Row],[Vertex 1]],GroupVertices[Vertex],0)),1,1,"")</f>
        <v>1</v>
      </c>
      <c r="AG206" s="83" t="str">
        <f>REPLACE(INDEX(GroupVertices[Group],MATCH(Edges[[#This Row],[Vertex 2]],GroupVertices[Vertex],0)),1,1,"")</f>
        <v>1</v>
      </c>
      <c r="AH206" s="111">
        <v>1</v>
      </c>
      <c r="AI206" s="112">
        <v>20</v>
      </c>
      <c r="AJ206" s="111">
        <v>0</v>
      </c>
      <c r="AK206" s="112">
        <v>0</v>
      </c>
      <c r="AL206" s="111">
        <v>0</v>
      </c>
      <c r="AM206" s="112">
        <v>0</v>
      </c>
      <c r="AN206" s="111">
        <v>4</v>
      </c>
      <c r="AO206" s="112">
        <v>80</v>
      </c>
      <c r="AP206" s="111">
        <v>5</v>
      </c>
    </row>
    <row r="207" spans="1:42" ht="15">
      <c r="A207" s="65" t="s">
        <v>477</v>
      </c>
      <c r="B207" s="65" t="s">
        <v>786</v>
      </c>
      <c r="C207" s="66" t="s">
        <v>4511</v>
      </c>
      <c r="D207" s="67">
        <v>7.666666666666667</v>
      </c>
      <c r="E207" s="68"/>
      <c r="F207" s="69">
        <v>23.333333333333332</v>
      </c>
      <c r="G207" s="66"/>
      <c r="H207" s="70"/>
      <c r="I207" s="71"/>
      <c r="J207" s="71"/>
      <c r="K207" s="35" t="s">
        <v>65</v>
      </c>
      <c r="L207" s="79">
        <v>207</v>
      </c>
      <c r="M207" s="79"/>
      <c r="N207" s="73"/>
      <c r="O207" s="81" t="s">
        <v>788</v>
      </c>
      <c r="P207" s="81" t="s">
        <v>325</v>
      </c>
      <c r="Q207" s="84" t="s">
        <v>995</v>
      </c>
      <c r="R207" s="81" t="s">
        <v>477</v>
      </c>
      <c r="S207" s="81" t="s">
        <v>1545</v>
      </c>
      <c r="T207" s="86" t="str">
        <f>HYPERLINK("http://www.youtube.com/channel/UCO0d_DTPKCIc_ikRyMHYwFQ")</f>
        <v>http://www.youtube.com/channel/UCO0d_DTPKCIc_ikRyMHYwFQ</v>
      </c>
      <c r="U207" s="81"/>
      <c r="V207" s="81" t="s">
        <v>1885</v>
      </c>
      <c r="W207" s="86" t="str">
        <f>HYPERLINK("https://www.youtube.com/watch?v=wadBvDPeE4E")</f>
        <v>https://www.youtube.com/watch?v=wadBvDPeE4E</v>
      </c>
      <c r="X207" s="81" t="s">
        <v>1886</v>
      </c>
      <c r="Y207" s="81">
        <v>0</v>
      </c>
      <c r="Z207" s="88">
        <v>41203.69789351852</v>
      </c>
      <c r="AA207" s="88">
        <v>41203.69789351852</v>
      </c>
      <c r="AB207" s="81"/>
      <c r="AC207" s="81"/>
      <c r="AD207" s="84" t="s">
        <v>1927</v>
      </c>
      <c r="AE207" s="82">
        <v>3</v>
      </c>
      <c r="AF207" s="83" t="str">
        <f>REPLACE(INDEX(GroupVertices[Group],MATCH(Edges[[#This Row],[Vertex 1]],GroupVertices[Vertex],0)),1,1,"")</f>
        <v>1</v>
      </c>
      <c r="AG207" s="83" t="str">
        <f>REPLACE(INDEX(GroupVertices[Group],MATCH(Edges[[#This Row],[Vertex 2]],GroupVertices[Vertex],0)),1,1,"")</f>
        <v>1</v>
      </c>
      <c r="AH207" s="111">
        <v>0</v>
      </c>
      <c r="AI207" s="112">
        <v>0</v>
      </c>
      <c r="AJ207" s="111">
        <v>0</v>
      </c>
      <c r="AK207" s="112">
        <v>0</v>
      </c>
      <c r="AL207" s="111">
        <v>0</v>
      </c>
      <c r="AM207" s="112">
        <v>0</v>
      </c>
      <c r="AN207" s="111">
        <v>2</v>
      </c>
      <c r="AO207" s="112">
        <v>100</v>
      </c>
      <c r="AP207" s="111">
        <v>2</v>
      </c>
    </row>
    <row r="208" spans="1:42" ht="15">
      <c r="A208" s="65" t="s">
        <v>477</v>
      </c>
      <c r="B208" s="65" t="s">
        <v>786</v>
      </c>
      <c r="C208" s="66" t="s">
        <v>4511</v>
      </c>
      <c r="D208" s="67">
        <v>7.666666666666667</v>
      </c>
      <c r="E208" s="68"/>
      <c r="F208" s="69">
        <v>23.333333333333332</v>
      </c>
      <c r="G208" s="66"/>
      <c r="H208" s="70"/>
      <c r="I208" s="71"/>
      <c r="J208" s="71"/>
      <c r="K208" s="35" t="s">
        <v>65</v>
      </c>
      <c r="L208" s="79">
        <v>208</v>
      </c>
      <c r="M208" s="79"/>
      <c r="N208" s="73"/>
      <c r="O208" s="81" t="s">
        <v>788</v>
      </c>
      <c r="P208" s="81" t="s">
        <v>325</v>
      </c>
      <c r="Q208" s="84" t="s">
        <v>996</v>
      </c>
      <c r="R208" s="81" t="s">
        <v>477</v>
      </c>
      <c r="S208" s="81" t="s">
        <v>1545</v>
      </c>
      <c r="T208" s="86" t="str">
        <f>HYPERLINK("http://www.youtube.com/channel/UCO0d_DTPKCIc_ikRyMHYwFQ")</f>
        <v>http://www.youtube.com/channel/UCO0d_DTPKCIc_ikRyMHYwFQ</v>
      </c>
      <c r="U208" s="81"/>
      <c r="V208" s="81" t="s">
        <v>1885</v>
      </c>
      <c r="W208" s="86" t="str">
        <f>HYPERLINK("https://www.youtube.com/watch?v=wadBvDPeE4E")</f>
        <v>https://www.youtube.com/watch?v=wadBvDPeE4E</v>
      </c>
      <c r="X208" s="81" t="s">
        <v>1886</v>
      </c>
      <c r="Y208" s="81">
        <v>0</v>
      </c>
      <c r="Z208" s="88">
        <v>41204.11450231481</v>
      </c>
      <c r="AA208" s="88">
        <v>41204.11450231481</v>
      </c>
      <c r="AB208" s="81"/>
      <c r="AC208" s="81"/>
      <c r="AD208" s="84" t="s">
        <v>1927</v>
      </c>
      <c r="AE208" s="82">
        <v>3</v>
      </c>
      <c r="AF208" s="83" t="str">
        <f>REPLACE(INDEX(GroupVertices[Group],MATCH(Edges[[#This Row],[Vertex 1]],GroupVertices[Vertex],0)),1,1,"")</f>
        <v>1</v>
      </c>
      <c r="AG208" s="83" t="str">
        <f>REPLACE(INDEX(GroupVertices[Group],MATCH(Edges[[#This Row],[Vertex 2]],GroupVertices[Vertex],0)),1,1,"")</f>
        <v>1</v>
      </c>
      <c r="AH208" s="111">
        <v>4</v>
      </c>
      <c r="AI208" s="112">
        <v>4.761904761904762</v>
      </c>
      <c r="AJ208" s="111">
        <v>2</v>
      </c>
      <c r="AK208" s="112">
        <v>2.380952380952381</v>
      </c>
      <c r="AL208" s="111">
        <v>0</v>
      </c>
      <c r="AM208" s="112">
        <v>0</v>
      </c>
      <c r="AN208" s="111">
        <v>78</v>
      </c>
      <c r="AO208" s="112">
        <v>92.85714285714286</v>
      </c>
      <c r="AP208" s="111">
        <v>84</v>
      </c>
    </row>
    <row r="209" spans="1:42" ht="15">
      <c r="A209" s="65" t="s">
        <v>477</v>
      </c>
      <c r="B209" s="65" t="s">
        <v>786</v>
      </c>
      <c r="C209" s="66" t="s">
        <v>4511</v>
      </c>
      <c r="D209" s="67">
        <v>7.666666666666667</v>
      </c>
      <c r="E209" s="68"/>
      <c r="F209" s="69">
        <v>23.333333333333332</v>
      </c>
      <c r="G209" s="66"/>
      <c r="H209" s="70"/>
      <c r="I209" s="71"/>
      <c r="J209" s="71"/>
      <c r="K209" s="35" t="s">
        <v>65</v>
      </c>
      <c r="L209" s="79">
        <v>209</v>
      </c>
      <c r="M209" s="79"/>
      <c r="N209" s="73"/>
      <c r="O209" s="81" t="s">
        <v>788</v>
      </c>
      <c r="P209" s="81" t="s">
        <v>325</v>
      </c>
      <c r="Q209" s="84" t="s">
        <v>997</v>
      </c>
      <c r="R209" s="81" t="s">
        <v>477</v>
      </c>
      <c r="S209" s="81" t="s">
        <v>1545</v>
      </c>
      <c r="T209" s="86" t="str">
        <f>HYPERLINK("http://www.youtube.com/channel/UCO0d_DTPKCIc_ikRyMHYwFQ")</f>
        <v>http://www.youtube.com/channel/UCO0d_DTPKCIc_ikRyMHYwFQ</v>
      </c>
      <c r="U209" s="81"/>
      <c r="V209" s="81" t="s">
        <v>1885</v>
      </c>
      <c r="W209" s="86" t="str">
        <f>HYPERLINK("https://www.youtube.com/watch?v=wadBvDPeE4E")</f>
        <v>https://www.youtube.com/watch?v=wadBvDPeE4E</v>
      </c>
      <c r="X209" s="81" t="s">
        <v>1886</v>
      </c>
      <c r="Y209" s="81">
        <v>0</v>
      </c>
      <c r="Z209" s="88">
        <v>41204.438263888886</v>
      </c>
      <c r="AA209" s="88">
        <v>41204.438263888886</v>
      </c>
      <c r="AB209" s="81"/>
      <c r="AC209" s="81"/>
      <c r="AD209" s="84" t="s">
        <v>1927</v>
      </c>
      <c r="AE209" s="82">
        <v>3</v>
      </c>
      <c r="AF209" s="83" t="str">
        <f>REPLACE(INDEX(GroupVertices[Group],MATCH(Edges[[#This Row],[Vertex 1]],GroupVertices[Vertex],0)),1,1,"")</f>
        <v>1</v>
      </c>
      <c r="AG209" s="83" t="str">
        <f>REPLACE(INDEX(GroupVertices[Group],MATCH(Edges[[#This Row],[Vertex 2]],GroupVertices[Vertex],0)),1,1,"")</f>
        <v>1</v>
      </c>
      <c r="AH209" s="111">
        <v>6</v>
      </c>
      <c r="AI209" s="112">
        <v>6.593406593406593</v>
      </c>
      <c r="AJ209" s="111">
        <v>4</v>
      </c>
      <c r="AK209" s="112">
        <v>4.395604395604396</v>
      </c>
      <c r="AL209" s="111">
        <v>0</v>
      </c>
      <c r="AM209" s="112">
        <v>0</v>
      </c>
      <c r="AN209" s="111">
        <v>81</v>
      </c>
      <c r="AO209" s="112">
        <v>89.01098901098901</v>
      </c>
      <c r="AP209" s="111">
        <v>91</v>
      </c>
    </row>
    <row r="210" spans="1:42" ht="15">
      <c r="A210" s="65" t="s">
        <v>478</v>
      </c>
      <c r="B210" s="65" t="s">
        <v>786</v>
      </c>
      <c r="C210" s="66" t="s">
        <v>4509</v>
      </c>
      <c r="D210" s="67">
        <v>3</v>
      </c>
      <c r="E210" s="68"/>
      <c r="F210" s="69">
        <v>40</v>
      </c>
      <c r="G210" s="66"/>
      <c r="H210" s="70"/>
      <c r="I210" s="71"/>
      <c r="J210" s="71"/>
      <c r="K210" s="35" t="s">
        <v>65</v>
      </c>
      <c r="L210" s="79">
        <v>210</v>
      </c>
      <c r="M210" s="79"/>
      <c r="N210" s="73"/>
      <c r="O210" s="81" t="s">
        <v>788</v>
      </c>
      <c r="P210" s="81" t="s">
        <v>325</v>
      </c>
      <c r="Q210" s="84" t="s">
        <v>998</v>
      </c>
      <c r="R210" s="81" t="s">
        <v>478</v>
      </c>
      <c r="S210" s="81" t="s">
        <v>1546</v>
      </c>
      <c r="T210" s="86" t="str">
        <f>HYPERLINK("http://www.youtube.com/channel/UC0XSjBFZc67Pde9N4bYiBSQ")</f>
        <v>http://www.youtube.com/channel/UC0XSjBFZc67Pde9N4bYiBSQ</v>
      </c>
      <c r="U210" s="81"/>
      <c r="V210" s="81" t="s">
        <v>1885</v>
      </c>
      <c r="W210" s="86" t="str">
        <f>HYPERLINK("https://www.youtube.com/watch?v=wadBvDPeE4E")</f>
        <v>https://www.youtube.com/watch?v=wadBvDPeE4E</v>
      </c>
      <c r="X210" s="81" t="s">
        <v>1886</v>
      </c>
      <c r="Y210" s="81">
        <v>0</v>
      </c>
      <c r="Z210" s="88">
        <v>41204.59344907408</v>
      </c>
      <c r="AA210" s="88">
        <v>41204.59344907408</v>
      </c>
      <c r="AB210" s="81"/>
      <c r="AC210" s="81"/>
      <c r="AD210" s="84" t="s">
        <v>1927</v>
      </c>
      <c r="AE210" s="82">
        <v>1</v>
      </c>
      <c r="AF210" s="83" t="str">
        <f>REPLACE(INDEX(GroupVertices[Group],MATCH(Edges[[#This Row],[Vertex 1]],GroupVertices[Vertex],0)),1,1,"")</f>
        <v>1</v>
      </c>
      <c r="AG210" s="83" t="str">
        <f>REPLACE(INDEX(GroupVertices[Group],MATCH(Edges[[#This Row],[Vertex 2]],GroupVertices[Vertex],0)),1,1,"")</f>
        <v>1</v>
      </c>
      <c r="AH210" s="111">
        <v>1</v>
      </c>
      <c r="AI210" s="112">
        <v>1.0638297872340425</v>
      </c>
      <c r="AJ210" s="111">
        <v>4</v>
      </c>
      <c r="AK210" s="112">
        <v>4.25531914893617</v>
      </c>
      <c r="AL210" s="111">
        <v>0</v>
      </c>
      <c r="AM210" s="112">
        <v>0</v>
      </c>
      <c r="AN210" s="111">
        <v>89</v>
      </c>
      <c r="AO210" s="112">
        <v>94.68085106382979</v>
      </c>
      <c r="AP210" s="111">
        <v>94</v>
      </c>
    </row>
    <row r="211" spans="1:42" ht="15">
      <c r="A211" s="65" t="s">
        <v>479</v>
      </c>
      <c r="B211" s="65" t="s">
        <v>786</v>
      </c>
      <c r="C211" s="66" t="s">
        <v>4509</v>
      </c>
      <c r="D211" s="67">
        <v>3</v>
      </c>
      <c r="E211" s="68"/>
      <c r="F211" s="69">
        <v>40</v>
      </c>
      <c r="G211" s="66"/>
      <c r="H211" s="70"/>
      <c r="I211" s="71"/>
      <c r="J211" s="71"/>
      <c r="K211" s="35" t="s">
        <v>65</v>
      </c>
      <c r="L211" s="79">
        <v>211</v>
      </c>
      <c r="M211" s="79"/>
      <c r="N211" s="73"/>
      <c r="O211" s="81" t="s">
        <v>788</v>
      </c>
      <c r="P211" s="81" t="s">
        <v>325</v>
      </c>
      <c r="Q211" s="84" t="s">
        <v>999</v>
      </c>
      <c r="R211" s="81" t="s">
        <v>479</v>
      </c>
      <c r="S211" s="81" t="s">
        <v>1547</v>
      </c>
      <c r="T211" s="86" t="str">
        <f>HYPERLINK("http://www.youtube.com/channel/UCnrhrDLWRvP2KoJwlzsctzQ")</f>
        <v>http://www.youtube.com/channel/UCnrhrDLWRvP2KoJwlzsctzQ</v>
      </c>
      <c r="U211" s="81"/>
      <c r="V211" s="81" t="s">
        <v>1885</v>
      </c>
      <c r="W211" s="86" t="str">
        <f>HYPERLINK("https://www.youtube.com/watch?v=wadBvDPeE4E")</f>
        <v>https://www.youtube.com/watch?v=wadBvDPeE4E</v>
      </c>
      <c r="X211" s="81" t="s">
        <v>1886</v>
      </c>
      <c r="Y211" s="81">
        <v>0</v>
      </c>
      <c r="Z211" s="88">
        <v>41204.60082175926</v>
      </c>
      <c r="AA211" s="88">
        <v>41204.60082175926</v>
      </c>
      <c r="AB211" s="81"/>
      <c r="AC211" s="81"/>
      <c r="AD211" s="84" t="s">
        <v>1927</v>
      </c>
      <c r="AE211" s="82">
        <v>1</v>
      </c>
      <c r="AF211" s="83" t="str">
        <f>REPLACE(INDEX(GroupVertices[Group],MATCH(Edges[[#This Row],[Vertex 1]],GroupVertices[Vertex],0)),1,1,"")</f>
        <v>1</v>
      </c>
      <c r="AG211" s="83" t="str">
        <f>REPLACE(INDEX(GroupVertices[Group],MATCH(Edges[[#This Row],[Vertex 2]],GroupVertices[Vertex],0)),1,1,"")</f>
        <v>1</v>
      </c>
      <c r="AH211" s="111">
        <v>1</v>
      </c>
      <c r="AI211" s="112">
        <v>4.545454545454546</v>
      </c>
      <c r="AJ211" s="111">
        <v>2</v>
      </c>
      <c r="AK211" s="112">
        <v>9.090909090909092</v>
      </c>
      <c r="AL211" s="111">
        <v>0</v>
      </c>
      <c r="AM211" s="112">
        <v>0</v>
      </c>
      <c r="AN211" s="111">
        <v>19</v>
      </c>
      <c r="AO211" s="112">
        <v>86.36363636363636</v>
      </c>
      <c r="AP211" s="111">
        <v>22</v>
      </c>
    </row>
    <row r="212" spans="1:42" ht="15">
      <c r="A212" s="65" t="s">
        <v>480</v>
      </c>
      <c r="B212" s="65" t="s">
        <v>786</v>
      </c>
      <c r="C212" s="66" t="s">
        <v>4510</v>
      </c>
      <c r="D212" s="67">
        <v>5.333333333333334</v>
      </c>
      <c r="E212" s="68"/>
      <c r="F212" s="69">
        <v>31.666666666666664</v>
      </c>
      <c r="G212" s="66"/>
      <c r="H212" s="70"/>
      <c r="I212" s="71"/>
      <c r="J212" s="71"/>
      <c r="K212" s="35" t="s">
        <v>65</v>
      </c>
      <c r="L212" s="79">
        <v>212</v>
      </c>
      <c r="M212" s="79"/>
      <c r="N212" s="73"/>
      <c r="O212" s="81" t="s">
        <v>788</v>
      </c>
      <c r="P212" s="81" t="s">
        <v>325</v>
      </c>
      <c r="Q212" s="84" t="s">
        <v>1000</v>
      </c>
      <c r="R212" s="81" t="s">
        <v>480</v>
      </c>
      <c r="S212" s="81" t="s">
        <v>1548</v>
      </c>
      <c r="T212" s="86" t="str">
        <f>HYPERLINK("http://www.youtube.com/channel/UC4sITMVla3iKR5KPXO8i4wQ")</f>
        <v>http://www.youtube.com/channel/UC4sITMVla3iKR5KPXO8i4wQ</v>
      </c>
      <c r="U212" s="81"/>
      <c r="V212" s="81" t="s">
        <v>1885</v>
      </c>
      <c r="W212" s="86" t="str">
        <f>HYPERLINK("https://www.youtube.com/watch?v=wadBvDPeE4E")</f>
        <v>https://www.youtube.com/watch?v=wadBvDPeE4E</v>
      </c>
      <c r="X212" s="81" t="s">
        <v>1886</v>
      </c>
      <c r="Y212" s="81">
        <v>0</v>
      </c>
      <c r="Z212" s="88">
        <v>41203.64273148148</v>
      </c>
      <c r="AA212" s="88">
        <v>41203.64273148148</v>
      </c>
      <c r="AB212" s="81"/>
      <c r="AC212" s="81"/>
      <c r="AD212" s="84" t="s">
        <v>1927</v>
      </c>
      <c r="AE212" s="82">
        <v>2</v>
      </c>
      <c r="AF212" s="83" t="str">
        <f>REPLACE(INDEX(GroupVertices[Group],MATCH(Edges[[#This Row],[Vertex 1]],GroupVertices[Vertex],0)),1,1,"")</f>
        <v>1</v>
      </c>
      <c r="AG212" s="83" t="str">
        <f>REPLACE(INDEX(GroupVertices[Group],MATCH(Edges[[#This Row],[Vertex 2]],GroupVertices[Vertex],0)),1,1,"")</f>
        <v>1</v>
      </c>
      <c r="AH212" s="111">
        <v>0</v>
      </c>
      <c r="AI212" s="112">
        <v>0</v>
      </c>
      <c r="AJ212" s="111">
        <v>0</v>
      </c>
      <c r="AK212" s="112">
        <v>0</v>
      </c>
      <c r="AL212" s="111">
        <v>0</v>
      </c>
      <c r="AM212" s="112">
        <v>0</v>
      </c>
      <c r="AN212" s="111">
        <v>5</v>
      </c>
      <c r="AO212" s="112">
        <v>100</v>
      </c>
      <c r="AP212" s="111">
        <v>5</v>
      </c>
    </row>
    <row r="213" spans="1:42" ht="15">
      <c r="A213" s="65" t="s">
        <v>480</v>
      </c>
      <c r="B213" s="65" t="s">
        <v>786</v>
      </c>
      <c r="C213" s="66" t="s">
        <v>4510</v>
      </c>
      <c r="D213" s="67">
        <v>5.333333333333334</v>
      </c>
      <c r="E213" s="68"/>
      <c r="F213" s="69">
        <v>31.666666666666664</v>
      </c>
      <c r="G213" s="66"/>
      <c r="H213" s="70"/>
      <c r="I213" s="71"/>
      <c r="J213" s="71"/>
      <c r="K213" s="35" t="s">
        <v>65</v>
      </c>
      <c r="L213" s="79">
        <v>213</v>
      </c>
      <c r="M213" s="79"/>
      <c r="N213" s="73"/>
      <c r="O213" s="81" t="s">
        <v>788</v>
      </c>
      <c r="P213" s="81" t="s">
        <v>325</v>
      </c>
      <c r="Q213" s="84" t="s">
        <v>1001</v>
      </c>
      <c r="R213" s="81" t="s">
        <v>480</v>
      </c>
      <c r="S213" s="81" t="s">
        <v>1548</v>
      </c>
      <c r="T213" s="86" t="str">
        <f>HYPERLINK("http://www.youtube.com/channel/UC4sITMVla3iKR5KPXO8i4wQ")</f>
        <v>http://www.youtube.com/channel/UC4sITMVla3iKR5KPXO8i4wQ</v>
      </c>
      <c r="U213" s="81"/>
      <c r="V213" s="81" t="s">
        <v>1885</v>
      </c>
      <c r="W213" s="86" t="str">
        <f>HYPERLINK("https://www.youtube.com/watch?v=wadBvDPeE4E")</f>
        <v>https://www.youtube.com/watch?v=wadBvDPeE4E</v>
      </c>
      <c r="X213" s="81" t="s">
        <v>1886</v>
      </c>
      <c r="Y213" s="81">
        <v>22</v>
      </c>
      <c r="Z213" s="88">
        <v>41204.66030092593</v>
      </c>
      <c r="AA213" s="88">
        <v>41204.66030092593</v>
      </c>
      <c r="AB213" s="81"/>
      <c r="AC213" s="81"/>
      <c r="AD213" s="84" t="s">
        <v>1927</v>
      </c>
      <c r="AE213" s="82">
        <v>2</v>
      </c>
      <c r="AF213" s="83" t="str">
        <f>REPLACE(INDEX(GroupVertices[Group],MATCH(Edges[[#This Row],[Vertex 1]],GroupVertices[Vertex],0)),1,1,"")</f>
        <v>1</v>
      </c>
      <c r="AG213" s="83" t="str">
        <f>REPLACE(INDEX(GroupVertices[Group],MATCH(Edges[[#This Row],[Vertex 2]],GroupVertices[Vertex],0)),1,1,"")</f>
        <v>1</v>
      </c>
      <c r="AH213" s="111">
        <v>4</v>
      </c>
      <c r="AI213" s="112">
        <v>16</v>
      </c>
      <c r="AJ213" s="111">
        <v>0</v>
      </c>
      <c r="AK213" s="112">
        <v>0</v>
      </c>
      <c r="AL213" s="111">
        <v>0</v>
      </c>
      <c r="AM213" s="112">
        <v>0</v>
      </c>
      <c r="AN213" s="111">
        <v>21</v>
      </c>
      <c r="AO213" s="112">
        <v>84</v>
      </c>
      <c r="AP213" s="111">
        <v>25</v>
      </c>
    </row>
    <row r="214" spans="1:42" ht="15">
      <c r="A214" s="65" t="s">
        <v>481</v>
      </c>
      <c r="B214" s="65" t="s">
        <v>786</v>
      </c>
      <c r="C214" s="66" t="s">
        <v>4510</v>
      </c>
      <c r="D214" s="67">
        <v>5.333333333333334</v>
      </c>
      <c r="E214" s="68"/>
      <c r="F214" s="69">
        <v>31.666666666666664</v>
      </c>
      <c r="G214" s="66"/>
      <c r="H214" s="70"/>
      <c r="I214" s="71"/>
      <c r="J214" s="71"/>
      <c r="K214" s="35" t="s">
        <v>65</v>
      </c>
      <c r="L214" s="79">
        <v>214</v>
      </c>
      <c r="M214" s="79"/>
      <c r="N214" s="73"/>
      <c r="O214" s="81" t="s">
        <v>788</v>
      </c>
      <c r="P214" s="81" t="s">
        <v>325</v>
      </c>
      <c r="Q214" s="84" t="s">
        <v>1002</v>
      </c>
      <c r="R214" s="81" t="s">
        <v>481</v>
      </c>
      <c r="S214" s="81" t="s">
        <v>1549</v>
      </c>
      <c r="T214" s="86" t="str">
        <f>HYPERLINK("http://www.youtube.com/channel/UCOZ8e2ZZOSN0o5zq_SoypbQ")</f>
        <v>http://www.youtube.com/channel/UCOZ8e2ZZOSN0o5zq_SoypbQ</v>
      </c>
      <c r="U214" s="81"/>
      <c r="V214" s="81" t="s">
        <v>1885</v>
      </c>
      <c r="W214" s="86" t="str">
        <f>HYPERLINK("https://www.youtube.com/watch?v=wadBvDPeE4E")</f>
        <v>https://www.youtube.com/watch?v=wadBvDPeE4E</v>
      </c>
      <c r="X214" s="81" t="s">
        <v>1886</v>
      </c>
      <c r="Y214" s="81">
        <v>0</v>
      </c>
      <c r="Z214" s="88">
        <v>41204.78734953704</v>
      </c>
      <c r="AA214" s="88">
        <v>41204.78734953704</v>
      </c>
      <c r="AB214" s="81"/>
      <c r="AC214" s="81"/>
      <c r="AD214" s="84" t="s">
        <v>1927</v>
      </c>
      <c r="AE214" s="82">
        <v>2</v>
      </c>
      <c r="AF214" s="83" t="str">
        <f>REPLACE(INDEX(GroupVertices[Group],MATCH(Edges[[#This Row],[Vertex 1]],GroupVertices[Vertex],0)),1,1,"")</f>
        <v>1</v>
      </c>
      <c r="AG214" s="83" t="str">
        <f>REPLACE(INDEX(GroupVertices[Group],MATCH(Edges[[#This Row],[Vertex 2]],GroupVertices[Vertex],0)),1,1,"")</f>
        <v>1</v>
      </c>
      <c r="AH214" s="111">
        <v>0</v>
      </c>
      <c r="AI214" s="112">
        <v>0</v>
      </c>
      <c r="AJ214" s="111">
        <v>0</v>
      </c>
      <c r="AK214" s="112">
        <v>0</v>
      </c>
      <c r="AL214" s="111">
        <v>0</v>
      </c>
      <c r="AM214" s="112">
        <v>0</v>
      </c>
      <c r="AN214" s="111">
        <v>3</v>
      </c>
      <c r="AO214" s="112">
        <v>100</v>
      </c>
      <c r="AP214" s="111">
        <v>3</v>
      </c>
    </row>
    <row r="215" spans="1:42" ht="15">
      <c r="A215" s="65" t="s">
        <v>481</v>
      </c>
      <c r="B215" s="65" t="s">
        <v>786</v>
      </c>
      <c r="C215" s="66" t="s">
        <v>4510</v>
      </c>
      <c r="D215" s="67">
        <v>5.333333333333334</v>
      </c>
      <c r="E215" s="68"/>
      <c r="F215" s="69">
        <v>31.666666666666664</v>
      </c>
      <c r="G215" s="66"/>
      <c r="H215" s="70"/>
      <c r="I215" s="71"/>
      <c r="J215" s="71"/>
      <c r="K215" s="35" t="s">
        <v>65</v>
      </c>
      <c r="L215" s="79">
        <v>215</v>
      </c>
      <c r="M215" s="79"/>
      <c r="N215" s="73"/>
      <c r="O215" s="81" t="s">
        <v>788</v>
      </c>
      <c r="P215" s="81" t="s">
        <v>325</v>
      </c>
      <c r="Q215" s="84" t="s">
        <v>1003</v>
      </c>
      <c r="R215" s="81" t="s">
        <v>481</v>
      </c>
      <c r="S215" s="81" t="s">
        <v>1549</v>
      </c>
      <c r="T215" s="86" t="str">
        <f>HYPERLINK("http://www.youtube.com/channel/UCOZ8e2ZZOSN0o5zq_SoypbQ")</f>
        <v>http://www.youtube.com/channel/UCOZ8e2ZZOSN0o5zq_SoypbQ</v>
      </c>
      <c r="U215" s="81"/>
      <c r="V215" s="81" t="s">
        <v>1885</v>
      </c>
      <c r="W215" s="86" t="str">
        <f>HYPERLINK("https://www.youtube.com/watch?v=wadBvDPeE4E")</f>
        <v>https://www.youtube.com/watch?v=wadBvDPeE4E</v>
      </c>
      <c r="X215" s="81" t="s">
        <v>1886</v>
      </c>
      <c r="Y215" s="81">
        <v>0</v>
      </c>
      <c r="Z215" s="88">
        <v>41204.78761574074</v>
      </c>
      <c r="AA215" s="88">
        <v>41204.78761574074</v>
      </c>
      <c r="AB215" s="81"/>
      <c r="AC215" s="81"/>
      <c r="AD215" s="84" t="s">
        <v>1927</v>
      </c>
      <c r="AE215" s="82">
        <v>2</v>
      </c>
      <c r="AF215" s="83" t="str">
        <f>REPLACE(INDEX(GroupVertices[Group],MATCH(Edges[[#This Row],[Vertex 1]],GroupVertices[Vertex],0)),1,1,"")</f>
        <v>1</v>
      </c>
      <c r="AG215" s="83" t="str">
        <f>REPLACE(INDEX(GroupVertices[Group],MATCH(Edges[[#This Row],[Vertex 2]],GroupVertices[Vertex],0)),1,1,"")</f>
        <v>1</v>
      </c>
      <c r="AH215" s="111">
        <v>0</v>
      </c>
      <c r="AI215" s="112">
        <v>0</v>
      </c>
      <c r="AJ215" s="111">
        <v>0</v>
      </c>
      <c r="AK215" s="112">
        <v>0</v>
      </c>
      <c r="AL215" s="111">
        <v>0</v>
      </c>
      <c r="AM215" s="112">
        <v>0</v>
      </c>
      <c r="AN215" s="111">
        <v>7</v>
      </c>
      <c r="AO215" s="112">
        <v>100</v>
      </c>
      <c r="AP215" s="111">
        <v>7</v>
      </c>
    </row>
    <row r="216" spans="1:42" ht="15">
      <c r="A216" s="65" t="s">
        <v>482</v>
      </c>
      <c r="B216" s="65" t="s">
        <v>786</v>
      </c>
      <c r="C216" s="66" t="s">
        <v>4509</v>
      </c>
      <c r="D216" s="67">
        <v>3</v>
      </c>
      <c r="E216" s="68"/>
      <c r="F216" s="69">
        <v>40</v>
      </c>
      <c r="G216" s="66"/>
      <c r="H216" s="70"/>
      <c r="I216" s="71"/>
      <c r="J216" s="71"/>
      <c r="K216" s="35" t="s">
        <v>65</v>
      </c>
      <c r="L216" s="79">
        <v>216</v>
      </c>
      <c r="M216" s="79"/>
      <c r="N216" s="73"/>
      <c r="O216" s="81" t="s">
        <v>788</v>
      </c>
      <c r="P216" s="81" t="s">
        <v>325</v>
      </c>
      <c r="Q216" s="84" t="s">
        <v>1004</v>
      </c>
      <c r="R216" s="81" t="s">
        <v>482</v>
      </c>
      <c r="S216" s="81" t="s">
        <v>1550</v>
      </c>
      <c r="T216" s="86" t="str">
        <f>HYPERLINK("http://www.youtube.com/channel/UC80K-iJwEmwH1L-JALZMYIg")</f>
        <v>http://www.youtube.com/channel/UC80K-iJwEmwH1L-JALZMYIg</v>
      </c>
      <c r="U216" s="81"/>
      <c r="V216" s="81" t="s">
        <v>1885</v>
      </c>
      <c r="W216" s="86" t="str">
        <f>HYPERLINK("https://www.youtube.com/watch?v=wadBvDPeE4E")</f>
        <v>https://www.youtube.com/watch?v=wadBvDPeE4E</v>
      </c>
      <c r="X216" s="81" t="s">
        <v>1886</v>
      </c>
      <c r="Y216" s="81">
        <v>10</v>
      </c>
      <c r="Z216" s="88">
        <v>41204.90219907407</v>
      </c>
      <c r="AA216" s="88">
        <v>41204.90219907407</v>
      </c>
      <c r="AB216" s="81"/>
      <c r="AC216" s="81"/>
      <c r="AD216" s="84" t="s">
        <v>1927</v>
      </c>
      <c r="AE216" s="82">
        <v>1</v>
      </c>
      <c r="AF216" s="83" t="str">
        <f>REPLACE(INDEX(GroupVertices[Group],MATCH(Edges[[#This Row],[Vertex 1]],GroupVertices[Vertex],0)),1,1,"")</f>
        <v>1</v>
      </c>
      <c r="AG216" s="83" t="str">
        <f>REPLACE(INDEX(GroupVertices[Group],MATCH(Edges[[#This Row],[Vertex 2]],GroupVertices[Vertex],0)),1,1,"")</f>
        <v>1</v>
      </c>
      <c r="AH216" s="111">
        <v>1</v>
      </c>
      <c r="AI216" s="112">
        <v>10</v>
      </c>
      <c r="AJ216" s="111">
        <v>0</v>
      </c>
      <c r="AK216" s="112">
        <v>0</v>
      </c>
      <c r="AL216" s="111">
        <v>0</v>
      </c>
      <c r="AM216" s="112">
        <v>0</v>
      </c>
      <c r="AN216" s="111">
        <v>9</v>
      </c>
      <c r="AO216" s="112">
        <v>90</v>
      </c>
      <c r="AP216" s="111">
        <v>10</v>
      </c>
    </row>
    <row r="217" spans="1:42" ht="15">
      <c r="A217" s="65" t="s">
        <v>483</v>
      </c>
      <c r="B217" s="65" t="s">
        <v>786</v>
      </c>
      <c r="C217" s="66" t="s">
        <v>4509</v>
      </c>
      <c r="D217" s="67">
        <v>3</v>
      </c>
      <c r="E217" s="68"/>
      <c r="F217" s="69">
        <v>40</v>
      </c>
      <c r="G217" s="66"/>
      <c r="H217" s="70"/>
      <c r="I217" s="71"/>
      <c r="J217" s="71"/>
      <c r="K217" s="35" t="s">
        <v>65</v>
      </c>
      <c r="L217" s="79">
        <v>217</v>
      </c>
      <c r="M217" s="79"/>
      <c r="N217" s="73"/>
      <c r="O217" s="81" t="s">
        <v>788</v>
      </c>
      <c r="P217" s="81" t="s">
        <v>325</v>
      </c>
      <c r="Q217" s="84" t="s">
        <v>1005</v>
      </c>
      <c r="R217" s="81" t="s">
        <v>483</v>
      </c>
      <c r="S217" s="81" t="s">
        <v>1551</v>
      </c>
      <c r="T217" s="86" t="str">
        <f>HYPERLINK("http://www.youtube.com/channel/UCKn14BKTwi54h2efB3lkKcg")</f>
        <v>http://www.youtube.com/channel/UCKn14BKTwi54h2efB3lkKcg</v>
      </c>
      <c r="U217" s="81"/>
      <c r="V217" s="81" t="s">
        <v>1885</v>
      </c>
      <c r="W217" s="86" t="str">
        <f>HYPERLINK("https://www.youtube.com/watch?v=wadBvDPeE4E")</f>
        <v>https://www.youtube.com/watch?v=wadBvDPeE4E</v>
      </c>
      <c r="X217" s="81" t="s">
        <v>1886</v>
      </c>
      <c r="Y217" s="81">
        <v>0</v>
      </c>
      <c r="Z217" s="88">
        <v>41204.971666666665</v>
      </c>
      <c r="AA217" s="88">
        <v>41204.971666666665</v>
      </c>
      <c r="AB217" s="81"/>
      <c r="AC217" s="81"/>
      <c r="AD217" s="84" t="s">
        <v>1927</v>
      </c>
      <c r="AE217" s="82">
        <v>1</v>
      </c>
      <c r="AF217" s="83" t="str">
        <f>REPLACE(INDEX(GroupVertices[Group],MATCH(Edges[[#This Row],[Vertex 1]],GroupVertices[Vertex],0)),1,1,"")</f>
        <v>1</v>
      </c>
      <c r="AG217" s="83" t="str">
        <f>REPLACE(INDEX(GroupVertices[Group],MATCH(Edges[[#This Row],[Vertex 2]],GroupVertices[Vertex],0)),1,1,"")</f>
        <v>1</v>
      </c>
      <c r="AH217" s="111">
        <v>0</v>
      </c>
      <c r="AI217" s="112">
        <v>0</v>
      </c>
      <c r="AJ217" s="111">
        <v>1</v>
      </c>
      <c r="AK217" s="112">
        <v>14.285714285714286</v>
      </c>
      <c r="AL217" s="111">
        <v>0</v>
      </c>
      <c r="AM217" s="112">
        <v>0</v>
      </c>
      <c r="AN217" s="111">
        <v>6</v>
      </c>
      <c r="AO217" s="112">
        <v>85.71428571428571</v>
      </c>
      <c r="AP217" s="111">
        <v>7</v>
      </c>
    </row>
    <row r="218" spans="1:42" ht="15">
      <c r="A218" s="65" t="s">
        <v>484</v>
      </c>
      <c r="B218" s="65" t="s">
        <v>786</v>
      </c>
      <c r="C218" s="66" t="s">
        <v>4510</v>
      </c>
      <c r="D218" s="67">
        <v>5.333333333333334</v>
      </c>
      <c r="E218" s="68"/>
      <c r="F218" s="69">
        <v>31.666666666666664</v>
      </c>
      <c r="G218" s="66"/>
      <c r="H218" s="70"/>
      <c r="I218" s="71"/>
      <c r="J218" s="71"/>
      <c r="K218" s="35" t="s">
        <v>65</v>
      </c>
      <c r="L218" s="79">
        <v>218</v>
      </c>
      <c r="M218" s="79"/>
      <c r="N218" s="73"/>
      <c r="O218" s="81" t="s">
        <v>788</v>
      </c>
      <c r="P218" s="81" t="s">
        <v>325</v>
      </c>
      <c r="Q218" s="84" t="s">
        <v>1006</v>
      </c>
      <c r="R218" s="81" t="s">
        <v>484</v>
      </c>
      <c r="S218" s="81" t="s">
        <v>1552</v>
      </c>
      <c r="T218" s="86" t="str">
        <f>HYPERLINK("http://www.youtube.com/channel/UCME5F1eMaSBeBEiIQcPWV-Q")</f>
        <v>http://www.youtube.com/channel/UCME5F1eMaSBeBEiIQcPWV-Q</v>
      </c>
      <c r="U218" s="81"/>
      <c r="V218" s="81" t="s">
        <v>1885</v>
      </c>
      <c r="W218" s="86" t="str">
        <f>HYPERLINK("https://www.youtube.com/watch?v=wadBvDPeE4E")</f>
        <v>https://www.youtube.com/watch?v=wadBvDPeE4E</v>
      </c>
      <c r="X218" s="81" t="s">
        <v>1886</v>
      </c>
      <c r="Y218" s="81">
        <v>0</v>
      </c>
      <c r="Z218" s="88">
        <v>41205.17201388889</v>
      </c>
      <c r="AA218" s="88">
        <v>41205.17201388889</v>
      </c>
      <c r="AB218" s="81"/>
      <c r="AC218" s="81"/>
      <c r="AD218" s="84" t="s">
        <v>1927</v>
      </c>
      <c r="AE218" s="82">
        <v>2</v>
      </c>
      <c r="AF218" s="83" t="str">
        <f>REPLACE(INDEX(GroupVertices[Group],MATCH(Edges[[#This Row],[Vertex 1]],GroupVertices[Vertex],0)),1,1,"")</f>
        <v>1</v>
      </c>
      <c r="AG218" s="83" t="str">
        <f>REPLACE(INDEX(GroupVertices[Group],MATCH(Edges[[#This Row],[Vertex 2]],GroupVertices[Vertex],0)),1,1,"")</f>
        <v>1</v>
      </c>
      <c r="AH218" s="111">
        <v>1</v>
      </c>
      <c r="AI218" s="112">
        <v>1.1494252873563218</v>
      </c>
      <c r="AJ218" s="111">
        <v>3</v>
      </c>
      <c r="AK218" s="112">
        <v>3.4482758620689653</v>
      </c>
      <c r="AL218" s="111">
        <v>0</v>
      </c>
      <c r="AM218" s="112">
        <v>0</v>
      </c>
      <c r="AN218" s="111">
        <v>83</v>
      </c>
      <c r="AO218" s="112">
        <v>95.40229885057471</v>
      </c>
      <c r="AP218" s="111">
        <v>87</v>
      </c>
    </row>
    <row r="219" spans="1:42" ht="15">
      <c r="A219" s="65" t="s">
        <v>484</v>
      </c>
      <c r="B219" s="65" t="s">
        <v>786</v>
      </c>
      <c r="C219" s="66" t="s">
        <v>4510</v>
      </c>
      <c r="D219" s="67">
        <v>5.333333333333334</v>
      </c>
      <c r="E219" s="68"/>
      <c r="F219" s="69">
        <v>31.666666666666664</v>
      </c>
      <c r="G219" s="66"/>
      <c r="H219" s="70"/>
      <c r="I219" s="71"/>
      <c r="J219" s="71"/>
      <c r="K219" s="35" t="s">
        <v>65</v>
      </c>
      <c r="L219" s="79">
        <v>219</v>
      </c>
      <c r="M219" s="79"/>
      <c r="N219" s="73"/>
      <c r="O219" s="81" t="s">
        <v>788</v>
      </c>
      <c r="P219" s="81" t="s">
        <v>325</v>
      </c>
      <c r="Q219" s="84" t="s">
        <v>1007</v>
      </c>
      <c r="R219" s="81" t="s">
        <v>484</v>
      </c>
      <c r="S219" s="81" t="s">
        <v>1552</v>
      </c>
      <c r="T219" s="86" t="str">
        <f>HYPERLINK("http://www.youtube.com/channel/UCME5F1eMaSBeBEiIQcPWV-Q")</f>
        <v>http://www.youtube.com/channel/UCME5F1eMaSBeBEiIQcPWV-Q</v>
      </c>
      <c r="U219" s="81"/>
      <c r="V219" s="81" t="s">
        <v>1885</v>
      </c>
      <c r="W219" s="86" t="str">
        <f>HYPERLINK("https://www.youtube.com/watch?v=wadBvDPeE4E")</f>
        <v>https://www.youtube.com/watch?v=wadBvDPeE4E</v>
      </c>
      <c r="X219" s="81" t="s">
        <v>1886</v>
      </c>
      <c r="Y219" s="81">
        <v>0</v>
      </c>
      <c r="Z219" s="88">
        <v>41205.17296296296</v>
      </c>
      <c r="AA219" s="88">
        <v>41205.17296296296</v>
      </c>
      <c r="AB219" s="81"/>
      <c r="AC219" s="81"/>
      <c r="AD219" s="84" t="s">
        <v>1927</v>
      </c>
      <c r="AE219" s="82">
        <v>2</v>
      </c>
      <c r="AF219" s="83" t="str">
        <f>REPLACE(INDEX(GroupVertices[Group],MATCH(Edges[[#This Row],[Vertex 1]],GroupVertices[Vertex],0)),1,1,"")</f>
        <v>1</v>
      </c>
      <c r="AG219" s="83" t="str">
        <f>REPLACE(INDEX(GroupVertices[Group],MATCH(Edges[[#This Row],[Vertex 2]],GroupVertices[Vertex],0)),1,1,"")</f>
        <v>1</v>
      </c>
      <c r="AH219" s="111">
        <v>2</v>
      </c>
      <c r="AI219" s="112">
        <v>9.090909090909092</v>
      </c>
      <c r="AJ219" s="111">
        <v>0</v>
      </c>
      <c r="AK219" s="112">
        <v>0</v>
      </c>
      <c r="AL219" s="111">
        <v>0</v>
      </c>
      <c r="AM219" s="112">
        <v>0</v>
      </c>
      <c r="AN219" s="111">
        <v>20</v>
      </c>
      <c r="AO219" s="112">
        <v>90.9090909090909</v>
      </c>
      <c r="AP219" s="111">
        <v>22</v>
      </c>
    </row>
    <row r="220" spans="1:42" ht="15">
      <c r="A220" s="65" t="s">
        <v>485</v>
      </c>
      <c r="B220" s="65" t="s">
        <v>786</v>
      </c>
      <c r="C220" s="66" t="s">
        <v>4509</v>
      </c>
      <c r="D220" s="67">
        <v>3</v>
      </c>
      <c r="E220" s="68"/>
      <c r="F220" s="69">
        <v>40</v>
      </c>
      <c r="G220" s="66"/>
      <c r="H220" s="70"/>
      <c r="I220" s="71"/>
      <c r="J220" s="71"/>
      <c r="K220" s="35" t="s">
        <v>65</v>
      </c>
      <c r="L220" s="79">
        <v>220</v>
      </c>
      <c r="M220" s="79"/>
      <c r="N220" s="73"/>
      <c r="O220" s="81" t="s">
        <v>788</v>
      </c>
      <c r="P220" s="81" t="s">
        <v>325</v>
      </c>
      <c r="Q220" s="84" t="s">
        <v>1008</v>
      </c>
      <c r="R220" s="81" t="s">
        <v>485</v>
      </c>
      <c r="S220" s="81" t="s">
        <v>1553</v>
      </c>
      <c r="T220" s="86" t="str">
        <f>HYPERLINK("http://www.youtube.com/channel/UCTkydyNvBtEjOX7sD17Di8w")</f>
        <v>http://www.youtube.com/channel/UCTkydyNvBtEjOX7sD17Di8w</v>
      </c>
      <c r="U220" s="81"/>
      <c r="V220" s="81" t="s">
        <v>1885</v>
      </c>
      <c r="W220" s="86" t="str">
        <f>HYPERLINK("https://www.youtube.com/watch?v=wadBvDPeE4E")</f>
        <v>https://www.youtube.com/watch?v=wadBvDPeE4E</v>
      </c>
      <c r="X220" s="81" t="s">
        <v>1886</v>
      </c>
      <c r="Y220" s="81">
        <v>1</v>
      </c>
      <c r="Z220" s="88">
        <v>41205.866319444445</v>
      </c>
      <c r="AA220" s="88">
        <v>41205.866319444445</v>
      </c>
      <c r="AB220" s="81"/>
      <c r="AC220" s="81"/>
      <c r="AD220" s="84" t="s">
        <v>1927</v>
      </c>
      <c r="AE220" s="82">
        <v>1</v>
      </c>
      <c r="AF220" s="83" t="str">
        <f>REPLACE(INDEX(GroupVertices[Group],MATCH(Edges[[#This Row],[Vertex 1]],GroupVertices[Vertex],0)),1,1,"")</f>
        <v>1</v>
      </c>
      <c r="AG220" s="83" t="str">
        <f>REPLACE(INDEX(GroupVertices[Group],MATCH(Edges[[#This Row],[Vertex 2]],GroupVertices[Vertex],0)),1,1,"")</f>
        <v>1</v>
      </c>
      <c r="AH220" s="111">
        <v>1</v>
      </c>
      <c r="AI220" s="112">
        <v>1.1363636363636365</v>
      </c>
      <c r="AJ220" s="111">
        <v>0</v>
      </c>
      <c r="AK220" s="112">
        <v>0</v>
      </c>
      <c r="AL220" s="111">
        <v>0</v>
      </c>
      <c r="AM220" s="112">
        <v>0</v>
      </c>
      <c r="AN220" s="111">
        <v>87</v>
      </c>
      <c r="AO220" s="112">
        <v>98.86363636363636</v>
      </c>
      <c r="AP220" s="111">
        <v>88</v>
      </c>
    </row>
    <row r="221" spans="1:42" ht="15">
      <c r="A221" s="65" t="s">
        <v>486</v>
      </c>
      <c r="B221" s="65" t="s">
        <v>786</v>
      </c>
      <c r="C221" s="66" t="s">
        <v>4510</v>
      </c>
      <c r="D221" s="67">
        <v>5.333333333333334</v>
      </c>
      <c r="E221" s="68"/>
      <c r="F221" s="69">
        <v>31.666666666666664</v>
      </c>
      <c r="G221" s="66"/>
      <c r="H221" s="70"/>
      <c r="I221" s="71"/>
      <c r="J221" s="71"/>
      <c r="K221" s="35" t="s">
        <v>65</v>
      </c>
      <c r="L221" s="79">
        <v>221</v>
      </c>
      <c r="M221" s="79"/>
      <c r="N221" s="73"/>
      <c r="O221" s="81" t="s">
        <v>788</v>
      </c>
      <c r="P221" s="81" t="s">
        <v>325</v>
      </c>
      <c r="Q221" s="84" t="s">
        <v>1009</v>
      </c>
      <c r="R221" s="81" t="s">
        <v>486</v>
      </c>
      <c r="S221" s="81" t="s">
        <v>1554</v>
      </c>
      <c r="T221" s="86" t="str">
        <f>HYPERLINK("http://www.youtube.com/channel/UClP0ucxUZqe-x_o_nPZQBPA")</f>
        <v>http://www.youtube.com/channel/UClP0ucxUZqe-x_o_nPZQBPA</v>
      </c>
      <c r="U221" s="81"/>
      <c r="V221" s="81" t="s">
        <v>1885</v>
      </c>
      <c r="W221" s="86" t="str">
        <f>HYPERLINK("https://www.youtube.com/watch?v=wadBvDPeE4E")</f>
        <v>https://www.youtube.com/watch?v=wadBvDPeE4E</v>
      </c>
      <c r="X221" s="81" t="s">
        <v>1886</v>
      </c>
      <c r="Y221" s="81">
        <v>0</v>
      </c>
      <c r="Z221" s="88">
        <v>41204.99251157408</v>
      </c>
      <c r="AA221" s="88">
        <v>41204.99251157408</v>
      </c>
      <c r="AB221" s="81"/>
      <c r="AC221" s="81"/>
      <c r="AD221" s="84" t="s">
        <v>1927</v>
      </c>
      <c r="AE221" s="82">
        <v>2</v>
      </c>
      <c r="AF221" s="83" t="str">
        <f>REPLACE(INDEX(GroupVertices[Group],MATCH(Edges[[#This Row],[Vertex 1]],GroupVertices[Vertex],0)),1,1,"")</f>
        <v>1</v>
      </c>
      <c r="AG221" s="83" t="str">
        <f>REPLACE(INDEX(GroupVertices[Group],MATCH(Edges[[#This Row],[Vertex 2]],GroupVertices[Vertex],0)),1,1,"")</f>
        <v>1</v>
      </c>
      <c r="AH221" s="111">
        <v>4</v>
      </c>
      <c r="AI221" s="112">
        <v>4.651162790697675</v>
      </c>
      <c r="AJ221" s="111">
        <v>2</v>
      </c>
      <c r="AK221" s="112">
        <v>2.3255813953488373</v>
      </c>
      <c r="AL221" s="111">
        <v>0</v>
      </c>
      <c r="AM221" s="112">
        <v>0</v>
      </c>
      <c r="AN221" s="111">
        <v>80</v>
      </c>
      <c r="AO221" s="112">
        <v>93.02325581395348</v>
      </c>
      <c r="AP221" s="111">
        <v>86</v>
      </c>
    </row>
    <row r="222" spans="1:42" ht="15">
      <c r="A222" s="65" t="s">
        <v>486</v>
      </c>
      <c r="B222" s="65" t="s">
        <v>786</v>
      </c>
      <c r="C222" s="66" t="s">
        <v>4510</v>
      </c>
      <c r="D222" s="67">
        <v>5.333333333333334</v>
      </c>
      <c r="E222" s="68"/>
      <c r="F222" s="69">
        <v>31.666666666666664</v>
      </c>
      <c r="G222" s="66"/>
      <c r="H222" s="70"/>
      <c r="I222" s="71"/>
      <c r="J222" s="71"/>
      <c r="K222" s="35" t="s">
        <v>65</v>
      </c>
      <c r="L222" s="79">
        <v>222</v>
      </c>
      <c r="M222" s="79"/>
      <c r="N222" s="73"/>
      <c r="O222" s="81" t="s">
        <v>788</v>
      </c>
      <c r="P222" s="81" t="s">
        <v>325</v>
      </c>
      <c r="Q222" s="84" t="s">
        <v>1010</v>
      </c>
      <c r="R222" s="81" t="s">
        <v>486</v>
      </c>
      <c r="S222" s="81" t="s">
        <v>1554</v>
      </c>
      <c r="T222" s="86" t="str">
        <f>HYPERLINK("http://www.youtube.com/channel/UClP0ucxUZqe-x_o_nPZQBPA")</f>
        <v>http://www.youtube.com/channel/UClP0ucxUZqe-x_o_nPZQBPA</v>
      </c>
      <c r="U222" s="81"/>
      <c r="V222" s="81" t="s">
        <v>1885</v>
      </c>
      <c r="W222" s="86" t="str">
        <f>HYPERLINK("https://www.youtube.com/watch?v=wadBvDPeE4E")</f>
        <v>https://www.youtube.com/watch?v=wadBvDPeE4E</v>
      </c>
      <c r="X222" s="81" t="s">
        <v>1886</v>
      </c>
      <c r="Y222" s="81">
        <v>0</v>
      </c>
      <c r="Z222" s="88">
        <v>41205.877384259256</v>
      </c>
      <c r="AA222" s="88">
        <v>41205.877384259256</v>
      </c>
      <c r="AB222" s="81"/>
      <c r="AC222" s="81"/>
      <c r="AD222" s="84" t="s">
        <v>1927</v>
      </c>
      <c r="AE222" s="82">
        <v>2</v>
      </c>
      <c r="AF222" s="83" t="str">
        <f>REPLACE(INDEX(GroupVertices[Group],MATCH(Edges[[#This Row],[Vertex 1]],GroupVertices[Vertex],0)),1,1,"")</f>
        <v>1</v>
      </c>
      <c r="AG222" s="83" t="str">
        <f>REPLACE(INDEX(GroupVertices[Group],MATCH(Edges[[#This Row],[Vertex 2]],GroupVertices[Vertex],0)),1,1,"")</f>
        <v>1</v>
      </c>
      <c r="AH222" s="111">
        <v>0</v>
      </c>
      <c r="AI222" s="112">
        <v>0</v>
      </c>
      <c r="AJ222" s="111">
        <v>0</v>
      </c>
      <c r="AK222" s="112">
        <v>0</v>
      </c>
      <c r="AL222" s="111">
        <v>0</v>
      </c>
      <c r="AM222" s="112">
        <v>0</v>
      </c>
      <c r="AN222" s="111">
        <v>16</v>
      </c>
      <c r="AO222" s="112">
        <v>100</v>
      </c>
      <c r="AP222" s="111">
        <v>16</v>
      </c>
    </row>
    <row r="223" spans="1:42" ht="15">
      <c r="A223" s="65" t="s">
        <v>487</v>
      </c>
      <c r="B223" s="65" t="s">
        <v>786</v>
      </c>
      <c r="C223" s="66" t="s">
        <v>4509</v>
      </c>
      <c r="D223" s="67">
        <v>3</v>
      </c>
      <c r="E223" s="68"/>
      <c r="F223" s="69">
        <v>40</v>
      </c>
      <c r="G223" s="66"/>
      <c r="H223" s="70"/>
      <c r="I223" s="71"/>
      <c r="J223" s="71"/>
      <c r="K223" s="35" t="s">
        <v>65</v>
      </c>
      <c r="L223" s="79">
        <v>223</v>
      </c>
      <c r="M223" s="79"/>
      <c r="N223" s="73"/>
      <c r="O223" s="81" t="s">
        <v>788</v>
      </c>
      <c r="P223" s="81" t="s">
        <v>325</v>
      </c>
      <c r="Q223" s="84" t="s">
        <v>1011</v>
      </c>
      <c r="R223" s="81" t="s">
        <v>487</v>
      </c>
      <c r="S223" s="81" t="s">
        <v>1555</v>
      </c>
      <c r="T223" s="86" t="str">
        <f>HYPERLINK("http://www.youtube.com/channel/UCo7GzEp1TtihFueS7zGiYCg")</f>
        <v>http://www.youtube.com/channel/UCo7GzEp1TtihFueS7zGiYCg</v>
      </c>
      <c r="U223" s="81"/>
      <c r="V223" s="81" t="s">
        <v>1885</v>
      </c>
      <c r="W223" s="86" t="str">
        <f>HYPERLINK("https://www.youtube.com/watch?v=wadBvDPeE4E")</f>
        <v>https://www.youtube.com/watch?v=wadBvDPeE4E</v>
      </c>
      <c r="X223" s="81" t="s">
        <v>1886</v>
      </c>
      <c r="Y223" s="81">
        <v>0</v>
      </c>
      <c r="Z223" s="88">
        <v>41206.10494212963</v>
      </c>
      <c r="AA223" s="88">
        <v>41206.10494212963</v>
      </c>
      <c r="AB223" s="81"/>
      <c r="AC223" s="81"/>
      <c r="AD223" s="84" t="s">
        <v>1927</v>
      </c>
      <c r="AE223" s="82">
        <v>1</v>
      </c>
      <c r="AF223" s="83" t="str">
        <f>REPLACE(INDEX(GroupVertices[Group],MATCH(Edges[[#This Row],[Vertex 1]],GroupVertices[Vertex],0)),1,1,"")</f>
        <v>1</v>
      </c>
      <c r="AG223" s="83" t="str">
        <f>REPLACE(INDEX(GroupVertices[Group],MATCH(Edges[[#This Row],[Vertex 2]],GroupVertices[Vertex],0)),1,1,"")</f>
        <v>1</v>
      </c>
      <c r="AH223" s="111">
        <v>3</v>
      </c>
      <c r="AI223" s="112">
        <v>3.7974683544303796</v>
      </c>
      <c r="AJ223" s="111">
        <v>2</v>
      </c>
      <c r="AK223" s="112">
        <v>2.5316455696202533</v>
      </c>
      <c r="AL223" s="111">
        <v>0</v>
      </c>
      <c r="AM223" s="112">
        <v>0</v>
      </c>
      <c r="AN223" s="111">
        <v>74</v>
      </c>
      <c r="AO223" s="112">
        <v>93.67088607594937</v>
      </c>
      <c r="AP223" s="111">
        <v>79</v>
      </c>
    </row>
    <row r="224" spans="1:42" ht="15">
      <c r="A224" s="65" t="s">
        <v>488</v>
      </c>
      <c r="B224" s="65" t="s">
        <v>786</v>
      </c>
      <c r="C224" s="66" t="s">
        <v>4509</v>
      </c>
      <c r="D224" s="67">
        <v>3</v>
      </c>
      <c r="E224" s="68"/>
      <c r="F224" s="69">
        <v>40</v>
      </c>
      <c r="G224" s="66"/>
      <c r="H224" s="70"/>
      <c r="I224" s="71"/>
      <c r="J224" s="71"/>
      <c r="K224" s="35" t="s">
        <v>65</v>
      </c>
      <c r="L224" s="79">
        <v>224</v>
      </c>
      <c r="M224" s="79"/>
      <c r="N224" s="73"/>
      <c r="O224" s="81" t="s">
        <v>788</v>
      </c>
      <c r="P224" s="81" t="s">
        <v>325</v>
      </c>
      <c r="Q224" s="84" t="s">
        <v>1012</v>
      </c>
      <c r="R224" s="81" t="s">
        <v>488</v>
      </c>
      <c r="S224" s="81" t="s">
        <v>1556</v>
      </c>
      <c r="T224" s="86" t="str">
        <f>HYPERLINK("http://www.youtube.com/channel/UCnfOIxXxHtCq2hHoltwLlsg")</f>
        <v>http://www.youtube.com/channel/UCnfOIxXxHtCq2hHoltwLlsg</v>
      </c>
      <c r="U224" s="81"/>
      <c r="V224" s="81" t="s">
        <v>1885</v>
      </c>
      <c r="W224" s="86" t="str">
        <f>HYPERLINK("https://www.youtube.com/watch?v=wadBvDPeE4E")</f>
        <v>https://www.youtube.com/watch?v=wadBvDPeE4E</v>
      </c>
      <c r="X224" s="81" t="s">
        <v>1886</v>
      </c>
      <c r="Y224" s="81">
        <v>0</v>
      </c>
      <c r="Z224" s="88">
        <v>41206.19552083333</v>
      </c>
      <c r="AA224" s="88">
        <v>41206.19552083333</v>
      </c>
      <c r="AB224" s="81"/>
      <c r="AC224" s="81"/>
      <c r="AD224" s="84" t="s">
        <v>1927</v>
      </c>
      <c r="AE224" s="82">
        <v>1</v>
      </c>
      <c r="AF224" s="83" t="str">
        <f>REPLACE(INDEX(GroupVertices[Group],MATCH(Edges[[#This Row],[Vertex 1]],GroupVertices[Vertex],0)),1,1,"")</f>
        <v>1</v>
      </c>
      <c r="AG224" s="83" t="str">
        <f>REPLACE(INDEX(GroupVertices[Group],MATCH(Edges[[#This Row],[Vertex 2]],GroupVertices[Vertex],0)),1,1,"")</f>
        <v>1</v>
      </c>
      <c r="AH224" s="111">
        <v>0</v>
      </c>
      <c r="AI224" s="112">
        <v>0</v>
      </c>
      <c r="AJ224" s="111">
        <v>0</v>
      </c>
      <c r="AK224" s="112">
        <v>0</v>
      </c>
      <c r="AL224" s="111">
        <v>0</v>
      </c>
      <c r="AM224" s="112">
        <v>0</v>
      </c>
      <c r="AN224" s="111">
        <v>6</v>
      </c>
      <c r="AO224" s="112">
        <v>100</v>
      </c>
      <c r="AP224" s="111">
        <v>6</v>
      </c>
    </row>
    <row r="225" spans="1:42" ht="15">
      <c r="A225" s="65" t="s">
        <v>489</v>
      </c>
      <c r="B225" s="65" t="s">
        <v>786</v>
      </c>
      <c r="C225" s="66" t="s">
        <v>4509</v>
      </c>
      <c r="D225" s="67">
        <v>3</v>
      </c>
      <c r="E225" s="68"/>
      <c r="F225" s="69">
        <v>40</v>
      </c>
      <c r="G225" s="66"/>
      <c r="H225" s="70"/>
      <c r="I225" s="71"/>
      <c r="J225" s="71"/>
      <c r="K225" s="35" t="s">
        <v>65</v>
      </c>
      <c r="L225" s="79">
        <v>225</v>
      </c>
      <c r="M225" s="79"/>
      <c r="N225" s="73"/>
      <c r="O225" s="81" t="s">
        <v>788</v>
      </c>
      <c r="P225" s="81" t="s">
        <v>325</v>
      </c>
      <c r="Q225" s="84" t="s">
        <v>1013</v>
      </c>
      <c r="R225" s="81" t="s">
        <v>489</v>
      </c>
      <c r="S225" s="81" t="s">
        <v>1557</v>
      </c>
      <c r="T225" s="86" t="str">
        <f>HYPERLINK("http://www.youtube.com/channel/UCn9qCtKejAR9WHTo0N6slUg")</f>
        <v>http://www.youtube.com/channel/UCn9qCtKejAR9WHTo0N6slUg</v>
      </c>
      <c r="U225" s="81"/>
      <c r="V225" s="81" t="s">
        <v>1885</v>
      </c>
      <c r="W225" s="86" t="str">
        <f>HYPERLINK("https://www.youtube.com/watch?v=wadBvDPeE4E")</f>
        <v>https://www.youtube.com/watch?v=wadBvDPeE4E</v>
      </c>
      <c r="X225" s="81" t="s">
        <v>1886</v>
      </c>
      <c r="Y225" s="81">
        <v>0</v>
      </c>
      <c r="Z225" s="88">
        <v>41206.407905092594</v>
      </c>
      <c r="AA225" s="88">
        <v>41206.407905092594</v>
      </c>
      <c r="AB225" s="81"/>
      <c r="AC225" s="81"/>
      <c r="AD225" s="84" t="s">
        <v>1927</v>
      </c>
      <c r="AE225" s="82">
        <v>1</v>
      </c>
      <c r="AF225" s="83" t="str">
        <f>REPLACE(INDEX(GroupVertices[Group],MATCH(Edges[[#This Row],[Vertex 1]],GroupVertices[Vertex],0)),1,1,"")</f>
        <v>1</v>
      </c>
      <c r="AG225" s="83" t="str">
        <f>REPLACE(INDEX(GroupVertices[Group],MATCH(Edges[[#This Row],[Vertex 2]],GroupVertices[Vertex],0)),1,1,"")</f>
        <v>1</v>
      </c>
      <c r="AH225" s="111">
        <v>0</v>
      </c>
      <c r="AI225" s="112">
        <v>0</v>
      </c>
      <c r="AJ225" s="111">
        <v>3</v>
      </c>
      <c r="AK225" s="112">
        <v>12</v>
      </c>
      <c r="AL225" s="111">
        <v>0</v>
      </c>
      <c r="AM225" s="112">
        <v>0</v>
      </c>
      <c r="AN225" s="111">
        <v>22</v>
      </c>
      <c r="AO225" s="112">
        <v>88</v>
      </c>
      <c r="AP225" s="111">
        <v>25</v>
      </c>
    </row>
    <row r="226" spans="1:42" ht="15">
      <c r="A226" s="65" t="s">
        <v>490</v>
      </c>
      <c r="B226" s="65" t="s">
        <v>786</v>
      </c>
      <c r="C226" s="66" t="s">
        <v>4509</v>
      </c>
      <c r="D226" s="67">
        <v>3</v>
      </c>
      <c r="E226" s="68"/>
      <c r="F226" s="69">
        <v>40</v>
      </c>
      <c r="G226" s="66"/>
      <c r="H226" s="70"/>
      <c r="I226" s="71"/>
      <c r="J226" s="71"/>
      <c r="K226" s="35" t="s">
        <v>65</v>
      </c>
      <c r="L226" s="79">
        <v>226</v>
      </c>
      <c r="M226" s="79"/>
      <c r="N226" s="73"/>
      <c r="O226" s="81" t="s">
        <v>788</v>
      </c>
      <c r="P226" s="81" t="s">
        <v>325</v>
      </c>
      <c r="Q226" s="84" t="s">
        <v>1014</v>
      </c>
      <c r="R226" s="81" t="s">
        <v>490</v>
      </c>
      <c r="S226" s="81" t="s">
        <v>1558</v>
      </c>
      <c r="T226" s="86" t="str">
        <f>HYPERLINK("http://www.youtube.com/channel/UCs8UJ9JazQwL5AI8KsdplrA")</f>
        <v>http://www.youtube.com/channel/UCs8UJ9JazQwL5AI8KsdplrA</v>
      </c>
      <c r="U226" s="81"/>
      <c r="V226" s="81" t="s">
        <v>1885</v>
      </c>
      <c r="W226" s="86" t="str">
        <f>HYPERLINK("https://www.youtube.com/watch?v=wadBvDPeE4E")</f>
        <v>https://www.youtube.com/watch?v=wadBvDPeE4E</v>
      </c>
      <c r="X226" s="81" t="s">
        <v>1886</v>
      </c>
      <c r="Y226" s="81">
        <v>0</v>
      </c>
      <c r="Z226" s="88">
        <v>41206.480405092596</v>
      </c>
      <c r="AA226" s="88">
        <v>41206.480405092596</v>
      </c>
      <c r="AB226" s="81"/>
      <c r="AC226" s="81"/>
      <c r="AD226" s="84" t="s">
        <v>1927</v>
      </c>
      <c r="AE226" s="82">
        <v>1</v>
      </c>
      <c r="AF226" s="83" t="str">
        <f>REPLACE(INDEX(GroupVertices[Group],MATCH(Edges[[#This Row],[Vertex 1]],GroupVertices[Vertex],0)),1,1,"")</f>
        <v>1</v>
      </c>
      <c r="AG226" s="83" t="str">
        <f>REPLACE(INDEX(GroupVertices[Group],MATCH(Edges[[#This Row],[Vertex 2]],GroupVertices[Vertex],0)),1,1,"")</f>
        <v>1</v>
      </c>
      <c r="AH226" s="111">
        <v>0</v>
      </c>
      <c r="AI226" s="112">
        <v>0</v>
      </c>
      <c r="AJ226" s="111">
        <v>2</v>
      </c>
      <c r="AK226" s="112">
        <v>66.66666666666667</v>
      </c>
      <c r="AL226" s="111">
        <v>0</v>
      </c>
      <c r="AM226" s="112">
        <v>0</v>
      </c>
      <c r="AN226" s="111">
        <v>1</v>
      </c>
      <c r="AO226" s="112">
        <v>33.333333333333336</v>
      </c>
      <c r="AP226" s="111">
        <v>3</v>
      </c>
    </row>
    <row r="227" spans="1:42" ht="15">
      <c r="A227" s="65" t="s">
        <v>491</v>
      </c>
      <c r="B227" s="65" t="s">
        <v>786</v>
      </c>
      <c r="C227" s="66" t="s">
        <v>4509</v>
      </c>
      <c r="D227" s="67">
        <v>3</v>
      </c>
      <c r="E227" s="68"/>
      <c r="F227" s="69">
        <v>40</v>
      </c>
      <c r="G227" s="66"/>
      <c r="H227" s="70"/>
      <c r="I227" s="71"/>
      <c r="J227" s="71"/>
      <c r="K227" s="35" t="s">
        <v>65</v>
      </c>
      <c r="L227" s="79">
        <v>227</v>
      </c>
      <c r="M227" s="79"/>
      <c r="N227" s="73"/>
      <c r="O227" s="81" t="s">
        <v>788</v>
      </c>
      <c r="P227" s="81" t="s">
        <v>325</v>
      </c>
      <c r="Q227" s="84" t="s">
        <v>1015</v>
      </c>
      <c r="R227" s="81" t="s">
        <v>491</v>
      </c>
      <c r="S227" s="81" t="s">
        <v>1559</v>
      </c>
      <c r="T227" s="86" t="str">
        <f>HYPERLINK("http://www.youtube.com/channel/UCCt6FVz_V46ZRI0P3PeBLFA")</f>
        <v>http://www.youtube.com/channel/UCCt6FVz_V46ZRI0P3PeBLFA</v>
      </c>
      <c r="U227" s="81"/>
      <c r="V227" s="81" t="s">
        <v>1885</v>
      </c>
      <c r="W227" s="86" t="str">
        <f>HYPERLINK("https://www.youtube.com/watch?v=wadBvDPeE4E")</f>
        <v>https://www.youtube.com/watch?v=wadBvDPeE4E</v>
      </c>
      <c r="X227" s="81" t="s">
        <v>1886</v>
      </c>
      <c r="Y227" s="81">
        <v>1</v>
      </c>
      <c r="Z227" s="88">
        <v>41206.56636574074</v>
      </c>
      <c r="AA227" s="88">
        <v>41206.56636574074</v>
      </c>
      <c r="AB227" s="81"/>
      <c r="AC227" s="81"/>
      <c r="AD227" s="84" t="s">
        <v>1927</v>
      </c>
      <c r="AE227" s="82">
        <v>1</v>
      </c>
      <c r="AF227" s="83" t="str">
        <f>REPLACE(INDEX(GroupVertices[Group],MATCH(Edges[[#This Row],[Vertex 1]],GroupVertices[Vertex],0)),1,1,"")</f>
        <v>1</v>
      </c>
      <c r="AG227" s="83" t="str">
        <f>REPLACE(INDEX(GroupVertices[Group],MATCH(Edges[[#This Row],[Vertex 2]],GroupVertices[Vertex],0)),1,1,"")</f>
        <v>1</v>
      </c>
      <c r="AH227" s="111">
        <v>1</v>
      </c>
      <c r="AI227" s="112">
        <v>50</v>
      </c>
      <c r="AJ227" s="111">
        <v>0</v>
      </c>
      <c r="AK227" s="112">
        <v>0</v>
      </c>
      <c r="AL227" s="111">
        <v>0</v>
      </c>
      <c r="AM227" s="112">
        <v>0</v>
      </c>
      <c r="AN227" s="111">
        <v>1</v>
      </c>
      <c r="AO227" s="112">
        <v>50</v>
      </c>
      <c r="AP227" s="111">
        <v>2</v>
      </c>
    </row>
    <row r="228" spans="1:42" ht="15">
      <c r="A228" s="65" t="s">
        <v>492</v>
      </c>
      <c r="B228" s="65" t="s">
        <v>786</v>
      </c>
      <c r="C228" s="66" t="s">
        <v>4512</v>
      </c>
      <c r="D228" s="67">
        <v>10</v>
      </c>
      <c r="E228" s="68"/>
      <c r="F228" s="69">
        <v>15</v>
      </c>
      <c r="G228" s="66"/>
      <c r="H228" s="70"/>
      <c r="I228" s="71"/>
      <c r="J228" s="71"/>
      <c r="K228" s="35" t="s">
        <v>65</v>
      </c>
      <c r="L228" s="79">
        <v>228</v>
      </c>
      <c r="M228" s="79"/>
      <c r="N228" s="73"/>
      <c r="O228" s="81" t="s">
        <v>788</v>
      </c>
      <c r="P228" s="81" t="s">
        <v>325</v>
      </c>
      <c r="Q228" s="84" t="s">
        <v>1016</v>
      </c>
      <c r="R228" s="81" t="s">
        <v>492</v>
      </c>
      <c r="S228" s="81" t="s">
        <v>1560</v>
      </c>
      <c r="T228" s="86" t="str">
        <f>HYPERLINK("http://www.youtube.com/channel/UC7tDCPfjQaEoetZOv0J6hCg")</f>
        <v>http://www.youtube.com/channel/UC7tDCPfjQaEoetZOv0J6hCg</v>
      </c>
      <c r="U228" s="81"/>
      <c r="V228" s="81" t="s">
        <v>1885</v>
      </c>
      <c r="W228" s="86" t="str">
        <f>HYPERLINK("https://www.youtube.com/watch?v=wadBvDPeE4E")</f>
        <v>https://www.youtube.com/watch?v=wadBvDPeE4E</v>
      </c>
      <c r="X228" s="81" t="s">
        <v>1886</v>
      </c>
      <c r="Y228" s="81">
        <v>0</v>
      </c>
      <c r="Z228" s="88">
        <v>41206.893009259256</v>
      </c>
      <c r="AA228" s="88">
        <v>41206.893009259256</v>
      </c>
      <c r="AB228" s="81"/>
      <c r="AC228" s="81"/>
      <c r="AD228" s="84" t="s">
        <v>1927</v>
      </c>
      <c r="AE228" s="82">
        <v>4</v>
      </c>
      <c r="AF228" s="83" t="str">
        <f>REPLACE(INDEX(GroupVertices[Group],MATCH(Edges[[#This Row],[Vertex 1]],GroupVertices[Vertex],0)),1,1,"")</f>
        <v>1</v>
      </c>
      <c r="AG228" s="83" t="str">
        <f>REPLACE(INDEX(GroupVertices[Group],MATCH(Edges[[#This Row],[Vertex 2]],GroupVertices[Vertex],0)),1,1,"")</f>
        <v>1</v>
      </c>
      <c r="AH228" s="111">
        <v>2</v>
      </c>
      <c r="AI228" s="112">
        <v>2.380952380952381</v>
      </c>
      <c r="AJ228" s="111">
        <v>6</v>
      </c>
      <c r="AK228" s="112">
        <v>7.142857142857143</v>
      </c>
      <c r="AL228" s="111">
        <v>0</v>
      </c>
      <c r="AM228" s="112">
        <v>0</v>
      </c>
      <c r="AN228" s="111">
        <v>76</v>
      </c>
      <c r="AO228" s="112">
        <v>90.47619047619048</v>
      </c>
      <c r="AP228" s="111">
        <v>84</v>
      </c>
    </row>
    <row r="229" spans="1:42" ht="15">
      <c r="A229" s="65" t="s">
        <v>492</v>
      </c>
      <c r="B229" s="65" t="s">
        <v>786</v>
      </c>
      <c r="C229" s="66" t="s">
        <v>4512</v>
      </c>
      <c r="D229" s="67">
        <v>10</v>
      </c>
      <c r="E229" s="68"/>
      <c r="F229" s="69">
        <v>15</v>
      </c>
      <c r="G229" s="66"/>
      <c r="H229" s="70"/>
      <c r="I229" s="71"/>
      <c r="J229" s="71"/>
      <c r="K229" s="35" t="s">
        <v>65</v>
      </c>
      <c r="L229" s="79">
        <v>229</v>
      </c>
      <c r="M229" s="79"/>
      <c r="N229" s="73"/>
      <c r="O229" s="81" t="s">
        <v>788</v>
      </c>
      <c r="P229" s="81" t="s">
        <v>325</v>
      </c>
      <c r="Q229" s="84" t="s">
        <v>1017</v>
      </c>
      <c r="R229" s="81" t="s">
        <v>492</v>
      </c>
      <c r="S229" s="81" t="s">
        <v>1560</v>
      </c>
      <c r="T229" s="86" t="str">
        <f>HYPERLINK("http://www.youtube.com/channel/UC7tDCPfjQaEoetZOv0J6hCg")</f>
        <v>http://www.youtube.com/channel/UC7tDCPfjQaEoetZOv0J6hCg</v>
      </c>
      <c r="U229" s="81"/>
      <c r="V229" s="81" t="s">
        <v>1885</v>
      </c>
      <c r="W229" s="86" t="str">
        <f>HYPERLINK("https://www.youtube.com/watch?v=wadBvDPeE4E")</f>
        <v>https://www.youtube.com/watch?v=wadBvDPeE4E</v>
      </c>
      <c r="X229" s="81" t="s">
        <v>1886</v>
      </c>
      <c r="Y229" s="81">
        <v>0</v>
      </c>
      <c r="Z229" s="88">
        <v>41207.80391203704</v>
      </c>
      <c r="AA229" s="88">
        <v>41207.80391203704</v>
      </c>
      <c r="AB229" s="81"/>
      <c r="AC229" s="81"/>
      <c r="AD229" s="84" t="s">
        <v>1927</v>
      </c>
      <c r="AE229" s="82">
        <v>4</v>
      </c>
      <c r="AF229" s="83" t="str">
        <f>REPLACE(INDEX(GroupVertices[Group],MATCH(Edges[[#This Row],[Vertex 1]],GroupVertices[Vertex],0)),1,1,"")</f>
        <v>1</v>
      </c>
      <c r="AG229" s="83" t="str">
        <f>REPLACE(INDEX(GroupVertices[Group],MATCH(Edges[[#This Row],[Vertex 2]],GroupVertices[Vertex],0)),1,1,"")</f>
        <v>1</v>
      </c>
      <c r="AH229" s="111">
        <v>0</v>
      </c>
      <c r="AI229" s="112">
        <v>0</v>
      </c>
      <c r="AJ229" s="111">
        <v>0</v>
      </c>
      <c r="AK229" s="112">
        <v>0</v>
      </c>
      <c r="AL229" s="111">
        <v>0</v>
      </c>
      <c r="AM229" s="112">
        <v>0</v>
      </c>
      <c r="AN229" s="111">
        <v>16</v>
      </c>
      <c r="AO229" s="112">
        <v>100</v>
      </c>
      <c r="AP229" s="111">
        <v>16</v>
      </c>
    </row>
    <row r="230" spans="1:42" ht="15">
      <c r="A230" s="65" t="s">
        <v>492</v>
      </c>
      <c r="B230" s="65" t="s">
        <v>786</v>
      </c>
      <c r="C230" s="66" t="s">
        <v>4512</v>
      </c>
      <c r="D230" s="67">
        <v>10</v>
      </c>
      <c r="E230" s="68"/>
      <c r="F230" s="69">
        <v>15</v>
      </c>
      <c r="G230" s="66"/>
      <c r="H230" s="70"/>
      <c r="I230" s="71"/>
      <c r="J230" s="71"/>
      <c r="K230" s="35" t="s">
        <v>65</v>
      </c>
      <c r="L230" s="79">
        <v>230</v>
      </c>
      <c r="M230" s="79"/>
      <c r="N230" s="73"/>
      <c r="O230" s="81" t="s">
        <v>788</v>
      </c>
      <c r="P230" s="81" t="s">
        <v>325</v>
      </c>
      <c r="Q230" s="84" t="s">
        <v>1018</v>
      </c>
      <c r="R230" s="81" t="s">
        <v>492</v>
      </c>
      <c r="S230" s="81" t="s">
        <v>1560</v>
      </c>
      <c r="T230" s="86" t="str">
        <f>HYPERLINK("http://www.youtube.com/channel/UC7tDCPfjQaEoetZOv0J6hCg")</f>
        <v>http://www.youtube.com/channel/UC7tDCPfjQaEoetZOv0J6hCg</v>
      </c>
      <c r="U230" s="81"/>
      <c r="V230" s="81" t="s">
        <v>1885</v>
      </c>
      <c r="W230" s="86" t="str">
        <f>HYPERLINK("https://www.youtube.com/watch?v=wadBvDPeE4E")</f>
        <v>https://www.youtube.com/watch?v=wadBvDPeE4E</v>
      </c>
      <c r="X230" s="81" t="s">
        <v>1886</v>
      </c>
      <c r="Y230" s="81">
        <v>0</v>
      </c>
      <c r="Z230" s="88">
        <v>41207.80447916667</v>
      </c>
      <c r="AA230" s="88">
        <v>41207.80447916667</v>
      </c>
      <c r="AB230" s="81"/>
      <c r="AC230" s="81"/>
      <c r="AD230" s="84" t="s">
        <v>1927</v>
      </c>
      <c r="AE230" s="82">
        <v>4</v>
      </c>
      <c r="AF230" s="83" t="str">
        <f>REPLACE(INDEX(GroupVertices[Group],MATCH(Edges[[#This Row],[Vertex 1]],GroupVertices[Vertex],0)),1,1,"")</f>
        <v>1</v>
      </c>
      <c r="AG230" s="83" t="str">
        <f>REPLACE(INDEX(GroupVertices[Group],MATCH(Edges[[#This Row],[Vertex 2]],GroupVertices[Vertex],0)),1,1,"")</f>
        <v>1</v>
      </c>
      <c r="AH230" s="111">
        <v>0</v>
      </c>
      <c r="AI230" s="112">
        <v>0</v>
      </c>
      <c r="AJ230" s="111">
        <v>0</v>
      </c>
      <c r="AK230" s="112">
        <v>0</v>
      </c>
      <c r="AL230" s="111">
        <v>0</v>
      </c>
      <c r="AM230" s="112">
        <v>0</v>
      </c>
      <c r="AN230" s="111">
        <v>14</v>
      </c>
      <c r="AO230" s="112">
        <v>100</v>
      </c>
      <c r="AP230" s="111">
        <v>14</v>
      </c>
    </row>
    <row r="231" spans="1:42" ht="15">
      <c r="A231" s="65" t="s">
        <v>492</v>
      </c>
      <c r="B231" s="65" t="s">
        <v>786</v>
      </c>
      <c r="C231" s="66" t="s">
        <v>4512</v>
      </c>
      <c r="D231" s="67">
        <v>10</v>
      </c>
      <c r="E231" s="68"/>
      <c r="F231" s="69">
        <v>15</v>
      </c>
      <c r="G231" s="66"/>
      <c r="H231" s="70"/>
      <c r="I231" s="71"/>
      <c r="J231" s="71"/>
      <c r="K231" s="35" t="s">
        <v>65</v>
      </c>
      <c r="L231" s="79">
        <v>231</v>
      </c>
      <c r="M231" s="79"/>
      <c r="N231" s="73"/>
      <c r="O231" s="81" t="s">
        <v>788</v>
      </c>
      <c r="P231" s="81" t="s">
        <v>325</v>
      </c>
      <c r="Q231" s="84" t="s">
        <v>1019</v>
      </c>
      <c r="R231" s="81" t="s">
        <v>492</v>
      </c>
      <c r="S231" s="81" t="s">
        <v>1560</v>
      </c>
      <c r="T231" s="86" t="str">
        <f>HYPERLINK("http://www.youtube.com/channel/UC7tDCPfjQaEoetZOv0J6hCg")</f>
        <v>http://www.youtube.com/channel/UC7tDCPfjQaEoetZOv0J6hCg</v>
      </c>
      <c r="U231" s="81"/>
      <c r="V231" s="81" t="s">
        <v>1885</v>
      </c>
      <c r="W231" s="86" t="str">
        <f>HYPERLINK("https://www.youtube.com/watch?v=wadBvDPeE4E")</f>
        <v>https://www.youtube.com/watch?v=wadBvDPeE4E</v>
      </c>
      <c r="X231" s="81" t="s">
        <v>1886</v>
      </c>
      <c r="Y231" s="81">
        <v>0</v>
      </c>
      <c r="Z231" s="88">
        <v>41207.890856481485</v>
      </c>
      <c r="AA231" s="88">
        <v>41207.890856481485</v>
      </c>
      <c r="AB231" s="81"/>
      <c r="AC231" s="81"/>
      <c r="AD231" s="84" t="s">
        <v>1927</v>
      </c>
      <c r="AE231" s="82">
        <v>4</v>
      </c>
      <c r="AF231" s="83" t="str">
        <f>REPLACE(INDEX(GroupVertices[Group],MATCH(Edges[[#This Row],[Vertex 1]],GroupVertices[Vertex],0)),1,1,"")</f>
        <v>1</v>
      </c>
      <c r="AG231" s="83" t="str">
        <f>REPLACE(INDEX(GroupVertices[Group],MATCH(Edges[[#This Row],[Vertex 2]],GroupVertices[Vertex],0)),1,1,"")</f>
        <v>1</v>
      </c>
      <c r="AH231" s="111">
        <v>1</v>
      </c>
      <c r="AI231" s="112">
        <v>3.5714285714285716</v>
      </c>
      <c r="AJ231" s="111">
        <v>2</v>
      </c>
      <c r="AK231" s="112">
        <v>7.142857142857143</v>
      </c>
      <c r="AL231" s="111">
        <v>0</v>
      </c>
      <c r="AM231" s="112">
        <v>0</v>
      </c>
      <c r="AN231" s="111">
        <v>25</v>
      </c>
      <c r="AO231" s="112">
        <v>89.28571428571429</v>
      </c>
      <c r="AP231" s="111">
        <v>28</v>
      </c>
    </row>
    <row r="232" spans="1:42" ht="15">
      <c r="A232" s="65" t="s">
        <v>493</v>
      </c>
      <c r="B232" s="65" t="s">
        <v>786</v>
      </c>
      <c r="C232" s="66" t="s">
        <v>4509</v>
      </c>
      <c r="D232" s="67">
        <v>3</v>
      </c>
      <c r="E232" s="68"/>
      <c r="F232" s="69">
        <v>40</v>
      </c>
      <c r="G232" s="66"/>
      <c r="H232" s="70"/>
      <c r="I232" s="71"/>
      <c r="J232" s="71"/>
      <c r="K232" s="35" t="s">
        <v>65</v>
      </c>
      <c r="L232" s="79">
        <v>232</v>
      </c>
      <c r="M232" s="79"/>
      <c r="N232" s="73"/>
      <c r="O232" s="81" t="s">
        <v>788</v>
      </c>
      <c r="P232" s="81" t="s">
        <v>325</v>
      </c>
      <c r="Q232" s="84" t="s">
        <v>1020</v>
      </c>
      <c r="R232" s="81" t="s">
        <v>493</v>
      </c>
      <c r="S232" s="81" t="s">
        <v>1561</v>
      </c>
      <c r="T232" s="86" t="str">
        <f>HYPERLINK("http://www.youtube.com/channel/UCaxEabjy5w2w0quLQSTwlMA")</f>
        <v>http://www.youtube.com/channel/UCaxEabjy5w2w0quLQSTwlMA</v>
      </c>
      <c r="U232" s="81"/>
      <c r="V232" s="81" t="s">
        <v>1885</v>
      </c>
      <c r="W232" s="86" t="str">
        <f>HYPERLINK("https://www.youtube.com/watch?v=wadBvDPeE4E")</f>
        <v>https://www.youtube.com/watch?v=wadBvDPeE4E</v>
      </c>
      <c r="X232" s="81" t="s">
        <v>1886</v>
      </c>
      <c r="Y232" s="81">
        <v>0</v>
      </c>
      <c r="Z232" s="88">
        <v>41208.06831018518</v>
      </c>
      <c r="AA232" s="88">
        <v>41208.06831018518</v>
      </c>
      <c r="AB232" s="81"/>
      <c r="AC232" s="81"/>
      <c r="AD232" s="84" t="s">
        <v>1927</v>
      </c>
      <c r="AE232" s="82">
        <v>1</v>
      </c>
      <c r="AF232" s="83" t="str">
        <f>REPLACE(INDEX(GroupVertices[Group],MATCH(Edges[[#This Row],[Vertex 1]],GroupVertices[Vertex],0)),1,1,"")</f>
        <v>1</v>
      </c>
      <c r="AG232" s="83" t="str">
        <f>REPLACE(INDEX(GroupVertices[Group],MATCH(Edges[[#This Row],[Vertex 2]],GroupVertices[Vertex],0)),1,1,"")</f>
        <v>1</v>
      </c>
      <c r="AH232" s="111">
        <v>1</v>
      </c>
      <c r="AI232" s="112">
        <v>14.285714285714286</v>
      </c>
      <c r="AJ232" s="111">
        <v>0</v>
      </c>
      <c r="AK232" s="112">
        <v>0</v>
      </c>
      <c r="AL232" s="111">
        <v>0</v>
      </c>
      <c r="AM232" s="112">
        <v>0</v>
      </c>
      <c r="AN232" s="111">
        <v>6</v>
      </c>
      <c r="AO232" s="112">
        <v>85.71428571428571</v>
      </c>
      <c r="AP232" s="111">
        <v>7</v>
      </c>
    </row>
    <row r="233" spans="1:42" ht="15">
      <c r="A233" s="65" t="s">
        <v>494</v>
      </c>
      <c r="B233" s="65" t="s">
        <v>786</v>
      </c>
      <c r="C233" s="66" t="s">
        <v>4517</v>
      </c>
      <c r="D233" s="67">
        <v>10</v>
      </c>
      <c r="E233" s="68"/>
      <c r="F233" s="69">
        <v>15</v>
      </c>
      <c r="G233" s="66"/>
      <c r="H233" s="70"/>
      <c r="I233" s="71"/>
      <c r="J233" s="71"/>
      <c r="K233" s="35" t="s">
        <v>65</v>
      </c>
      <c r="L233" s="79">
        <v>233</v>
      </c>
      <c r="M233" s="79"/>
      <c r="N233" s="73"/>
      <c r="O233" s="81" t="s">
        <v>788</v>
      </c>
      <c r="P233" s="81" t="s">
        <v>325</v>
      </c>
      <c r="Q233" s="84" t="s">
        <v>1021</v>
      </c>
      <c r="R233" s="81" t="s">
        <v>494</v>
      </c>
      <c r="S233" s="81" t="s">
        <v>1562</v>
      </c>
      <c r="T233" s="86" t="str">
        <f>HYPERLINK("http://www.youtube.com/channel/UCBXLI4-dB-OMA6vvULUnJRg")</f>
        <v>http://www.youtube.com/channel/UCBXLI4-dB-OMA6vvULUnJRg</v>
      </c>
      <c r="U233" s="81"/>
      <c r="V233" s="81" t="s">
        <v>1885</v>
      </c>
      <c r="W233" s="86" t="str">
        <f>HYPERLINK("https://www.youtube.com/watch?v=wadBvDPeE4E")</f>
        <v>https://www.youtube.com/watch?v=wadBvDPeE4E</v>
      </c>
      <c r="X233" s="81" t="s">
        <v>1886</v>
      </c>
      <c r="Y233" s="81">
        <v>0</v>
      </c>
      <c r="Z233" s="88">
        <v>41207.750763888886</v>
      </c>
      <c r="AA233" s="88">
        <v>41207.750763888886</v>
      </c>
      <c r="AB233" s="81"/>
      <c r="AC233" s="81"/>
      <c r="AD233" s="84" t="s">
        <v>1927</v>
      </c>
      <c r="AE233" s="82">
        <v>9</v>
      </c>
      <c r="AF233" s="83" t="str">
        <f>REPLACE(INDEX(GroupVertices[Group],MATCH(Edges[[#This Row],[Vertex 1]],GroupVertices[Vertex],0)),1,1,"")</f>
        <v>1</v>
      </c>
      <c r="AG233" s="83" t="str">
        <f>REPLACE(INDEX(GroupVertices[Group],MATCH(Edges[[#This Row],[Vertex 2]],GroupVertices[Vertex],0)),1,1,"")</f>
        <v>1</v>
      </c>
      <c r="AH233" s="111">
        <v>3</v>
      </c>
      <c r="AI233" s="112">
        <v>3.75</v>
      </c>
      <c r="AJ233" s="111">
        <v>2</v>
      </c>
      <c r="AK233" s="112">
        <v>2.5</v>
      </c>
      <c r="AL233" s="111">
        <v>0</v>
      </c>
      <c r="AM233" s="112">
        <v>0</v>
      </c>
      <c r="AN233" s="111">
        <v>75</v>
      </c>
      <c r="AO233" s="112">
        <v>93.75</v>
      </c>
      <c r="AP233" s="111">
        <v>80</v>
      </c>
    </row>
    <row r="234" spans="1:42" ht="15">
      <c r="A234" s="65" t="s">
        <v>494</v>
      </c>
      <c r="B234" s="65" t="s">
        <v>786</v>
      </c>
      <c r="C234" s="66" t="s">
        <v>4517</v>
      </c>
      <c r="D234" s="67">
        <v>10</v>
      </c>
      <c r="E234" s="68"/>
      <c r="F234" s="69">
        <v>15</v>
      </c>
      <c r="G234" s="66"/>
      <c r="H234" s="70"/>
      <c r="I234" s="71"/>
      <c r="J234" s="71"/>
      <c r="K234" s="35" t="s">
        <v>65</v>
      </c>
      <c r="L234" s="79">
        <v>234</v>
      </c>
      <c r="M234" s="79"/>
      <c r="N234" s="73"/>
      <c r="O234" s="81" t="s">
        <v>788</v>
      </c>
      <c r="P234" s="81" t="s">
        <v>325</v>
      </c>
      <c r="Q234" s="84" t="s">
        <v>1022</v>
      </c>
      <c r="R234" s="81" t="s">
        <v>494</v>
      </c>
      <c r="S234" s="81" t="s">
        <v>1562</v>
      </c>
      <c r="T234" s="86" t="str">
        <f>HYPERLINK("http://www.youtube.com/channel/UCBXLI4-dB-OMA6vvULUnJRg")</f>
        <v>http://www.youtube.com/channel/UCBXLI4-dB-OMA6vvULUnJRg</v>
      </c>
      <c r="U234" s="81"/>
      <c r="V234" s="81" t="s">
        <v>1885</v>
      </c>
      <c r="W234" s="86" t="str">
        <f>HYPERLINK("https://www.youtube.com/watch?v=wadBvDPeE4E")</f>
        <v>https://www.youtube.com/watch?v=wadBvDPeE4E</v>
      </c>
      <c r="X234" s="81" t="s">
        <v>1886</v>
      </c>
      <c r="Y234" s="81">
        <v>0</v>
      </c>
      <c r="Z234" s="88">
        <v>41207.87841435185</v>
      </c>
      <c r="AA234" s="88">
        <v>41207.87841435185</v>
      </c>
      <c r="AB234" s="81"/>
      <c r="AC234" s="81"/>
      <c r="AD234" s="84" t="s">
        <v>1927</v>
      </c>
      <c r="AE234" s="82">
        <v>9</v>
      </c>
      <c r="AF234" s="83" t="str">
        <f>REPLACE(INDEX(GroupVertices[Group],MATCH(Edges[[#This Row],[Vertex 1]],GroupVertices[Vertex],0)),1,1,"")</f>
        <v>1</v>
      </c>
      <c r="AG234" s="83" t="str">
        <f>REPLACE(INDEX(GroupVertices[Group],MATCH(Edges[[#This Row],[Vertex 2]],GroupVertices[Vertex],0)),1,1,"")</f>
        <v>1</v>
      </c>
      <c r="AH234" s="111">
        <v>4</v>
      </c>
      <c r="AI234" s="112">
        <v>4.301075268817204</v>
      </c>
      <c r="AJ234" s="111">
        <v>5</v>
      </c>
      <c r="AK234" s="112">
        <v>5.376344086021505</v>
      </c>
      <c r="AL234" s="111">
        <v>0</v>
      </c>
      <c r="AM234" s="112">
        <v>0</v>
      </c>
      <c r="AN234" s="111">
        <v>84</v>
      </c>
      <c r="AO234" s="112">
        <v>90.3225806451613</v>
      </c>
      <c r="AP234" s="111">
        <v>93</v>
      </c>
    </row>
    <row r="235" spans="1:42" ht="15">
      <c r="A235" s="65" t="s">
        <v>494</v>
      </c>
      <c r="B235" s="65" t="s">
        <v>786</v>
      </c>
      <c r="C235" s="66" t="s">
        <v>4517</v>
      </c>
      <c r="D235" s="67">
        <v>10</v>
      </c>
      <c r="E235" s="68"/>
      <c r="F235" s="69">
        <v>15</v>
      </c>
      <c r="G235" s="66"/>
      <c r="H235" s="70"/>
      <c r="I235" s="71"/>
      <c r="J235" s="71"/>
      <c r="K235" s="35" t="s">
        <v>65</v>
      </c>
      <c r="L235" s="79">
        <v>235</v>
      </c>
      <c r="M235" s="79"/>
      <c r="N235" s="73"/>
      <c r="O235" s="81" t="s">
        <v>788</v>
      </c>
      <c r="P235" s="81" t="s">
        <v>325</v>
      </c>
      <c r="Q235" s="84" t="s">
        <v>1023</v>
      </c>
      <c r="R235" s="81" t="s">
        <v>494</v>
      </c>
      <c r="S235" s="81" t="s">
        <v>1562</v>
      </c>
      <c r="T235" s="86" t="str">
        <f>HYPERLINK("http://www.youtube.com/channel/UCBXLI4-dB-OMA6vvULUnJRg")</f>
        <v>http://www.youtube.com/channel/UCBXLI4-dB-OMA6vvULUnJRg</v>
      </c>
      <c r="U235" s="81"/>
      <c r="V235" s="81" t="s">
        <v>1885</v>
      </c>
      <c r="W235" s="86" t="str">
        <f>HYPERLINK("https://www.youtube.com/watch?v=wadBvDPeE4E")</f>
        <v>https://www.youtube.com/watch?v=wadBvDPeE4E</v>
      </c>
      <c r="X235" s="81" t="s">
        <v>1886</v>
      </c>
      <c r="Y235" s="81">
        <v>0</v>
      </c>
      <c r="Z235" s="88">
        <v>41207.979583333334</v>
      </c>
      <c r="AA235" s="88">
        <v>41207.979583333334</v>
      </c>
      <c r="AB235" s="81"/>
      <c r="AC235" s="81"/>
      <c r="AD235" s="84" t="s">
        <v>1927</v>
      </c>
      <c r="AE235" s="82">
        <v>9</v>
      </c>
      <c r="AF235" s="83" t="str">
        <f>REPLACE(INDEX(GroupVertices[Group],MATCH(Edges[[#This Row],[Vertex 1]],GroupVertices[Vertex],0)),1,1,"")</f>
        <v>1</v>
      </c>
      <c r="AG235" s="83" t="str">
        <f>REPLACE(INDEX(GroupVertices[Group],MATCH(Edges[[#This Row],[Vertex 2]],GroupVertices[Vertex],0)),1,1,"")</f>
        <v>1</v>
      </c>
      <c r="AH235" s="111">
        <v>2</v>
      </c>
      <c r="AI235" s="112">
        <v>5.882352941176471</v>
      </c>
      <c r="AJ235" s="111">
        <v>0</v>
      </c>
      <c r="AK235" s="112">
        <v>0</v>
      </c>
      <c r="AL235" s="111">
        <v>0</v>
      </c>
      <c r="AM235" s="112">
        <v>0</v>
      </c>
      <c r="AN235" s="111">
        <v>32</v>
      </c>
      <c r="AO235" s="112">
        <v>94.11764705882354</v>
      </c>
      <c r="AP235" s="111">
        <v>34</v>
      </c>
    </row>
    <row r="236" spans="1:42" ht="15">
      <c r="A236" s="65" t="s">
        <v>494</v>
      </c>
      <c r="B236" s="65" t="s">
        <v>786</v>
      </c>
      <c r="C236" s="66" t="s">
        <v>4517</v>
      </c>
      <c r="D236" s="67">
        <v>10</v>
      </c>
      <c r="E236" s="68"/>
      <c r="F236" s="69">
        <v>15</v>
      </c>
      <c r="G236" s="66"/>
      <c r="H236" s="70"/>
      <c r="I236" s="71"/>
      <c r="J236" s="71"/>
      <c r="K236" s="35" t="s">
        <v>65</v>
      </c>
      <c r="L236" s="79">
        <v>236</v>
      </c>
      <c r="M236" s="79"/>
      <c r="N236" s="73"/>
      <c r="O236" s="81" t="s">
        <v>788</v>
      </c>
      <c r="P236" s="81" t="s">
        <v>325</v>
      </c>
      <c r="Q236" s="84" t="s">
        <v>1024</v>
      </c>
      <c r="R236" s="81" t="s">
        <v>494</v>
      </c>
      <c r="S236" s="81" t="s">
        <v>1562</v>
      </c>
      <c r="T236" s="86" t="str">
        <f>HYPERLINK("http://www.youtube.com/channel/UCBXLI4-dB-OMA6vvULUnJRg")</f>
        <v>http://www.youtube.com/channel/UCBXLI4-dB-OMA6vvULUnJRg</v>
      </c>
      <c r="U236" s="81"/>
      <c r="V236" s="81" t="s">
        <v>1885</v>
      </c>
      <c r="W236" s="86" t="str">
        <f>HYPERLINK("https://www.youtube.com/watch?v=wadBvDPeE4E")</f>
        <v>https://www.youtube.com/watch?v=wadBvDPeE4E</v>
      </c>
      <c r="X236" s="81" t="s">
        <v>1886</v>
      </c>
      <c r="Y236" s="81">
        <v>0</v>
      </c>
      <c r="Z236" s="88">
        <v>41207.99689814815</v>
      </c>
      <c r="AA236" s="88">
        <v>41207.99689814815</v>
      </c>
      <c r="AB236" s="81"/>
      <c r="AC236" s="81"/>
      <c r="AD236" s="84" t="s">
        <v>1927</v>
      </c>
      <c r="AE236" s="82">
        <v>9</v>
      </c>
      <c r="AF236" s="83" t="str">
        <f>REPLACE(INDEX(GroupVertices[Group],MATCH(Edges[[#This Row],[Vertex 1]],GroupVertices[Vertex],0)),1,1,"")</f>
        <v>1</v>
      </c>
      <c r="AG236" s="83" t="str">
        <f>REPLACE(INDEX(GroupVertices[Group],MATCH(Edges[[#This Row],[Vertex 2]],GroupVertices[Vertex],0)),1,1,"")</f>
        <v>1</v>
      </c>
      <c r="AH236" s="111">
        <v>0</v>
      </c>
      <c r="AI236" s="112">
        <v>0</v>
      </c>
      <c r="AJ236" s="111">
        <v>1</v>
      </c>
      <c r="AK236" s="112">
        <v>6.25</v>
      </c>
      <c r="AL236" s="111">
        <v>0</v>
      </c>
      <c r="AM236" s="112">
        <v>0</v>
      </c>
      <c r="AN236" s="111">
        <v>15</v>
      </c>
      <c r="AO236" s="112">
        <v>93.75</v>
      </c>
      <c r="AP236" s="111">
        <v>16</v>
      </c>
    </row>
    <row r="237" spans="1:42" ht="15">
      <c r="A237" s="65" t="s">
        <v>494</v>
      </c>
      <c r="B237" s="65" t="s">
        <v>786</v>
      </c>
      <c r="C237" s="66" t="s">
        <v>4517</v>
      </c>
      <c r="D237" s="67">
        <v>10</v>
      </c>
      <c r="E237" s="68"/>
      <c r="F237" s="69">
        <v>15</v>
      </c>
      <c r="G237" s="66"/>
      <c r="H237" s="70"/>
      <c r="I237" s="71"/>
      <c r="J237" s="71"/>
      <c r="K237" s="35" t="s">
        <v>65</v>
      </c>
      <c r="L237" s="79">
        <v>237</v>
      </c>
      <c r="M237" s="79"/>
      <c r="N237" s="73"/>
      <c r="O237" s="81" t="s">
        <v>788</v>
      </c>
      <c r="P237" s="81" t="s">
        <v>325</v>
      </c>
      <c r="Q237" s="84" t="s">
        <v>1025</v>
      </c>
      <c r="R237" s="81" t="s">
        <v>494</v>
      </c>
      <c r="S237" s="81" t="s">
        <v>1562</v>
      </c>
      <c r="T237" s="86" t="str">
        <f>HYPERLINK("http://www.youtube.com/channel/UCBXLI4-dB-OMA6vvULUnJRg")</f>
        <v>http://www.youtube.com/channel/UCBXLI4-dB-OMA6vvULUnJRg</v>
      </c>
      <c r="U237" s="81"/>
      <c r="V237" s="81" t="s">
        <v>1885</v>
      </c>
      <c r="W237" s="86" t="str">
        <f>HYPERLINK("https://www.youtube.com/watch?v=wadBvDPeE4E")</f>
        <v>https://www.youtube.com/watch?v=wadBvDPeE4E</v>
      </c>
      <c r="X237" s="81" t="s">
        <v>1886</v>
      </c>
      <c r="Y237" s="81">
        <v>0</v>
      </c>
      <c r="Z237" s="88">
        <v>41208.00375</v>
      </c>
      <c r="AA237" s="88">
        <v>41208.00375</v>
      </c>
      <c r="AB237" s="81"/>
      <c r="AC237" s="81"/>
      <c r="AD237" s="84" t="s">
        <v>1927</v>
      </c>
      <c r="AE237" s="82">
        <v>9</v>
      </c>
      <c r="AF237" s="83" t="str">
        <f>REPLACE(INDEX(GroupVertices[Group],MATCH(Edges[[#This Row],[Vertex 1]],GroupVertices[Vertex],0)),1,1,"")</f>
        <v>1</v>
      </c>
      <c r="AG237" s="83" t="str">
        <f>REPLACE(INDEX(GroupVertices[Group],MATCH(Edges[[#This Row],[Vertex 2]],GroupVertices[Vertex],0)),1,1,"")</f>
        <v>1</v>
      </c>
      <c r="AH237" s="111">
        <v>4</v>
      </c>
      <c r="AI237" s="112">
        <v>6.779661016949152</v>
      </c>
      <c r="AJ237" s="111">
        <v>5</v>
      </c>
      <c r="AK237" s="112">
        <v>8.474576271186441</v>
      </c>
      <c r="AL237" s="111">
        <v>0</v>
      </c>
      <c r="AM237" s="112">
        <v>0</v>
      </c>
      <c r="AN237" s="111">
        <v>50</v>
      </c>
      <c r="AO237" s="112">
        <v>84.7457627118644</v>
      </c>
      <c r="AP237" s="111">
        <v>59</v>
      </c>
    </row>
    <row r="238" spans="1:42" ht="15">
      <c r="A238" s="65" t="s">
        <v>494</v>
      </c>
      <c r="B238" s="65" t="s">
        <v>786</v>
      </c>
      <c r="C238" s="66" t="s">
        <v>4517</v>
      </c>
      <c r="D238" s="67">
        <v>10</v>
      </c>
      <c r="E238" s="68"/>
      <c r="F238" s="69">
        <v>15</v>
      </c>
      <c r="G238" s="66"/>
      <c r="H238" s="70"/>
      <c r="I238" s="71"/>
      <c r="J238" s="71"/>
      <c r="K238" s="35" t="s">
        <v>65</v>
      </c>
      <c r="L238" s="79">
        <v>238</v>
      </c>
      <c r="M238" s="79"/>
      <c r="N238" s="73"/>
      <c r="O238" s="81" t="s">
        <v>788</v>
      </c>
      <c r="P238" s="81" t="s">
        <v>325</v>
      </c>
      <c r="Q238" s="84" t="s">
        <v>1026</v>
      </c>
      <c r="R238" s="81" t="s">
        <v>494</v>
      </c>
      <c r="S238" s="81" t="s">
        <v>1562</v>
      </c>
      <c r="T238" s="86" t="str">
        <f>HYPERLINK("http://www.youtube.com/channel/UCBXLI4-dB-OMA6vvULUnJRg")</f>
        <v>http://www.youtube.com/channel/UCBXLI4-dB-OMA6vvULUnJRg</v>
      </c>
      <c r="U238" s="81"/>
      <c r="V238" s="81" t="s">
        <v>1885</v>
      </c>
      <c r="W238" s="86" t="str">
        <f>HYPERLINK("https://www.youtube.com/watch?v=wadBvDPeE4E")</f>
        <v>https://www.youtube.com/watch?v=wadBvDPeE4E</v>
      </c>
      <c r="X238" s="81" t="s">
        <v>1886</v>
      </c>
      <c r="Y238" s="81">
        <v>0</v>
      </c>
      <c r="Z238" s="88">
        <v>41208.04574074074</v>
      </c>
      <c r="AA238" s="88">
        <v>41208.04574074074</v>
      </c>
      <c r="AB238" s="81"/>
      <c r="AC238" s="81"/>
      <c r="AD238" s="84" t="s">
        <v>1927</v>
      </c>
      <c r="AE238" s="82">
        <v>9</v>
      </c>
      <c r="AF238" s="83" t="str">
        <f>REPLACE(INDEX(GroupVertices[Group],MATCH(Edges[[#This Row],[Vertex 1]],GroupVertices[Vertex],0)),1,1,"")</f>
        <v>1</v>
      </c>
      <c r="AG238" s="83" t="str">
        <f>REPLACE(INDEX(GroupVertices[Group],MATCH(Edges[[#This Row],[Vertex 2]],GroupVertices[Vertex],0)),1,1,"")</f>
        <v>1</v>
      </c>
      <c r="AH238" s="111">
        <v>1</v>
      </c>
      <c r="AI238" s="112">
        <v>1.1494252873563218</v>
      </c>
      <c r="AJ238" s="111">
        <v>7</v>
      </c>
      <c r="AK238" s="112">
        <v>8.045977011494253</v>
      </c>
      <c r="AL238" s="111">
        <v>0</v>
      </c>
      <c r="AM238" s="112">
        <v>0</v>
      </c>
      <c r="AN238" s="111">
        <v>79</v>
      </c>
      <c r="AO238" s="112">
        <v>90.80459770114942</v>
      </c>
      <c r="AP238" s="111">
        <v>87</v>
      </c>
    </row>
    <row r="239" spans="1:42" ht="15">
      <c r="A239" s="65" t="s">
        <v>494</v>
      </c>
      <c r="B239" s="65" t="s">
        <v>786</v>
      </c>
      <c r="C239" s="66" t="s">
        <v>4517</v>
      </c>
      <c r="D239" s="67">
        <v>10</v>
      </c>
      <c r="E239" s="68"/>
      <c r="F239" s="69">
        <v>15</v>
      </c>
      <c r="G239" s="66"/>
      <c r="H239" s="70"/>
      <c r="I239" s="71"/>
      <c r="J239" s="71"/>
      <c r="K239" s="35" t="s">
        <v>65</v>
      </c>
      <c r="L239" s="79">
        <v>239</v>
      </c>
      <c r="M239" s="79"/>
      <c r="N239" s="73"/>
      <c r="O239" s="81" t="s">
        <v>788</v>
      </c>
      <c r="P239" s="81" t="s">
        <v>325</v>
      </c>
      <c r="Q239" s="84" t="s">
        <v>1027</v>
      </c>
      <c r="R239" s="81" t="s">
        <v>494</v>
      </c>
      <c r="S239" s="81" t="s">
        <v>1562</v>
      </c>
      <c r="T239" s="86" t="str">
        <f>HYPERLINK("http://www.youtube.com/channel/UCBXLI4-dB-OMA6vvULUnJRg")</f>
        <v>http://www.youtube.com/channel/UCBXLI4-dB-OMA6vvULUnJRg</v>
      </c>
      <c r="U239" s="81"/>
      <c r="V239" s="81" t="s">
        <v>1885</v>
      </c>
      <c r="W239" s="86" t="str">
        <f>HYPERLINK("https://www.youtube.com/watch?v=wadBvDPeE4E")</f>
        <v>https://www.youtube.com/watch?v=wadBvDPeE4E</v>
      </c>
      <c r="X239" s="81" t="s">
        <v>1886</v>
      </c>
      <c r="Y239" s="81">
        <v>0</v>
      </c>
      <c r="Z239" s="88">
        <v>41208.048842592594</v>
      </c>
      <c r="AA239" s="88">
        <v>41208.048842592594</v>
      </c>
      <c r="AB239" s="81"/>
      <c r="AC239" s="81"/>
      <c r="AD239" s="84" t="s">
        <v>1927</v>
      </c>
      <c r="AE239" s="82">
        <v>9</v>
      </c>
      <c r="AF239" s="83" t="str">
        <f>REPLACE(INDEX(GroupVertices[Group],MATCH(Edges[[#This Row],[Vertex 1]],GroupVertices[Vertex],0)),1,1,"")</f>
        <v>1</v>
      </c>
      <c r="AG239" s="83" t="str">
        <f>REPLACE(INDEX(GroupVertices[Group],MATCH(Edges[[#This Row],[Vertex 2]],GroupVertices[Vertex],0)),1,1,"")</f>
        <v>1</v>
      </c>
      <c r="AH239" s="111">
        <v>4</v>
      </c>
      <c r="AI239" s="112">
        <v>4.49438202247191</v>
      </c>
      <c r="AJ239" s="111">
        <v>5</v>
      </c>
      <c r="AK239" s="112">
        <v>5.617977528089888</v>
      </c>
      <c r="AL239" s="111">
        <v>0</v>
      </c>
      <c r="AM239" s="112">
        <v>0</v>
      </c>
      <c r="AN239" s="111">
        <v>80</v>
      </c>
      <c r="AO239" s="112">
        <v>89.88764044943821</v>
      </c>
      <c r="AP239" s="111">
        <v>89</v>
      </c>
    </row>
    <row r="240" spans="1:42" ht="15">
      <c r="A240" s="65" t="s">
        <v>494</v>
      </c>
      <c r="B240" s="65" t="s">
        <v>786</v>
      </c>
      <c r="C240" s="66" t="s">
        <v>4517</v>
      </c>
      <c r="D240" s="67">
        <v>10</v>
      </c>
      <c r="E240" s="68"/>
      <c r="F240" s="69">
        <v>15</v>
      </c>
      <c r="G240" s="66"/>
      <c r="H240" s="70"/>
      <c r="I240" s="71"/>
      <c r="J240" s="71"/>
      <c r="K240" s="35" t="s">
        <v>65</v>
      </c>
      <c r="L240" s="79">
        <v>240</v>
      </c>
      <c r="M240" s="79"/>
      <c r="N240" s="73"/>
      <c r="O240" s="81" t="s">
        <v>788</v>
      </c>
      <c r="P240" s="81" t="s">
        <v>325</v>
      </c>
      <c r="Q240" s="84" t="s">
        <v>1028</v>
      </c>
      <c r="R240" s="81" t="s">
        <v>494</v>
      </c>
      <c r="S240" s="81" t="s">
        <v>1562</v>
      </c>
      <c r="T240" s="86" t="str">
        <f>HYPERLINK("http://www.youtube.com/channel/UCBXLI4-dB-OMA6vvULUnJRg")</f>
        <v>http://www.youtube.com/channel/UCBXLI4-dB-OMA6vvULUnJRg</v>
      </c>
      <c r="U240" s="81"/>
      <c r="V240" s="81" t="s">
        <v>1885</v>
      </c>
      <c r="W240" s="86" t="str">
        <f>HYPERLINK("https://www.youtube.com/watch?v=wadBvDPeE4E")</f>
        <v>https://www.youtube.com/watch?v=wadBvDPeE4E</v>
      </c>
      <c r="X240" s="81" t="s">
        <v>1886</v>
      </c>
      <c r="Y240" s="81">
        <v>0</v>
      </c>
      <c r="Z240" s="88">
        <v>41208.05155092593</v>
      </c>
      <c r="AA240" s="88">
        <v>41208.05155092593</v>
      </c>
      <c r="AB240" s="81"/>
      <c r="AC240" s="81"/>
      <c r="AD240" s="84" t="s">
        <v>1927</v>
      </c>
      <c r="AE240" s="82">
        <v>9</v>
      </c>
      <c r="AF240" s="83" t="str">
        <f>REPLACE(INDEX(GroupVertices[Group],MATCH(Edges[[#This Row],[Vertex 1]],GroupVertices[Vertex],0)),1,1,"")</f>
        <v>1</v>
      </c>
      <c r="AG240" s="83" t="str">
        <f>REPLACE(INDEX(GroupVertices[Group],MATCH(Edges[[#This Row],[Vertex 2]],GroupVertices[Vertex],0)),1,1,"")</f>
        <v>1</v>
      </c>
      <c r="AH240" s="111">
        <v>3</v>
      </c>
      <c r="AI240" s="112">
        <v>6.382978723404255</v>
      </c>
      <c r="AJ240" s="111">
        <v>0</v>
      </c>
      <c r="AK240" s="112">
        <v>0</v>
      </c>
      <c r="AL240" s="111">
        <v>0</v>
      </c>
      <c r="AM240" s="112">
        <v>0</v>
      </c>
      <c r="AN240" s="111">
        <v>44</v>
      </c>
      <c r="AO240" s="112">
        <v>93.61702127659575</v>
      </c>
      <c r="AP240" s="111">
        <v>47</v>
      </c>
    </row>
    <row r="241" spans="1:42" ht="15">
      <c r="A241" s="65" t="s">
        <v>494</v>
      </c>
      <c r="B241" s="65" t="s">
        <v>786</v>
      </c>
      <c r="C241" s="66" t="s">
        <v>4517</v>
      </c>
      <c r="D241" s="67">
        <v>10</v>
      </c>
      <c r="E241" s="68"/>
      <c r="F241" s="69">
        <v>15</v>
      </c>
      <c r="G241" s="66"/>
      <c r="H241" s="70"/>
      <c r="I241" s="71"/>
      <c r="J241" s="71"/>
      <c r="K241" s="35" t="s">
        <v>65</v>
      </c>
      <c r="L241" s="79">
        <v>241</v>
      </c>
      <c r="M241" s="79"/>
      <c r="N241" s="73"/>
      <c r="O241" s="81" t="s">
        <v>788</v>
      </c>
      <c r="P241" s="81" t="s">
        <v>325</v>
      </c>
      <c r="Q241" s="84" t="s">
        <v>1029</v>
      </c>
      <c r="R241" s="81" t="s">
        <v>494</v>
      </c>
      <c r="S241" s="81" t="s">
        <v>1562</v>
      </c>
      <c r="T241" s="86" t="str">
        <f>HYPERLINK("http://www.youtube.com/channel/UCBXLI4-dB-OMA6vvULUnJRg")</f>
        <v>http://www.youtube.com/channel/UCBXLI4-dB-OMA6vvULUnJRg</v>
      </c>
      <c r="U241" s="81"/>
      <c r="V241" s="81" t="s">
        <v>1885</v>
      </c>
      <c r="W241" s="86" t="str">
        <f>HYPERLINK("https://www.youtube.com/watch?v=wadBvDPeE4E")</f>
        <v>https://www.youtube.com/watch?v=wadBvDPeE4E</v>
      </c>
      <c r="X241" s="81" t="s">
        <v>1886</v>
      </c>
      <c r="Y241" s="81">
        <v>0</v>
      </c>
      <c r="Z241" s="88">
        <v>41208.238217592596</v>
      </c>
      <c r="AA241" s="88">
        <v>41208.238217592596</v>
      </c>
      <c r="AB241" s="81"/>
      <c r="AC241" s="81"/>
      <c r="AD241" s="84" t="s">
        <v>1927</v>
      </c>
      <c r="AE241" s="82">
        <v>9</v>
      </c>
      <c r="AF241" s="83" t="str">
        <f>REPLACE(INDEX(GroupVertices[Group],MATCH(Edges[[#This Row],[Vertex 1]],GroupVertices[Vertex],0)),1,1,"")</f>
        <v>1</v>
      </c>
      <c r="AG241" s="83" t="str">
        <f>REPLACE(INDEX(GroupVertices[Group],MATCH(Edges[[#This Row],[Vertex 2]],GroupVertices[Vertex],0)),1,1,"")</f>
        <v>1</v>
      </c>
      <c r="AH241" s="111">
        <v>0</v>
      </c>
      <c r="AI241" s="112">
        <v>0</v>
      </c>
      <c r="AJ241" s="111">
        <v>0</v>
      </c>
      <c r="AK241" s="112">
        <v>0</v>
      </c>
      <c r="AL241" s="111">
        <v>0</v>
      </c>
      <c r="AM241" s="112">
        <v>0</v>
      </c>
      <c r="AN241" s="111">
        <v>14</v>
      </c>
      <c r="AO241" s="112">
        <v>100</v>
      </c>
      <c r="AP241" s="111">
        <v>14</v>
      </c>
    </row>
    <row r="242" spans="1:42" ht="15">
      <c r="A242" s="65" t="s">
        <v>495</v>
      </c>
      <c r="B242" s="65" t="s">
        <v>786</v>
      </c>
      <c r="C242" s="66" t="s">
        <v>4515</v>
      </c>
      <c r="D242" s="67">
        <v>10</v>
      </c>
      <c r="E242" s="68"/>
      <c r="F242" s="69">
        <v>15</v>
      </c>
      <c r="G242" s="66"/>
      <c r="H242" s="70"/>
      <c r="I242" s="71"/>
      <c r="J242" s="71"/>
      <c r="K242" s="35" t="s">
        <v>65</v>
      </c>
      <c r="L242" s="79">
        <v>242</v>
      </c>
      <c r="M242" s="79"/>
      <c r="N242" s="73"/>
      <c r="O242" s="81" t="s">
        <v>788</v>
      </c>
      <c r="P242" s="81" t="s">
        <v>325</v>
      </c>
      <c r="Q242" s="84" t="s">
        <v>1030</v>
      </c>
      <c r="R242" s="81" t="s">
        <v>495</v>
      </c>
      <c r="S242" s="81" t="s">
        <v>1563</v>
      </c>
      <c r="T242" s="86" t="str">
        <f>HYPERLINK("http://www.youtube.com/channel/UCaVj9dy6-8SIkGpknU4GZ8w")</f>
        <v>http://www.youtube.com/channel/UCaVj9dy6-8SIkGpknU4GZ8w</v>
      </c>
      <c r="U242" s="81"/>
      <c r="V242" s="81" t="s">
        <v>1885</v>
      </c>
      <c r="W242" s="86" t="str">
        <f>HYPERLINK("https://www.youtube.com/watch?v=wadBvDPeE4E")</f>
        <v>https://www.youtube.com/watch?v=wadBvDPeE4E</v>
      </c>
      <c r="X242" s="81" t="s">
        <v>1886</v>
      </c>
      <c r="Y242" s="81">
        <v>0</v>
      </c>
      <c r="Z242" s="88">
        <v>41207.96034722222</v>
      </c>
      <c r="AA242" s="88">
        <v>41207.96034722222</v>
      </c>
      <c r="AB242" s="81"/>
      <c r="AC242" s="81"/>
      <c r="AD242" s="84" t="s">
        <v>1927</v>
      </c>
      <c r="AE242" s="82">
        <v>6</v>
      </c>
      <c r="AF242" s="83" t="str">
        <f>REPLACE(INDEX(GroupVertices[Group],MATCH(Edges[[#This Row],[Vertex 1]],GroupVertices[Vertex],0)),1,1,"")</f>
        <v>1</v>
      </c>
      <c r="AG242" s="83" t="str">
        <f>REPLACE(INDEX(GroupVertices[Group],MATCH(Edges[[#This Row],[Vertex 2]],GroupVertices[Vertex],0)),1,1,"")</f>
        <v>1</v>
      </c>
      <c r="AH242" s="111">
        <v>4</v>
      </c>
      <c r="AI242" s="112">
        <v>4.3478260869565215</v>
      </c>
      <c r="AJ242" s="111">
        <v>1</v>
      </c>
      <c r="AK242" s="112">
        <v>1.0869565217391304</v>
      </c>
      <c r="AL242" s="111">
        <v>0</v>
      </c>
      <c r="AM242" s="112">
        <v>0</v>
      </c>
      <c r="AN242" s="111">
        <v>87</v>
      </c>
      <c r="AO242" s="112">
        <v>94.56521739130434</v>
      </c>
      <c r="AP242" s="111">
        <v>92</v>
      </c>
    </row>
    <row r="243" spans="1:42" ht="15">
      <c r="A243" s="65" t="s">
        <v>495</v>
      </c>
      <c r="B243" s="65" t="s">
        <v>786</v>
      </c>
      <c r="C243" s="66" t="s">
        <v>4515</v>
      </c>
      <c r="D243" s="67">
        <v>10</v>
      </c>
      <c r="E243" s="68"/>
      <c r="F243" s="69">
        <v>15</v>
      </c>
      <c r="G243" s="66"/>
      <c r="H243" s="70"/>
      <c r="I243" s="71"/>
      <c r="J243" s="71"/>
      <c r="K243" s="35" t="s">
        <v>65</v>
      </c>
      <c r="L243" s="79">
        <v>243</v>
      </c>
      <c r="M243" s="79"/>
      <c r="N243" s="73"/>
      <c r="O243" s="81" t="s">
        <v>788</v>
      </c>
      <c r="P243" s="81" t="s">
        <v>325</v>
      </c>
      <c r="Q243" s="84" t="s">
        <v>1031</v>
      </c>
      <c r="R243" s="81" t="s">
        <v>495</v>
      </c>
      <c r="S243" s="81" t="s">
        <v>1563</v>
      </c>
      <c r="T243" s="86" t="str">
        <f>HYPERLINK("http://www.youtube.com/channel/UCaVj9dy6-8SIkGpknU4GZ8w")</f>
        <v>http://www.youtube.com/channel/UCaVj9dy6-8SIkGpknU4GZ8w</v>
      </c>
      <c r="U243" s="81"/>
      <c r="V243" s="81" t="s">
        <v>1885</v>
      </c>
      <c r="W243" s="86" t="str">
        <f>HYPERLINK("https://www.youtube.com/watch?v=wadBvDPeE4E")</f>
        <v>https://www.youtube.com/watch?v=wadBvDPeE4E</v>
      </c>
      <c r="X243" s="81" t="s">
        <v>1886</v>
      </c>
      <c r="Y243" s="81">
        <v>0</v>
      </c>
      <c r="Z243" s="88">
        <v>41207.960439814815</v>
      </c>
      <c r="AA243" s="88">
        <v>41207.960439814815</v>
      </c>
      <c r="AB243" s="81"/>
      <c r="AC243" s="81"/>
      <c r="AD243" s="84" t="s">
        <v>1927</v>
      </c>
      <c r="AE243" s="82">
        <v>6</v>
      </c>
      <c r="AF243" s="83" t="str">
        <f>REPLACE(INDEX(GroupVertices[Group],MATCH(Edges[[#This Row],[Vertex 1]],GroupVertices[Vertex],0)),1,1,"")</f>
        <v>1</v>
      </c>
      <c r="AG243" s="83" t="str">
        <f>REPLACE(INDEX(GroupVertices[Group],MATCH(Edges[[#This Row],[Vertex 2]],GroupVertices[Vertex],0)),1,1,"")</f>
        <v>1</v>
      </c>
      <c r="AH243" s="111">
        <v>1</v>
      </c>
      <c r="AI243" s="112">
        <v>4.761904761904762</v>
      </c>
      <c r="AJ243" s="111">
        <v>1</v>
      </c>
      <c r="AK243" s="112">
        <v>4.761904761904762</v>
      </c>
      <c r="AL243" s="111">
        <v>0</v>
      </c>
      <c r="AM243" s="112">
        <v>0</v>
      </c>
      <c r="AN243" s="111">
        <v>19</v>
      </c>
      <c r="AO243" s="112">
        <v>90.47619047619048</v>
      </c>
      <c r="AP243" s="111">
        <v>21</v>
      </c>
    </row>
    <row r="244" spans="1:42" ht="15">
      <c r="A244" s="65" t="s">
        <v>495</v>
      </c>
      <c r="B244" s="65" t="s">
        <v>786</v>
      </c>
      <c r="C244" s="66" t="s">
        <v>4515</v>
      </c>
      <c r="D244" s="67">
        <v>10</v>
      </c>
      <c r="E244" s="68"/>
      <c r="F244" s="69">
        <v>15</v>
      </c>
      <c r="G244" s="66"/>
      <c r="H244" s="70"/>
      <c r="I244" s="71"/>
      <c r="J244" s="71"/>
      <c r="K244" s="35" t="s">
        <v>65</v>
      </c>
      <c r="L244" s="79">
        <v>244</v>
      </c>
      <c r="M244" s="79"/>
      <c r="N244" s="73"/>
      <c r="O244" s="81" t="s">
        <v>788</v>
      </c>
      <c r="P244" s="81" t="s">
        <v>325</v>
      </c>
      <c r="Q244" s="84" t="s">
        <v>1032</v>
      </c>
      <c r="R244" s="81" t="s">
        <v>495</v>
      </c>
      <c r="S244" s="81" t="s">
        <v>1563</v>
      </c>
      <c r="T244" s="86" t="str">
        <f>HYPERLINK("http://www.youtube.com/channel/UCaVj9dy6-8SIkGpknU4GZ8w")</f>
        <v>http://www.youtube.com/channel/UCaVj9dy6-8SIkGpknU4GZ8w</v>
      </c>
      <c r="U244" s="81"/>
      <c r="V244" s="81" t="s">
        <v>1885</v>
      </c>
      <c r="W244" s="86" t="str">
        <f>HYPERLINK("https://www.youtube.com/watch?v=wadBvDPeE4E")</f>
        <v>https://www.youtube.com/watch?v=wadBvDPeE4E</v>
      </c>
      <c r="X244" s="81" t="s">
        <v>1886</v>
      </c>
      <c r="Y244" s="81">
        <v>0</v>
      </c>
      <c r="Z244" s="88">
        <v>41208.016018518516</v>
      </c>
      <c r="AA244" s="88">
        <v>41208.016018518516</v>
      </c>
      <c r="AB244" s="81"/>
      <c r="AC244" s="81"/>
      <c r="AD244" s="84" t="s">
        <v>1927</v>
      </c>
      <c r="AE244" s="82">
        <v>6</v>
      </c>
      <c r="AF244" s="83" t="str">
        <f>REPLACE(INDEX(GroupVertices[Group],MATCH(Edges[[#This Row],[Vertex 1]],GroupVertices[Vertex],0)),1,1,"")</f>
        <v>1</v>
      </c>
      <c r="AG244" s="83" t="str">
        <f>REPLACE(INDEX(GroupVertices[Group],MATCH(Edges[[#This Row],[Vertex 2]],GroupVertices[Vertex],0)),1,1,"")</f>
        <v>1</v>
      </c>
      <c r="AH244" s="111">
        <v>7</v>
      </c>
      <c r="AI244" s="112">
        <v>7.368421052631579</v>
      </c>
      <c r="AJ244" s="111">
        <v>2</v>
      </c>
      <c r="AK244" s="112">
        <v>2.1052631578947367</v>
      </c>
      <c r="AL244" s="111">
        <v>0</v>
      </c>
      <c r="AM244" s="112">
        <v>0</v>
      </c>
      <c r="AN244" s="111">
        <v>86</v>
      </c>
      <c r="AO244" s="112">
        <v>90.52631578947368</v>
      </c>
      <c r="AP244" s="111">
        <v>95</v>
      </c>
    </row>
    <row r="245" spans="1:42" ht="15">
      <c r="A245" s="65" t="s">
        <v>495</v>
      </c>
      <c r="B245" s="65" t="s">
        <v>786</v>
      </c>
      <c r="C245" s="66" t="s">
        <v>4515</v>
      </c>
      <c r="D245" s="67">
        <v>10</v>
      </c>
      <c r="E245" s="68"/>
      <c r="F245" s="69">
        <v>15</v>
      </c>
      <c r="G245" s="66"/>
      <c r="H245" s="70"/>
      <c r="I245" s="71"/>
      <c r="J245" s="71"/>
      <c r="K245" s="35" t="s">
        <v>65</v>
      </c>
      <c r="L245" s="79">
        <v>245</v>
      </c>
      <c r="M245" s="79"/>
      <c r="N245" s="73"/>
      <c r="O245" s="81" t="s">
        <v>788</v>
      </c>
      <c r="P245" s="81" t="s">
        <v>325</v>
      </c>
      <c r="Q245" s="84" t="s">
        <v>1033</v>
      </c>
      <c r="R245" s="81" t="s">
        <v>495</v>
      </c>
      <c r="S245" s="81" t="s">
        <v>1563</v>
      </c>
      <c r="T245" s="86" t="str">
        <f>HYPERLINK("http://www.youtube.com/channel/UCaVj9dy6-8SIkGpknU4GZ8w")</f>
        <v>http://www.youtube.com/channel/UCaVj9dy6-8SIkGpknU4GZ8w</v>
      </c>
      <c r="U245" s="81"/>
      <c r="V245" s="81" t="s">
        <v>1885</v>
      </c>
      <c r="W245" s="86" t="str">
        <f>HYPERLINK("https://www.youtube.com/watch?v=wadBvDPeE4E")</f>
        <v>https://www.youtube.com/watch?v=wadBvDPeE4E</v>
      </c>
      <c r="X245" s="81" t="s">
        <v>1886</v>
      </c>
      <c r="Y245" s="81">
        <v>0</v>
      </c>
      <c r="Z245" s="88">
        <v>41208.01844907407</v>
      </c>
      <c r="AA245" s="88">
        <v>41208.01844907407</v>
      </c>
      <c r="AB245" s="81"/>
      <c r="AC245" s="81"/>
      <c r="AD245" s="84" t="s">
        <v>1927</v>
      </c>
      <c r="AE245" s="82">
        <v>6</v>
      </c>
      <c r="AF245" s="83" t="str">
        <f>REPLACE(INDEX(GroupVertices[Group],MATCH(Edges[[#This Row],[Vertex 1]],GroupVertices[Vertex],0)),1,1,"")</f>
        <v>1</v>
      </c>
      <c r="AG245" s="83" t="str">
        <f>REPLACE(INDEX(GroupVertices[Group],MATCH(Edges[[#This Row],[Vertex 2]],GroupVertices[Vertex],0)),1,1,"")</f>
        <v>1</v>
      </c>
      <c r="AH245" s="111">
        <v>3</v>
      </c>
      <c r="AI245" s="112">
        <v>3</v>
      </c>
      <c r="AJ245" s="111">
        <v>4</v>
      </c>
      <c r="AK245" s="112">
        <v>4</v>
      </c>
      <c r="AL245" s="111">
        <v>0</v>
      </c>
      <c r="AM245" s="112">
        <v>0</v>
      </c>
      <c r="AN245" s="111">
        <v>93</v>
      </c>
      <c r="AO245" s="112">
        <v>93</v>
      </c>
      <c r="AP245" s="111">
        <v>100</v>
      </c>
    </row>
    <row r="246" spans="1:42" ht="15">
      <c r="A246" s="65" t="s">
        <v>495</v>
      </c>
      <c r="B246" s="65" t="s">
        <v>786</v>
      </c>
      <c r="C246" s="66" t="s">
        <v>4515</v>
      </c>
      <c r="D246" s="67">
        <v>10</v>
      </c>
      <c r="E246" s="68"/>
      <c r="F246" s="69">
        <v>15</v>
      </c>
      <c r="G246" s="66"/>
      <c r="H246" s="70"/>
      <c r="I246" s="71"/>
      <c r="J246" s="71"/>
      <c r="K246" s="35" t="s">
        <v>65</v>
      </c>
      <c r="L246" s="79">
        <v>246</v>
      </c>
      <c r="M246" s="79"/>
      <c r="N246" s="73"/>
      <c r="O246" s="81" t="s">
        <v>788</v>
      </c>
      <c r="P246" s="81" t="s">
        <v>325</v>
      </c>
      <c r="Q246" s="84" t="s">
        <v>1034</v>
      </c>
      <c r="R246" s="81" t="s">
        <v>495</v>
      </c>
      <c r="S246" s="81" t="s">
        <v>1563</v>
      </c>
      <c r="T246" s="86" t="str">
        <f>HYPERLINK("http://www.youtube.com/channel/UCaVj9dy6-8SIkGpknU4GZ8w")</f>
        <v>http://www.youtube.com/channel/UCaVj9dy6-8SIkGpknU4GZ8w</v>
      </c>
      <c r="U246" s="81"/>
      <c r="V246" s="81" t="s">
        <v>1885</v>
      </c>
      <c r="W246" s="86" t="str">
        <f>HYPERLINK("https://www.youtube.com/watch?v=wadBvDPeE4E")</f>
        <v>https://www.youtube.com/watch?v=wadBvDPeE4E</v>
      </c>
      <c r="X246" s="81" t="s">
        <v>1886</v>
      </c>
      <c r="Y246" s="81">
        <v>0</v>
      </c>
      <c r="Z246" s="88">
        <v>41208.223333333335</v>
      </c>
      <c r="AA246" s="88">
        <v>41208.223333333335</v>
      </c>
      <c r="AB246" s="81"/>
      <c r="AC246" s="81"/>
      <c r="AD246" s="84" t="s">
        <v>1927</v>
      </c>
      <c r="AE246" s="82">
        <v>6</v>
      </c>
      <c r="AF246" s="83" t="str">
        <f>REPLACE(INDEX(GroupVertices[Group],MATCH(Edges[[#This Row],[Vertex 1]],GroupVertices[Vertex],0)),1,1,"")</f>
        <v>1</v>
      </c>
      <c r="AG246" s="83" t="str">
        <f>REPLACE(INDEX(GroupVertices[Group],MATCH(Edges[[#This Row],[Vertex 2]],GroupVertices[Vertex],0)),1,1,"")</f>
        <v>1</v>
      </c>
      <c r="AH246" s="111">
        <v>4</v>
      </c>
      <c r="AI246" s="112">
        <v>4.301075268817204</v>
      </c>
      <c r="AJ246" s="111">
        <v>0</v>
      </c>
      <c r="AK246" s="112">
        <v>0</v>
      </c>
      <c r="AL246" s="111">
        <v>0</v>
      </c>
      <c r="AM246" s="112">
        <v>0</v>
      </c>
      <c r="AN246" s="111">
        <v>89</v>
      </c>
      <c r="AO246" s="112">
        <v>95.6989247311828</v>
      </c>
      <c r="AP246" s="111">
        <v>93</v>
      </c>
    </row>
    <row r="247" spans="1:42" ht="15">
      <c r="A247" s="65" t="s">
        <v>495</v>
      </c>
      <c r="B247" s="65" t="s">
        <v>786</v>
      </c>
      <c r="C247" s="66" t="s">
        <v>4515</v>
      </c>
      <c r="D247" s="67">
        <v>10</v>
      </c>
      <c r="E247" s="68"/>
      <c r="F247" s="69">
        <v>15</v>
      </c>
      <c r="G247" s="66"/>
      <c r="H247" s="70"/>
      <c r="I247" s="71"/>
      <c r="J247" s="71"/>
      <c r="K247" s="35" t="s">
        <v>65</v>
      </c>
      <c r="L247" s="79">
        <v>247</v>
      </c>
      <c r="M247" s="79"/>
      <c r="N247" s="73"/>
      <c r="O247" s="81" t="s">
        <v>788</v>
      </c>
      <c r="P247" s="81" t="s">
        <v>325</v>
      </c>
      <c r="Q247" s="84" t="s">
        <v>1035</v>
      </c>
      <c r="R247" s="81" t="s">
        <v>495</v>
      </c>
      <c r="S247" s="81" t="s">
        <v>1563</v>
      </c>
      <c r="T247" s="86" t="str">
        <f>HYPERLINK("http://www.youtube.com/channel/UCaVj9dy6-8SIkGpknU4GZ8w")</f>
        <v>http://www.youtube.com/channel/UCaVj9dy6-8SIkGpknU4GZ8w</v>
      </c>
      <c r="U247" s="81"/>
      <c r="V247" s="81" t="s">
        <v>1885</v>
      </c>
      <c r="W247" s="86" t="str">
        <f>HYPERLINK("https://www.youtube.com/watch?v=wadBvDPeE4E")</f>
        <v>https://www.youtube.com/watch?v=wadBvDPeE4E</v>
      </c>
      <c r="X247" s="81" t="s">
        <v>1886</v>
      </c>
      <c r="Y247" s="81">
        <v>0</v>
      </c>
      <c r="Z247" s="88">
        <v>41208.28050925926</v>
      </c>
      <c r="AA247" s="88">
        <v>41208.28050925926</v>
      </c>
      <c r="AB247" s="81"/>
      <c r="AC247" s="81"/>
      <c r="AD247" s="84" t="s">
        <v>1927</v>
      </c>
      <c r="AE247" s="82">
        <v>6</v>
      </c>
      <c r="AF247" s="83" t="str">
        <f>REPLACE(INDEX(GroupVertices[Group],MATCH(Edges[[#This Row],[Vertex 1]],GroupVertices[Vertex],0)),1,1,"")</f>
        <v>1</v>
      </c>
      <c r="AG247" s="83" t="str">
        <f>REPLACE(INDEX(GroupVertices[Group],MATCH(Edges[[#This Row],[Vertex 2]],GroupVertices[Vertex],0)),1,1,"")</f>
        <v>1</v>
      </c>
      <c r="AH247" s="111">
        <v>0</v>
      </c>
      <c r="AI247" s="112">
        <v>0</v>
      </c>
      <c r="AJ247" s="111">
        <v>0</v>
      </c>
      <c r="AK247" s="112">
        <v>0</v>
      </c>
      <c r="AL247" s="111">
        <v>0</v>
      </c>
      <c r="AM247" s="112">
        <v>0</v>
      </c>
      <c r="AN247" s="111">
        <v>52</v>
      </c>
      <c r="AO247" s="112">
        <v>100</v>
      </c>
      <c r="AP247" s="111">
        <v>52</v>
      </c>
    </row>
    <row r="248" spans="1:42" ht="15">
      <c r="A248" s="65" t="s">
        <v>496</v>
      </c>
      <c r="B248" s="65" t="s">
        <v>786</v>
      </c>
      <c r="C248" s="66" t="s">
        <v>4509</v>
      </c>
      <c r="D248" s="67">
        <v>3</v>
      </c>
      <c r="E248" s="68"/>
      <c r="F248" s="69">
        <v>40</v>
      </c>
      <c r="G248" s="66"/>
      <c r="H248" s="70"/>
      <c r="I248" s="71"/>
      <c r="J248" s="71"/>
      <c r="K248" s="35" t="s">
        <v>65</v>
      </c>
      <c r="L248" s="79">
        <v>248</v>
      </c>
      <c r="M248" s="79"/>
      <c r="N248" s="73"/>
      <c r="O248" s="81" t="s">
        <v>788</v>
      </c>
      <c r="P248" s="81" t="s">
        <v>325</v>
      </c>
      <c r="Q248" s="84" t="s">
        <v>1036</v>
      </c>
      <c r="R248" s="81" t="s">
        <v>496</v>
      </c>
      <c r="S248" s="81" t="s">
        <v>1564</v>
      </c>
      <c r="T248" s="86" t="str">
        <f>HYPERLINK("http://www.youtube.com/channel/UCBXhOMzNoFQJBBrVyXBsQQA")</f>
        <v>http://www.youtube.com/channel/UCBXhOMzNoFQJBBrVyXBsQQA</v>
      </c>
      <c r="U248" s="81"/>
      <c r="V248" s="81" t="s">
        <v>1885</v>
      </c>
      <c r="W248" s="86" t="str">
        <f>HYPERLINK("https://www.youtube.com/watch?v=wadBvDPeE4E")</f>
        <v>https://www.youtube.com/watch?v=wadBvDPeE4E</v>
      </c>
      <c r="X248" s="81" t="s">
        <v>1886</v>
      </c>
      <c r="Y248" s="81">
        <v>0</v>
      </c>
      <c r="Z248" s="88">
        <v>41209.021944444445</v>
      </c>
      <c r="AA248" s="88">
        <v>41209.021944444445</v>
      </c>
      <c r="AB248" s="81"/>
      <c r="AC248" s="81"/>
      <c r="AD248" s="84" t="s">
        <v>1927</v>
      </c>
      <c r="AE248" s="82">
        <v>1</v>
      </c>
      <c r="AF248" s="83" t="str">
        <f>REPLACE(INDEX(GroupVertices[Group],MATCH(Edges[[#This Row],[Vertex 1]],GroupVertices[Vertex],0)),1,1,"")</f>
        <v>1</v>
      </c>
      <c r="AG248" s="83" t="str">
        <f>REPLACE(INDEX(GroupVertices[Group],MATCH(Edges[[#This Row],[Vertex 2]],GroupVertices[Vertex],0)),1,1,"")</f>
        <v>1</v>
      </c>
      <c r="AH248" s="111">
        <v>1</v>
      </c>
      <c r="AI248" s="112">
        <v>1.9607843137254901</v>
      </c>
      <c r="AJ248" s="111">
        <v>3</v>
      </c>
      <c r="AK248" s="112">
        <v>5.882352941176471</v>
      </c>
      <c r="AL248" s="111">
        <v>0</v>
      </c>
      <c r="AM248" s="112">
        <v>0</v>
      </c>
      <c r="AN248" s="111">
        <v>47</v>
      </c>
      <c r="AO248" s="112">
        <v>92.15686274509804</v>
      </c>
      <c r="AP248" s="111">
        <v>51</v>
      </c>
    </row>
    <row r="249" spans="1:42" ht="15">
      <c r="A249" s="65" t="s">
        <v>497</v>
      </c>
      <c r="B249" s="65" t="s">
        <v>786</v>
      </c>
      <c r="C249" s="66" t="s">
        <v>4510</v>
      </c>
      <c r="D249" s="67">
        <v>5.333333333333334</v>
      </c>
      <c r="E249" s="68"/>
      <c r="F249" s="69">
        <v>31.666666666666664</v>
      </c>
      <c r="G249" s="66"/>
      <c r="H249" s="70"/>
      <c r="I249" s="71"/>
      <c r="J249" s="71"/>
      <c r="K249" s="35" t="s">
        <v>65</v>
      </c>
      <c r="L249" s="79">
        <v>249</v>
      </c>
      <c r="M249" s="79"/>
      <c r="N249" s="73"/>
      <c r="O249" s="81" t="s">
        <v>788</v>
      </c>
      <c r="P249" s="81" t="s">
        <v>325</v>
      </c>
      <c r="Q249" s="84" t="s">
        <v>1037</v>
      </c>
      <c r="R249" s="81" t="s">
        <v>497</v>
      </c>
      <c r="S249" s="81" t="s">
        <v>1565</v>
      </c>
      <c r="T249" s="86" t="str">
        <f>HYPERLINK("http://www.youtube.com/channel/UCelX8funsIY4mqUUnBE6ZAg")</f>
        <v>http://www.youtube.com/channel/UCelX8funsIY4mqUUnBE6ZAg</v>
      </c>
      <c r="U249" s="81"/>
      <c r="V249" s="81" t="s">
        <v>1885</v>
      </c>
      <c r="W249" s="86" t="str">
        <f>HYPERLINK("https://www.youtube.com/watch?v=wadBvDPeE4E")</f>
        <v>https://www.youtube.com/watch?v=wadBvDPeE4E</v>
      </c>
      <c r="X249" s="81" t="s">
        <v>1886</v>
      </c>
      <c r="Y249" s="81">
        <v>0</v>
      </c>
      <c r="Z249" s="88">
        <v>41204.9146412037</v>
      </c>
      <c r="AA249" s="88">
        <v>41204.9146412037</v>
      </c>
      <c r="AB249" s="81"/>
      <c r="AC249" s="81"/>
      <c r="AD249" s="84" t="s">
        <v>1927</v>
      </c>
      <c r="AE249" s="82">
        <v>2</v>
      </c>
      <c r="AF249" s="83" t="str">
        <f>REPLACE(INDEX(GroupVertices[Group],MATCH(Edges[[#This Row],[Vertex 1]],GroupVertices[Vertex],0)),1,1,"")</f>
        <v>1</v>
      </c>
      <c r="AG249" s="83" t="str">
        <f>REPLACE(INDEX(GroupVertices[Group],MATCH(Edges[[#This Row],[Vertex 2]],GroupVertices[Vertex],0)),1,1,"")</f>
        <v>1</v>
      </c>
      <c r="AH249" s="111">
        <v>4</v>
      </c>
      <c r="AI249" s="112">
        <v>4.395604395604396</v>
      </c>
      <c r="AJ249" s="111">
        <v>3</v>
      </c>
      <c r="AK249" s="112">
        <v>3.2967032967032965</v>
      </c>
      <c r="AL249" s="111">
        <v>0</v>
      </c>
      <c r="AM249" s="112">
        <v>0</v>
      </c>
      <c r="AN249" s="111">
        <v>84</v>
      </c>
      <c r="AO249" s="112">
        <v>92.3076923076923</v>
      </c>
      <c r="AP249" s="111">
        <v>91</v>
      </c>
    </row>
    <row r="250" spans="1:42" ht="15">
      <c r="A250" s="65" t="s">
        <v>497</v>
      </c>
      <c r="B250" s="65" t="s">
        <v>786</v>
      </c>
      <c r="C250" s="66" t="s">
        <v>4510</v>
      </c>
      <c r="D250" s="67">
        <v>5.333333333333334</v>
      </c>
      <c r="E250" s="68"/>
      <c r="F250" s="69">
        <v>31.666666666666664</v>
      </c>
      <c r="G250" s="66"/>
      <c r="H250" s="70"/>
      <c r="I250" s="71"/>
      <c r="J250" s="71"/>
      <c r="K250" s="35" t="s">
        <v>65</v>
      </c>
      <c r="L250" s="79">
        <v>250</v>
      </c>
      <c r="M250" s="79"/>
      <c r="N250" s="73"/>
      <c r="O250" s="81" t="s">
        <v>788</v>
      </c>
      <c r="P250" s="81" t="s">
        <v>325</v>
      </c>
      <c r="Q250" s="84" t="s">
        <v>1038</v>
      </c>
      <c r="R250" s="81" t="s">
        <v>497</v>
      </c>
      <c r="S250" s="81" t="s">
        <v>1565</v>
      </c>
      <c r="T250" s="86" t="str">
        <f>HYPERLINK("http://www.youtube.com/channel/UCelX8funsIY4mqUUnBE6ZAg")</f>
        <v>http://www.youtube.com/channel/UCelX8funsIY4mqUUnBE6ZAg</v>
      </c>
      <c r="U250" s="81"/>
      <c r="V250" s="81" t="s">
        <v>1885</v>
      </c>
      <c r="W250" s="86" t="str">
        <f>HYPERLINK("https://www.youtube.com/watch?v=wadBvDPeE4E")</f>
        <v>https://www.youtube.com/watch?v=wadBvDPeE4E</v>
      </c>
      <c r="X250" s="81" t="s">
        <v>1886</v>
      </c>
      <c r="Y250" s="81">
        <v>0</v>
      </c>
      <c r="Z250" s="88">
        <v>41209.535844907405</v>
      </c>
      <c r="AA250" s="88">
        <v>41209.535844907405</v>
      </c>
      <c r="AB250" s="81"/>
      <c r="AC250" s="81"/>
      <c r="AD250" s="84" t="s">
        <v>1927</v>
      </c>
      <c r="AE250" s="82">
        <v>2</v>
      </c>
      <c r="AF250" s="83" t="str">
        <f>REPLACE(INDEX(GroupVertices[Group],MATCH(Edges[[#This Row],[Vertex 1]],GroupVertices[Vertex],0)),1,1,"")</f>
        <v>1</v>
      </c>
      <c r="AG250" s="83" t="str">
        <f>REPLACE(INDEX(GroupVertices[Group],MATCH(Edges[[#This Row],[Vertex 2]],GroupVertices[Vertex],0)),1,1,"")</f>
        <v>1</v>
      </c>
      <c r="AH250" s="111">
        <v>4</v>
      </c>
      <c r="AI250" s="112">
        <v>4.444444444444445</v>
      </c>
      <c r="AJ250" s="111">
        <v>2</v>
      </c>
      <c r="AK250" s="112">
        <v>2.2222222222222223</v>
      </c>
      <c r="AL250" s="111">
        <v>0</v>
      </c>
      <c r="AM250" s="112">
        <v>0</v>
      </c>
      <c r="AN250" s="111">
        <v>84</v>
      </c>
      <c r="AO250" s="112">
        <v>93.33333333333333</v>
      </c>
      <c r="AP250" s="111">
        <v>90</v>
      </c>
    </row>
    <row r="251" spans="1:42" ht="15">
      <c r="A251" s="65" t="s">
        <v>498</v>
      </c>
      <c r="B251" s="65" t="s">
        <v>786</v>
      </c>
      <c r="C251" s="66" t="s">
        <v>4509</v>
      </c>
      <c r="D251" s="67">
        <v>3</v>
      </c>
      <c r="E251" s="68"/>
      <c r="F251" s="69">
        <v>40</v>
      </c>
      <c r="G251" s="66"/>
      <c r="H251" s="70"/>
      <c r="I251" s="71"/>
      <c r="J251" s="71"/>
      <c r="K251" s="35" t="s">
        <v>65</v>
      </c>
      <c r="L251" s="79">
        <v>251</v>
      </c>
      <c r="M251" s="79"/>
      <c r="N251" s="73"/>
      <c r="O251" s="81" t="s">
        <v>788</v>
      </c>
      <c r="P251" s="81" t="s">
        <v>325</v>
      </c>
      <c r="Q251" s="84" t="s">
        <v>1039</v>
      </c>
      <c r="R251" s="81" t="s">
        <v>498</v>
      </c>
      <c r="S251" s="81" t="s">
        <v>1566</v>
      </c>
      <c r="T251" s="86" t="str">
        <f>HYPERLINK("http://www.youtube.com/channel/UCHugYXdGnfn6HRlcgRkXfeA")</f>
        <v>http://www.youtube.com/channel/UCHugYXdGnfn6HRlcgRkXfeA</v>
      </c>
      <c r="U251" s="81"/>
      <c r="V251" s="81" t="s">
        <v>1885</v>
      </c>
      <c r="W251" s="86" t="str">
        <f>HYPERLINK("https://www.youtube.com/watch?v=wadBvDPeE4E")</f>
        <v>https://www.youtube.com/watch?v=wadBvDPeE4E</v>
      </c>
      <c r="X251" s="81" t="s">
        <v>1886</v>
      </c>
      <c r="Y251" s="81">
        <v>0</v>
      </c>
      <c r="Z251" s="88">
        <v>41210.8215625</v>
      </c>
      <c r="AA251" s="88">
        <v>41210.8215625</v>
      </c>
      <c r="AB251" s="81"/>
      <c r="AC251" s="81"/>
      <c r="AD251" s="84" t="s">
        <v>1927</v>
      </c>
      <c r="AE251" s="82">
        <v>1</v>
      </c>
      <c r="AF251" s="83" t="str">
        <f>REPLACE(INDEX(GroupVertices[Group],MATCH(Edges[[#This Row],[Vertex 1]],GroupVertices[Vertex],0)),1,1,"")</f>
        <v>1</v>
      </c>
      <c r="AG251" s="83" t="str">
        <f>REPLACE(INDEX(GroupVertices[Group],MATCH(Edges[[#This Row],[Vertex 2]],GroupVertices[Vertex],0)),1,1,"")</f>
        <v>1</v>
      </c>
      <c r="AH251" s="111">
        <v>4</v>
      </c>
      <c r="AI251" s="112">
        <v>6.779661016949152</v>
      </c>
      <c r="AJ251" s="111">
        <v>2</v>
      </c>
      <c r="AK251" s="112">
        <v>3.389830508474576</v>
      </c>
      <c r="AL251" s="111">
        <v>0</v>
      </c>
      <c r="AM251" s="112">
        <v>0</v>
      </c>
      <c r="AN251" s="111">
        <v>53</v>
      </c>
      <c r="AO251" s="112">
        <v>89.83050847457628</v>
      </c>
      <c r="AP251" s="111">
        <v>59</v>
      </c>
    </row>
    <row r="252" spans="1:42" ht="15">
      <c r="A252" s="65" t="s">
        <v>499</v>
      </c>
      <c r="B252" s="65" t="s">
        <v>786</v>
      </c>
      <c r="C252" s="66" t="s">
        <v>4509</v>
      </c>
      <c r="D252" s="67">
        <v>3</v>
      </c>
      <c r="E252" s="68"/>
      <c r="F252" s="69">
        <v>40</v>
      </c>
      <c r="G252" s="66"/>
      <c r="H252" s="70"/>
      <c r="I252" s="71"/>
      <c r="J252" s="71"/>
      <c r="K252" s="35" t="s">
        <v>65</v>
      </c>
      <c r="L252" s="79">
        <v>252</v>
      </c>
      <c r="M252" s="79"/>
      <c r="N252" s="73"/>
      <c r="O252" s="81" t="s">
        <v>788</v>
      </c>
      <c r="P252" s="81" t="s">
        <v>325</v>
      </c>
      <c r="Q252" s="84" t="s">
        <v>1040</v>
      </c>
      <c r="R252" s="81" t="s">
        <v>499</v>
      </c>
      <c r="S252" s="81" t="s">
        <v>1567</v>
      </c>
      <c r="T252" s="86" t="str">
        <f>HYPERLINK("http://www.youtube.com/channel/UCNnxGXWJRUuie_mEDKhlYaA")</f>
        <v>http://www.youtube.com/channel/UCNnxGXWJRUuie_mEDKhlYaA</v>
      </c>
      <c r="U252" s="81"/>
      <c r="V252" s="81" t="s">
        <v>1885</v>
      </c>
      <c r="W252" s="86" t="str">
        <f>HYPERLINK("https://www.youtube.com/watch?v=wadBvDPeE4E")</f>
        <v>https://www.youtube.com/watch?v=wadBvDPeE4E</v>
      </c>
      <c r="X252" s="81" t="s">
        <v>1886</v>
      </c>
      <c r="Y252" s="81">
        <v>0</v>
      </c>
      <c r="Z252" s="88">
        <v>41211.53706018518</v>
      </c>
      <c r="AA252" s="88">
        <v>41211.53706018518</v>
      </c>
      <c r="AB252" s="81"/>
      <c r="AC252" s="81"/>
      <c r="AD252" s="84" t="s">
        <v>1927</v>
      </c>
      <c r="AE252" s="82">
        <v>1</v>
      </c>
      <c r="AF252" s="83" t="str">
        <f>REPLACE(INDEX(GroupVertices[Group],MATCH(Edges[[#This Row],[Vertex 1]],GroupVertices[Vertex],0)),1,1,"")</f>
        <v>1</v>
      </c>
      <c r="AG252" s="83" t="str">
        <f>REPLACE(INDEX(GroupVertices[Group],MATCH(Edges[[#This Row],[Vertex 2]],GroupVertices[Vertex],0)),1,1,"")</f>
        <v>1</v>
      </c>
      <c r="AH252" s="111">
        <v>0</v>
      </c>
      <c r="AI252" s="112">
        <v>0</v>
      </c>
      <c r="AJ252" s="111">
        <v>2</v>
      </c>
      <c r="AK252" s="112">
        <v>8</v>
      </c>
      <c r="AL252" s="111">
        <v>0</v>
      </c>
      <c r="AM252" s="112">
        <v>0</v>
      </c>
      <c r="AN252" s="111">
        <v>23</v>
      </c>
      <c r="AO252" s="112">
        <v>92</v>
      </c>
      <c r="AP252" s="111">
        <v>25</v>
      </c>
    </row>
    <row r="253" spans="1:42" ht="15">
      <c r="A253" s="65" t="s">
        <v>500</v>
      </c>
      <c r="B253" s="65" t="s">
        <v>786</v>
      </c>
      <c r="C253" s="66" t="s">
        <v>4509</v>
      </c>
      <c r="D253" s="67">
        <v>3</v>
      </c>
      <c r="E253" s="68"/>
      <c r="F253" s="69">
        <v>40</v>
      </c>
      <c r="G253" s="66"/>
      <c r="H253" s="70"/>
      <c r="I253" s="71"/>
      <c r="J253" s="71"/>
      <c r="K253" s="35" t="s">
        <v>65</v>
      </c>
      <c r="L253" s="79">
        <v>253</v>
      </c>
      <c r="M253" s="79"/>
      <c r="N253" s="73"/>
      <c r="O253" s="81" t="s">
        <v>788</v>
      </c>
      <c r="P253" s="81" t="s">
        <v>325</v>
      </c>
      <c r="Q253" s="84" t="s">
        <v>1041</v>
      </c>
      <c r="R253" s="81" t="s">
        <v>500</v>
      </c>
      <c r="S253" s="81" t="s">
        <v>1568</v>
      </c>
      <c r="T253" s="86" t="str">
        <f>HYPERLINK("http://www.youtube.com/channel/UCATuF5XusLj_hBLW7xkdN9g")</f>
        <v>http://www.youtube.com/channel/UCATuF5XusLj_hBLW7xkdN9g</v>
      </c>
      <c r="U253" s="81"/>
      <c r="V253" s="81" t="s">
        <v>1885</v>
      </c>
      <c r="W253" s="86" t="str">
        <f>HYPERLINK("https://www.youtube.com/watch?v=wadBvDPeE4E")</f>
        <v>https://www.youtube.com/watch?v=wadBvDPeE4E</v>
      </c>
      <c r="X253" s="81" t="s">
        <v>1886</v>
      </c>
      <c r="Y253" s="81">
        <v>0</v>
      </c>
      <c r="Z253" s="88">
        <v>41214.0493287037</v>
      </c>
      <c r="AA253" s="88">
        <v>41214.0493287037</v>
      </c>
      <c r="AB253" s="81"/>
      <c r="AC253" s="81"/>
      <c r="AD253" s="84" t="s">
        <v>1927</v>
      </c>
      <c r="AE253" s="82">
        <v>1</v>
      </c>
      <c r="AF253" s="83" t="str">
        <f>REPLACE(INDEX(GroupVertices[Group],MATCH(Edges[[#This Row],[Vertex 1]],GroupVertices[Vertex],0)),1,1,"")</f>
        <v>1</v>
      </c>
      <c r="AG253" s="83" t="str">
        <f>REPLACE(INDEX(GroupVertices[Group],MATCH(Edges[[#This Row],[Vertex 2]],GroupVertices[Vertex],0)),1,1,"")</f>
        <v>1</v>
      </c>
      <c r="AH253" s="111">
        <v>0</v>
      </c>
      <c r="AI253" s="112">
        <v>0</v>
      </c>
      <c r="AJ253" s="111">
        <v>0</v>
      </c>
      <c r="AK253" s="112">
        <v>0</v>
      </c>
      <c r="AL253" s="111">
        <v>0</v>
      </c>
      <c r="AM253" s="112">
        <v>0</v>
      </c>
      <c r="AN253" s="111">
        <v>15</v>
      </c>
      <c r="AO253" s="112">
        <v>100</v>
      </c>
      <c r="AP253" s="111">
        <v>15</v>
      </c>
    </row>
    <row r="254" spans="1:42" ht="15">
      <c r="A254" s="65" t="s">
        <v>501</v>
      </c>
      <c r="B254" s="65" t="s">
        <v>786</v>
      </c>
      <c r="C254" s="66" t="s">
        <v>4509</v>
      </c>
      <c r="D254" s="67">
        <v>3</v>
      </c>
      <c r="E254" s="68"/>
      <c r="F254" s="69">
        <v>40</v>
      </c>
      <c r="G254" s="66"/>
      <c r="H254" s="70"/>
      <c r="I254" s="71"/>
      <c r="J254" s="71"/>
      <c r="K254" s="35" t="s">
        <v>65</v>
      </c>
      <c r="L254" s="79">
        <v>254</v>
      </c>
      <c r="M254" s="79"/>
      <c r="N254" s="73"/>
      <c r="O254" s="81" t="s">
        <v>788</v>
      </c>
      <c r="P254" s="81" t="s">
        <v>325</v>
      </c>
      <c r="Q254" s="84" t="s">
        <v>1042</v>
      </c>
      <c r="R254" s="81" t="s">
        <v>501</v>
      </c>
      <c r="S254" s="81" t="s">
        <v>1569</v>
      </c>
      <c r="T254" s="86" t="str">
        <f>HYPERLINK("http://www.youtube.com/channel/UCXWqpW8BB33EJy_UF5syh1g")</f>
        <v>http://www.youtube.com/channel/UCXWqpW8BB33EJy_UF5syh1g</v>
      </c>
      <c r="U254" s="81"/>
      <c r="V254" s="81" t="s">
        <v>1885</v>
      </c>
      <c r="W254" s="86" t="str">
        <f>HYPERLINK("https://www.youtube.com/watch?v=wadBvDPeE4E")</f>
        <v>https://www.youtube.com/watch?v=wadBvDPeE4E</v>
      </c>
      <c r="X254" s="81" t="s">
        <v>1886</v>
      </c>
      <c r="Y254" s="81">
        <v>4</v>
      </c>
      <c r="Z254" s="88">
        <v>41215.84701388889</v>
      </c>
      <c r="AA254" s="88">
        <v>41215.84701388889</v>
      </c>
      <c r="AB254" s="81"/>
      <c r="AC254" s="81"/>
      <c r="AD254" s="84" t="s">
        <v>1927</v>
      </c>
      <c r="AE254" s="82">
        <v>1</v>
      </c>
      <c r="AF254" s="83" t="str">
        <f>REPLACE(INDEX(GroupVertices[Group],MATCH(Edges[[#This Row],[Vertex 1]],GroupVertices[Vertex],0)),1,1,"")</f>
        <v>1</v>
      </c>
      <c r="AG254" s="83" t="str">
        <f>REPLACE(INDEX(GroupVertices[Group],MATCH(Edges[[#This Row],[Vertex 2]],GroupVertices[Vertex],0)),1,1,"")</f>
        <v>1</v>
      </c>
      <c r="AH254" s="111">
        <v>1</v>
      </c>
      <c r="AI254" s="112">
        <v>5.882352941176471</v>
      </c>
      <c r="AJ254" s="111">
        <v>0</v>
      </c>
      <c r="AK254" s="112">
        <v>0</v>
      </c>
      <c r="AL254" s="111">
        <v>0</v>
      </c>
      <c r="AM254" s="112">
        <v>0</v>
      </c>
      <c r="AN254" s="111">
        <v>16</v>
      </c>
      <c r="AO254" s="112">
        <v>94.11764705882354</v>
      </c>
      <c r="AP254" s="111">
        <v>17</v>
      </c>
    </row>
    <row r="255" spans="1:42" ht="15">
      <c r="A255" s="65" t="s">
        <v>502</v>
      </c>
      <c r="B255" s="65" t="s">
        <v>504</v>
      </c>
      <c r="C255" s="66" t="s">
        <v>4509</v>
      </c>
      <c r="D255" s="67">
        <v>3</v>
      </c>
      <c r="E255" s="68"/>
      <c r="F255" s="69">
        <v>40</v>
      </c>
      <c r="G255" s="66"/>
      <c r="H255" s="70"/>
      <c r="I255" s="71"/>
      <c r="J255" s="71"/>
      <c r="K255" s="35" t="s">
        <v>65</v>
      </c>
      <c r="L255" s="79">
        <v>255</v>
      </c>
      <c r="M255" s="79"/>
      <c r="N255" s="73"/>
      <c r="O255" s="81" t="s">
        <v>789</v>
      </c>
      <c r="P255" s="81" t="s">
        <v>791</v>
      </c>
      <c r="Q255" s="84" t="s">
        <v>1043</v>
      </c>
      <c r="R255" s="81" t="s">
        <v>502</v>
      </c>
      <c r="S255" s="81" t="s">
        <v>1570</v>
      </c>
      <c r="T255" s="86" t="str">
        <f>HYPERLINK("http://www.youtube.com/channel/UCcZPEjGcl9UKaI-KWP7rMBQ")</f>
        <v>http://www.youtube.com/channel/UCcZPEjGcl9UKaI-KWP7rMBQ</v>
      </c>
      <c r="U255" s="81" t="s">
        <v>1859</v>
      </c>
      <c r="V255" s="81" t="s">
        <v>1885</v>
      </c>
      <c r="W255" s="86" t="str">
        <f>HYPERLINK("https://www.youtube.com/watch?v=wadBvDPeE4E")</f>
        <v>https://www.youtube.com/watch?v=wadBvDPeE4E</v>
      </c>
      <c r="X255" s="81" t="s">
        <v>1886</v>
      </c>
      <c r="Y255" s="81">
        <v>0</v>
      </c>
      <c r="Z255" s="88">
        <v>44541.11143518519</v>
      </c>
      <c r="AA255" s="88">
        <v>44541.11143518519</v>
      </c>
      <c r="AB255" s="81"/>
      <c r="AC255" s="81"/>
      <c r="AD255" s="84" t="s">
        <v>1927</v>
      </c>
      <c r="AE255" s="82">
        <v>1</v>
      </c>
      <c r="AF255" s="83" t="str">
        <f>REPLACE(INDEX(GroupVertices[Group],MATCH(Edges[[#This Row],[Vertex 1]],GroupVertices[Vertex],0)),1,1,"")</f>
        <v>3</v>
      </c>
      <c r="AG255" s="83" t="str">
        <f>REPLACE(INDEX(GroupVertices[Group],MATCH(Edges[[#This Row],[Vertex 2]],GroupVertices[Vertex],0)),1,1,"")</f>
        <v>3</v>
      </c>
      <c r="AH255" s="111">
        <v>0</v>
      </c>
      <c r="AI255" s="112">
        <v>0</v>
      </c>
      <c r="AJ255" s="111">
        <v>0</v>
      </c>
      <c r="AK255" s="112">
        <v>0</v>
      </c>
      <c r="AL255" s="111">
        <v>0</v>
      </c>
      <c r="AM255" s="112">
        <v>0</v>
      </c>
      <c r="AN255" s="111">
        <v>4</v>
      </c>
      <c r="AO255" s="112">
        <v>100</v>
      </c>
      <c r="AP255" s="111">
        <v>4</v>
      </c>
    </row>
    <row r="256" spans="1:42" ht="15">
      <c r="A256" s="65" t="s">
        <v>503</v>
      </c>
      <c r="B256" s="65" t="s">
        <v>504</v>
      </c>
      <c r="C256" s="66" t="s">
        <v>4509</v>
      </c>
      <c r="D256" s="67">
        <v>3</v>
      </c>
      <c r="E256" s="68"/>
      <c r="F256" s="69">
        <v>40</v>
      </c>
      <c r="G256" s="66"/>
      <c r="H256" s="70"/>
      <c r="I256" s="71"/>
      <c r="J256" s="71"/>
      <c r="K256" s="35" t="s">
        <v>65</v>
      </c>
      <c r="L256" s="79">
        <v>256</v>
      </c>
      <c r="M256" s="79"/>
      <c r="N256" s="73"/>
      <c r="O256" s="81" t="s">
        <v>789</v>
      </c>
      <c r="P256" s="81" t="s">
        <v>791</v>
      </c>
      <c r="Q256" s="84" t="s">
        <v>1044</v>
      </c>
      <c r="R256" s="81" t="s">
        <v>503</v>
      </c>
      <c r="S256" s="81" t="s">
        <v>1571</v>
      </c>
      <c r="T256" s="86" t="str">
        <f>HYPERLINK("http://www.youtube.com/channel/UCcL0PxIXOU5-C1ckvdTiI1Q")</f>
        <v>http://www.youtube.com/channel/UCcL0PxIXOU5-C1ckvdTiI1Q</v>
      </c>
      <c r="U256" s="81" t="s">
        <v>1859</v>
      </c>
      <c r="V256" s="81" t="s">
        <v>1885</v>
      </c>
      <c r="W256" s="86" t="str">
        <f>HYPERLINK("https://www.youtube.com/watch?v=wadBvDPeE4E")</f>
        <v>https://www.youtube.com/watch?v=wadBvDPeE4E</v>
      </c>
      <c r="X256" s="81" t="s">
        <v>1886</v>
      </c>
      <c r="Y256" s="81">
        <v>2</v>
      </c>
      <c r="Z256" s="88">
        <v>44515.5465625</v>
      </c>
      <c r="AA256" s="88">
        <v>44515.5465625</v>
      </c>
      <c r="AB256" s="81"/>
      <c r="AC256" s="81"/>
      <c r="AD256" s="84" t="s">
        <v>1927</v>
      </c>
      <c r="AE256" s="82">
        <v>1</v>
      </c>
      <c r="AF256" s="83" t="str">
        <f>REPLACE(INDEX(GroupVertices[Group],MATCH(Edges[[#This Row],[Vertex 1]],GroupVertices[Vertex],0)),1,1,"")</f>
        <v>3</v>
      </c>
      <c r="AG256" s="83" t="str">
        <f>REPLACE(INDEX(GroupVertices[Group],MATCH(Edges[[#This Row],[Vertex 2]],GroupVertices[Vertex],0)),1,1,"")</f>
        <v>3</v>
      </c>
      <c r="AH256" s="111">
        <v>1</v>
      </c>
      <c r="AI256" s="112">
        <v>6.666666666666667</v>
      </c>
      <c r="AJ256" s="111">
        <v>0</v>
      </c>
      <c r="AK256" s="112">
        <v>0</v>
      </c>
      <c r="AL256" s="111">
        <v>0</v>
      </c>
      <c r="AM256" s="112">
        <v>0</v>
      </c>
      <c r="AN256" s="111">
        <v>14</v>
      </c>
      <c r="AO256" s="112">
        <v>93.33333333333333</v>
      </c>
      <c r="AP256" s="111">
        <v>15</v>
      </c>
    </row>
    <row r="257" spans="1:42" ht="15">
      <c r="A257" s="65" t="s">
        <v>504</v>
      </c>
      <c r="B257" s="65" t="s">
        <v>786</v>
      </c>
      <c r="C257" s="66" t="s">
        <v>4509</v>
      </c>
      <c r="D257" s="67">
        <v>3</v>
      </c>
      <c r="E257" s="68"/>
      <c r="F257" s="69">
        <v>40</v>
      </c>
      <c r="G257" s="66"/>
      <c r="H257" s="70"/>
      <c r="I257" s="71"/>
      <c r="J257" s="71"/>
      <c r="K257" s="35" t="s">
        <v>65</v>
      </c>
      <c r="L257" s="79">
        <v>257</v>
      </c>
      <c r="M257" s="79"/>
      <c r="N257" s="73"/>
      <c r="O257" s="81" t="s">
        <v>788</v>
      </c>
      <c r="P257" s="81" t="s">
        <v>325</v>
      </c>
      <c r="Q257" s="84" t="s">
        <v>1045</v>
      </c>
      <c r="R257" s="81" t="s">
        <v>504</v>
      </c>
      <c r="S257" s="81" t="s">
        <v>1572</v>
      </c>
      <c r="T257" s="86" t="str">
        <f>HYPERLINK("http://www.youtube.com/channel/UCQApcYMPd8boA_mv0F54XoA")</f>
        <v>http://www.youtube.com/channel/UCQApcYMPd8boA_mv0F54XoA</v>
      </c>
      <c r="U257" s="81"/>
      <c r="V257" s="81" t="s">
        <v>1885</v>
      </c>
      <c r="W257" s="86" t="str">
        <f>HYPERLINK("https://www.youtube.com/watch?v=wadBvDPeE4E")</f>
        <v>https://www.youtube.com/watch?v=wadBvDPeE4E</v>
      </c>
      <c r="X257" s="81" t="s">
        <v>1886</v>
      </c>
      <c r="Y257" s="81">
        <v>29</v>
      </c>
      <c r="Z257" s="88">
        <v>41217.99184027778</v>
      </c>
      <c r="AA257" s="88">
        <v>41217.99184027778</v>
      </c>
      <c r="AB257" s="81"/>
      <c r="AC257" s="81"/>
      <c r="AD257" s="84" t="s">
        <v>1927</v>
      </c>
      <c r="AE257" s="82">
        <v>1</v>
      </c>
      <c r="AF257" s="83" t="str">
        <f>REPLACE(INDEX(GroupVertices[Group],MATCH(Edges[[#This Row],[Vertex 1]],GroupVertices[Vertex],0)),1,1,"")</f>
        <v>3</v>
      </c>
      <c r="AG257" s="83" t="str">
        <f>REPLACE(INDEX(GroupVertices[Group],MATCH(Edges[[#This Row],[Vertex 2]],GroupVertices[Vertex],0)),1,1,"")</f>
        <v>1</v>
      </c>
      <c r="AH257" s="111">
        <v>2</v>
      </c>
      <c r="AI257" s="112">
        <v>3.5714285714285716</v>
      </c>
      <c r="AJ257" s="111">
        <v>0</v>
      </c>
      <c r="AK257" s="112">
        <v>0</v>
      </c>
      <c r="AL257" s="111">
        <v>0</v>
      </c>
      <c r="AM257" s="112">
        <v>0</v>
      </c>
      <c r="AN257" s="111">
        <v>54</v>
      </c>
      <c r="AO257" s="112">
        <v>96.42857142857143</v>
      </c>
      <c r="AP257" s="111">
        <v>56</v>
      </c>
    </row>
    <row r="258" spans="1:42" ht="15">
      <c r="A258" s="65" t="s">
        <v>505</v>
      </c>
      <c r="B258" s="65" t="s">
        <v>786</v>
      </c>
      <c r="C258" s="66" t="s">
        <v>4509</v>
      </c>
      <c r="D258" s="67">
        <v>3</v>
      </c>
      <c r="E258" s="68"/>
      <c r="F258" s="69">
        <v>40</v>
      </c>
      <c r="G258" s="66"/>
      <c r="H258" s="70"/>
      <c r="I258" s="71"/>
      <c r="J258" s="71"/>
      <c r="K258" s="35" t="s">
        <v>65</v>
      </c>
      <c r="L258" s="79">
        <v>258</v>
      </c>
      <c r="M258" s="79"/>
      <c r="N258" s="73"/>
      <c r="O258" s="81" t="s">
        <v>788</v>
      </c>
      <c r="P258" s="81" t="s">
        <v>325</v>
      </c>
      <c r="Q258" s="84" t="s">
        <v>1046</v>
      </c>
      <c r="R258" s="81" t="s">
        <v>505</v>
      </c>
      <c r="S258" s="81" t="s">
        <v>1573</v>
      </c>
      <c r="T258" s="86" t="str">
        <f>HYPERLINK("http://www.youtube.com/channel/UCR9lCFHHkDFfevGWqKwU5nA")</f>
        <v>http://www.youtube.com/channel/UCR9lCFHHkDFfevGWqKwU5nA</v>
      </c>
      <c r="U258" s="81"/>
      <c r="V258" s="81" t="s">
        <v>1885</v>
      </c>
      <c r="W258" s="86" t="str">
        <f>HYPERLINK("https://www.youtube.com/watch?v=wadBvDPeE4E")</f>
        <v>https://www.youtube.com/watch?v=wadBvDPeE4E</v>
      </c>
      <c r="X258" s="81" t="s">
        <v>1886</v>
      </c>
      <c r="Y258" s="81">
        <v>0</v>
      </c>
      <c r="Z258" s="88">
        <v>41220.79887731482</v>
      </c>
      <c r="AA258" s="88">
        <v>41220.79887731482</v>
      </c>
      <c r="AB258" s="81"/>
      <c r="AC258" s="81"/>
      <c r="AD258" s="84" t="s">
        <v>1927</v>
      </c>
      <c r="AE258" s="82">
        <v>1</v>
      </c>
      <c r="AF258" s="83" t="str">
        <f>REPLACE(INDEX(GroupVertices[Group],MATCH(Edges[[#This Row],[Vertex 1]],GroupVertices[Vertex],0)),1,1,"")</f>
        <v>1</v>
      </c>
      <c r="AG258" s="83" t="str">
        <f>REPLACE(INDEX(GroupVertices[Group],MATCH(Edges[[#This Row],[Vertex 2]],GroupVertices[Vertex],0)),1,1,"")</f>
        <v>1</v>
      </c>
      <c r="AH258" s="111">
        <v>1</v>
      </c>
      <c r="AI258" s="112">
        <v>6.25</v>
      </c>
      <c r="AJ258" s="111">
        <v>0</v>
      </c>
      <c r="AK258" s="112">
        <v>0</v>
      </c>
      <c r="AL258" s="111">
        <v>0</v>
      </c>
      <c r="AM258" s="112">
        <v>0</v>
      </c>
      <c r="AN258" s="111">
        <v>15</v>
      </c>
      <c r="AO258" s="112">
        <v>93.75</v>
      </c>
      <c r="AP258" s="111">
        <v>16</v>
      </c>
    </row>
    <row r="259" spans="1:42" ht="15">
      <c r="A259" s="65" t="s">
        <v>506</v>
      </c>
      <c r="B259" s="65" t="s">
        <v>786</v>
      </c>
      <c r="C259" s="66" t="s">
        <v>4509</v>
      </c>
      <c r="D259" s="67">
        <v>3</v>
      </c>
      <c r="E259" s="68"/>
      <c r="F259" s="69">
        <v>40</v>
      </c>
      <c r="G259" s="66"/>
      <c r="H259" s="70"/>
      <c r="I259" s="71"/>
      <c r="J259" s="71"/>
      <c r="K259" s="35" t="s">
        <v>65</v>
      </c>
      <c r="L259" s="79">
        <v>259</v>
      </c>
      <c r="M259" s="79"/>
      <c r="N259" s="73"/>
      <c r="O259" s="81" t="s">
        <v>788</v>
      </c>
      <c r="P259" s="81" t="s">
        <v>325</v>
      </c>
      <c r="Q259" s="84" t="s">
        <v>1047</v>
      </c>
      <c r="R259" s="81" t="s">
        <v>506</v>
      </c>
      <c r="S259" s="81" t="s">
        <v>1574</v>
      </c>
      <c r="T259" s="86" t="str">
        <f>HYPERLINK("http://www.youtube.com/channel/UCLbgLIDDu6O4P3pRAR_SSyA")</f>
        <v>http://www.youtube.com/channel/UCLbgLIDDu6O4P3pRAR_SSyA</v>
      </c>
      <c r="U259" s="81"/>
      <c r="V259" s="81" t="s">
        <v>1885</v>
      </c>
      <c r="W259" s="86" t="str">
        <f>HYPERLINK("https://www.youtube.com/watch?v=wadBvDPeE4E")</f>
        <v>https://www.youtube.com/watch?v=wadBvDPeE4E</v>
      </c>
      <c r="X259" s="81" t="s">
        <v>1886</v>
      </c>
      <c r="Y259" s="81">
        <v>0</v>
      </c>
      <c r="Z259" s="88">
        <v>41220.958657407406</v>
      </c>
      <c r="AA259" s="88">
        <v>41220.958657407406</v>
      </c>
      <c r="AB259" s="81"/>
      <c r="AC259" s="81"/>
      <c r="AD259" s="84" t="s">
        <v>1927</v>
      </c>
      <c r="AE259" s="82">
        <v>1</v>
      </c>
      <c r="AF259" s="83" t="str">
        <f>REPLACE(INDEX(GroupVertices[Group],MATCH(Edges[[#This Row],[Vertex 1]],GroupVertices[Vertex],0)),1,1,"")</f>
        <v>1</v>
      </c>
      <c r="AG259" s="83" t="str">
        <f>REPLACE(INDEX(GroupVertices[Group],MATCH(Edges[[#This Row],[Vertex 2]],GroupVertices[Vertex],0)),1,1,"")</f>
        <v>1</v>
      </c>
      <c r="AH259" s="111">
        <v>0</v>
      </c>
      <c r="AI259" s="112">
        <v>0</v>
      </c>
      <c r="AJ259" s="111">
        <v>0</v>
      </c>
      <c r="AK259" s="112">
        <v>0</v>
      </c>
      <c r="AL259" s="111">
        <v>0</v>
      </c>
      <c r="AM259" s="112">
        <v>0</v>
      </c>
      <c r="AN259" s="111">
        <v>2</v>
      </c>
      <c r="AO259" s="112">
        <v>100</v>
      </c>
      <c r="AP259" s="111">
        <v>2</v>
      </c>
    </row>
    <row r="260" spans="1:42" ht="15">
      <c r="A260" s="65" t="s">
        <v>507</v>
      </c>
      <c r="B260" s="65" t="s">
        <v>786</v>
      </c>
      <c r="C260" s="66" t="s">
        <v>4509</v>
      </c>
      <c r="D260" s="67">
        <v>3</v>
      </c>
      <c r="E260" s="68"/>
      <c r="F260" s="69">
        <v>40</v>
      </c>
      <c r="G260" s="66"/>
      <c r="H260" s="70"/>
      <c r="I260" s="71"/>
      <c r="J260" s="71"/>
      <c r="K260" s="35" t="s">
        <v>65</v>
      </c>
      <c r="L260" s="79">
        <v>260</v>
      </c>
      <c r="M260" s="79"/>
      <c r="N260" s="73"/>
      <c r="O260" s="81" t="s">
        <v>788</v>
      </c>
      <c r="P260" s="81" t="s">
        <v>325</v>
      </c>
      <c r="Q260" s="84" t="s">
        <v>1048</v>
      </c>
      <c r="R260" s="81" t="s">
        <v>507</v>
      </c>
      <c r="S260" s="81" t="s">
        <v>1575</v>
      </c>
      <c r="T260" s="86" t="str">
        <f>HYPERLINK("http://www.youtube.com/channel/UC0xiz1-h-yEafmAf2F3yo-Q")</f>
        <v>http://www.youtube.com/channel/UC0xiz1-h-yEafmAf2F3yo-Q</v>
      </c>
      <c r="U260" s="81"/>
      <c r="V260" s="81" t="s">
        <v>1885</v>
      </c>
      <c r="W260" s="86" t="str">
        <f>HYPERLINK("https://www.youtube.com/watch?v=wadBvDPeE4E")</f>
        <v>https://www.youtube.com/watch?v=wadBvDPeE4E</v>
      </c>
      <c r="X260" s="81" t="s">
        <v>1886</v>
      </c>
      <c r="Y260" s="81">
        <v>0</v>
      </c>
      <c r="Z260" s="88">
        <v>41221.06752314815</v>
      </c>
      <c r="AA260" s="88">
        <v>41221.06752314815</v>
      </c>
      <c r="AB260" s="81"/>
      <c r="AC260" s="81"/>
      <c r="AD260" s="84" t="s">
        <v>1927</v>
      </c>
      <c r="AE260" s="82">
        <v>1</v>
      </c>
      <c r="AF260" s="83" t="str">
        <f>REPLACE(INDEX(GroupVertices[Group],MATCH(Edges[[#This Row],[Vertex 1]],GroupVertices[Vertex],0)),1,1,"")</f>
        <v>1</v>
      </c>
      <c r="AG260" s="83" t="str">
        <f>REPLACE(INDEX(GroupVertices[Group],MATCH(Edges[[#This Row],[Vertex 2]],GroupVertices[Vertex],0)),1,1,"")</f>
        <v>1</v>
      </c>
      <c r="AH260" s="111">
        <v>0</v>
      </c>
      <c r="AI260" s="112">
        <v>0</v>
      </c>
      <c r="AJ260" s="111">
        <v>1</v>
      </c>
      <c r="AK260" s="112">
        <v>1.9607843137254901</v>
      </c>
      <c r="AL260" s="111">
        <v>0</v>
      </c>
      <c r="AM260" s="112">
        <v>0</v>
      </c>
      <c r="AN260" s="111">
        <v>50</v>
      </c>
      <c r="AO260" s="112">
        <v>98.03921568627452</v>
      </c>
      <c r="AP260" s="111">
        <v>51</v>
      </c>
    </row>
    <row r="261" spans="1:42" ht="15">
      <c r="A261" s="65" t="s">
        <v>508</v>
      </c>
      <c r="B261" s="65" t="s">
        <v>786</v>
      </c>
      <c r="C261" s="66" t="s">
        <v>4509</v>
      </c>
      <c r="D261" s="67">
        <v>3</v>
      </c>
      <c r="E261" s="68"/>
      <c r="F261" s="69">
        <v>40</v>
      </c>
      <c r="G261" s="66"/>
      <c r="H261" s="70"/>
      <c r="I261" s="71"/>
      <c r="J261" s="71"/>
      <c r="K261" s="35" t="s">
        <v>65</v>
      </c>
      <c r="L261" s="79">
        <v>261</v>
      </c>
      <c r="M261" s="79"/>
      <c r="N261" s="73"/>
      <c r="O261" s="81" t="s">
        <v>788</v>
      </c>
      <c r="P261" s="81" t="s">
        <v>325</v>
      </c>
      <c r="Q261" s="84" t="s">
        <v>1049</v>
      </c>
      <c r="R261" s="81" t="s">
        <v>508</v>
      </c>
      <c r="S261" s="81" t="s">
        <v>1576</v>
      </c>
      <c r="T261" s="86" t="str">
        <f>HYPERLINK("http://www.youtube.com/channel/UCttOZCF64vZxijS26gvFmtQ")</f>
        <v>http://www.youtube.com/channel/UCttOZCF64vZxijS26gvFmtQ</v>
      </c>
      <c r="U261" s="81"/>
      <c r="V261" s="81" t="s">
        <v>1885</v>
      </c>
      <c r="W261" s="86" t="str">
        <f>HYPERLINK("https://www.youtube.com/watch?v=wadBvDPeE4E")</f>
        <v>https://www.youtube.com/watch?v=wadBvDPeE4E</v>
      </c>
      <c r="X261" s="81" t="s">
        <v>1886</v>
      </c>
      <c r="Y261" s="81">
        <v>0</v>
      </c>
      <c r="Z261" s="88">
        <v>41221.97513888889</v>
      </c>
      <c r="AA261" s="88">
        <v>41221.97513888889</v>
      </c>
      <c r="AB261" s="81"/>
      <c r="AC261" s="81"/>
      <c r="AD261" s="84" t="s">
        <v>1927</v>
      </c>
      <c r="AE261" s="82">
        <v>1</v>
      </c>
      <c r="AF261" s="83" t="str">
        <f>REPLACE(INDEX(GroupVertices[Group],MATCH(Edges[[#This Row],[Vertex 1]],GroupVertices[Vertex],0)),1,1,"")</f>
        <v>1</v>
      </c>
      <c r="AG261" s="83" t="str">
        <f>REPLACE(INDEX(GroupVertices[Group],MATCH(Edges[[#This Row],[Vertex 2]],GroupVertices[Vertex],0)),1,1,"")</f>
        <v>1</v>
      </c>
      <c r="AH261" s="111">
        <v>2</v>
      </c>
      <c r="AI261" s="112">
        <v>40</v>
      </c>
      <c r="AJ261" s="111">
        <v>0</v>
      </c>
      <c r="AK261" s="112">
        <v>0</v>
      </c>
      <c r="AL261" s="111">
        <v>0</v>
      </c>
      <c r="AM261" s="112">
        <v>0</v>
      </c>
      <c r="AN261" s="111">
        <v>3</v>
      </c>
      <c r="AO261" s="112">
        <v>60</v>
      </c>
      <c r="AP261" s="111">
        <v>5</v>
      </c>
    </row>
    <row r="262" spans="1:42" ht="15">
      <c r="A262" s="65" t="s">
        <v>509</v>
      </c>
      <c r="B262" s="65" t="s">
        <v>786</v>
      </c>
      <c r="C262" s="66" t="s">
        <v>4509</v>
      </c>
      <c r="D262" s="67">
        <v>3</v>
      </c>
      <c r="E262" s="68"/>
      <c r="F262" s="69">
        <v>40</v>
      </c>
      <c r="G262" s="66"/>
      <c r="H262" s="70"/>
      <c r="I262" s="71"/>
      <c r="J262" s="71"/>
      <c r="K262" s="35" t="s">
        <v>65</v>
      </c>
      <c r="L262" s="79">
        <v>262</v>
      </c>
      <c r="M262" s="79"/>
      <c r="N262" s="73"/>
      <c r="O262" s="81" t="s">
        <v>788</v>
      </c>
      <c r="P262" s="81" t="s">
        <v>325</v>
      </c>
      <c r="Q262" s="84" t="s">
        <v>1050</v>
      </c>
      <c r="R262" s="81" t="s">
        <v>509</v>
      </c>
      <c r="S262" s="81" t="s">
        <v>1577</v>
      </c>
      <c r="T262" s="86" t="str">
        <f>HYPERLINK("http://www.youtube.com/channel/UC1A_GS9LcUKDOVcRPmuddAg")</f>
        <v>http://www.youtube.com/channel/UC1A_GS9LcUKDOVcRPmuddAg</v>
      </c>
      <c r="U262" s="81"/>
      <c r="V262" s="81" t="s">
        <v>1885</v>
      </c>
      <c r="W262" s="86" t="str">
        <f>HYPERLINK("https://www.youtube.com/watch?v=wadBvDPeE4E")</f>
        <v>https://www.youtube.com/watch?v=wadBvDPeE4E</v>
      </c>
      <c r="X262" s="81" t="s">
        <v>1886</v>
      </c>
      <c r="Y262" s="81">
        <v>3</v>
      </c>
      <c r="Z262" s="88">
        <v>41223.895578703705</v>
      </c>
      <c r="AA262" s="88">
        <v>41223.895578703705</v>
      </c>
      <c r="AB262" s="81"/>
      <c r="AC262" s="81"/>
      <c r="AD262" s="84" t="s">
        <v>1927</v>
      </c>
      <c r="AE262" s="82">
        <v>1</v>
      </c>
      <c r="AF262" s="83" t="str">
        <f>REPLACE(INDEX(GroupVertices[Group],MATCH(Edges[[#This Row],[Vertex 1]],GroupVertices[Vertex],0)),1,1,"")</f>
        <v>1</v>
      </c>
      <c r="AG262" s="83" t="str">
        <f>REPLACE(INDEX(GroupVertices[Group],MATCH(Edges[[#This Row],[Vertex 2]],GroupVertices[Vertex],0)),1,1,"")</f>
        <v>1</v>
      </c>
      <c r="AH262" s="111">
        <v>1</v>
      </c>
      <c r="AI262" s="112">
        <v>16.666666666666668</v>
      </c>
      <c r="AJ262" s="111">
        <v>0</v>
      </c>
      <c r="AK262" s="112">
        <v>0</v>
      </c>
      <c r="AL262" s="111">
        <v>0</v>
      </c>
      <c r="AM262" s="112">
        <v>0</v>
      </c>
      <c r="AN262" s="111">
        <v>5</v>
      </c>
      <c r="AO262" s="112">
        <v>83.33333333333333</v>
      </c>
      <c r="AP262" s="111">
        <v>6</v>
      </c>
    </row>
    <row r="263" spans="1:42" ht="15">
      <c r="A263" s="65" t="s">
        <v>510</v>
      </c>
      <c r="B263" s="65" t="s">
        <v>786</v>
      </c>
      <c r="C263" s="66" t="s">
        <v>4509</v>
      </c>
      <c r="D263" s="67">
        <v>3</v>
      </c>
      <c r="E263" s="68"/>
      <c r="F263" s="69">
        <v>40</v>
      </c>
      <c r="G263" s="66"/>
      <c r="H263" s="70"/>
      <c r="I263" s="71"/>
      <c r="J263" s="71"/>
      <c r="K263" s="35" t="s">
        <v>65</v>
      </c>
      <c r="L263" s="79">
        <v>263</v>
      </c>
      <c r="M263" s="79"/>
      <c r="N263" s="73"/>
      <c r="O263" s="81" t="s">
        <v>788</v>
      </c>
      <c r="P263" s="81" t="s">
        <v>325</v>
      </c>
      <c r="Q263" s="84" t="s">
        <v>1051</v>
      </c>
      <c r="R263" s="81" t="s">
        <v>510</v>
      </c>
      <c r="S263" s="81" t="s">
        <v>1578</v>
      </c>
      <c r="T263" s="86" t="str">
        <f>HYPERLINK("http://www.youtube.com/channel/UCxforQTLeBZwQGUVizmMdlw")</f>
        <v>http://www.youtube.com/channel/UCxforQTLeBZwQGUVizmMdlw</v>
      </c>
      <c r="U263" s="81"/>
      <c r="V263" s="81" t="s">
        <v>1885</v>
      </c>
      <c r="W263" s="86" t="str">
        <f>HYPERLINK("https://www.youtube.com/watch?v=wadBvDPeE4E")</f>
        <v>https://www.youtube.com/watch?v=wadBvDPeE4E</v>
      </c>
      <c r="X263" s="81" t="s">
        <v>1886</v>
      </c>
      <c r="Y263" s="81">
        <v>0</v>
      </c>
      <c r="Z263" s="88">
        <v>41224.268796296295</v>
      </c>
      <c r="AA263" s="88">
        <v>41224.268796296295</v>
      </c>
      <c r="AB263" s="81"/>
      <c r="AC263" s="81"/>
      <c r="AD263" s="84" t="s">
        <v>1927</v>
      </c>
      <c r="AE263" s="82">
        <v>1</v>
      </c>
      <c r="AF263" s="83" t="str">
        <f>REPLACE(INDEX(GroupVertices[Group],MATCH(Edges[[#This Row],[Vertex 1]],GroupVertices[Vertex],0)),1,1,"")</f>
        <v>1</v>
      </c>
      <c r="AG263" s="83" t="str">
        <f>REPLACE(INDEX(GroupVertices[Group],MATCH(Edges[[#This Row],[Vertex 2]],GroupVertices[Vertex],0)),1,1,"")</f>
        <v>1</v>
      </c>
      <c r="AH263" s="111">
        <v>1</v>
      </c>
      <c r="AI263" s="112">
        <v>4.166666666666667</v>
      </c>
      <c r="AJ263" s="111">
        <v>0</v>
      </c>
      <c r="AK263" s="112">
        <v>0</v>
      </c>
      <c r="AL263" s="111">
        <v>0</v>
      </c>
      <c r="AM263" s="112">
        <v>0</v>
      </c>
      <c r="AN263" s="111">
        <v>23</v>
      </c>
      <c r="AO263" s="112">
        <v>95.83333333333333</v>
      </c>
      <c r="AP263" s="111">
        <v>24</v>
      </c>
    </row>
    <row r="264" spans="1:42" ht="15">
      <c r="A264" s="65" t="s">
        <v>511</v>
      </c>
      <c r="B264" s="65" t="s">
        <v>786</v>
      </c>
      <c r="C264" s="66" t="s">
        <v>4509</v>
      </c>
      <c r="D264" s="67">
        <v>3</v>
      </c>
      <c r="E264" s="68"/>
      <c r="F264" s="69">
        <v>40</v>
      </c>
      <c r="G264" s="66"/>
      <c r="H264" s="70"/>
      <c r="I264" s="71"/>
      <c r="J264" s="71"/>
      <c r="K264" s="35" t="s">
        <v>65</v>
      </c>
      <c r="L264" s="79">
        <v>264</v>
      </c>
      <c r="M264" s="79"/>
      <c r="N264" s="73"/>
      <c r="O264" s="81" t="s">
        <v>788</v>
      </c>
      <c r="P264" s="81" t="s">
        <v>325</v>
      </c>
      <c r="Q264" s="84" t="s">
        <v>1052</v>
      </c>
      <c r="R264" s="81" t="s">
        <v>511</v>
      </c>
      <c r="S264" s="81" t="s">
        <v>1579</v>
      </c>
      <c r="T264" s="86" t="str">
        <f>HYPERLINK("http://www.youtube.com/channel/UCqMOCWe5FJuOWG7nGV_zHNA")</f>
        <v>http://www.youtube.com/channel/UCqMOCWe5FJuOWG7nGV_zHNA</v>
      </c>
      <c r="U264" s="81"/>
      <c r="V264" s="81" t="s">
        <v>1885</v>
      </c>
      <c r="W264" s="86" t="str">
        <f>HYPERLINK("https://www.youtube.com/watch?v=wadBvDPeE4E")</f>
        <v>https://www.youtube.com/watch?v=wadBvDPeE4E</v>
      </c>
      <c r="X264" s="81" t="s">
        <v>1886</v>
      </c>
      <c r="Y264" s="81">
        <v>0</v>
      </c>
      <c r="Z264" s="88">
        <v>41226.20327546296</v>
      </c>
      <c r="AA264" s="88">
        <v>41226.20327546296</v>
      </c>
      <c r="AB264" s="81"/>
      <c r="AC264" s="81"/>
      <c r="AD264" s="84" t="s">
        <v>1927</v>
      </c>
      <c r="AE264" s="82">
        <v>1</v>
      </c>
      <c r="AF264" s="83" t="str">
        <f>REPLACE(INDEX(GroupVertices[Group],MATCH(Edges[[#This Row],[Vertex 1]],GroupVertices[Vertex],0)),1,1,"")</f>
        <v>1</v>
      </c>
      <c r="AG264" s="83" t="str">
        <f>REPLACE(INDEX(GroupVertices[Group],MATCH(Edges[[#This Row],[Vertex 2]],GroupVertices[Vertex],0)),1,1,"")</f>
        <v>1</v>
      </c>
      <c r="AH264" s="111">
        <v>2</v>
      </c>
      <c r="AI264" s="112">
        <v>9.523809523809524</v>
      </c>
      <c r="AJ264" s="111">
        <v>1</v>
      </c>
      <c r="AK264" s="112">
        <v>4.761904761904762</v>
      </c>
      <c r="AL264" s="111">
        <v>0</v>
      </c>
      <c r="AM264" s="112">
        <v>0</v>
      </c>
      <c r="AN264" s="111">
        <v>18</v>
      </c>
      <c r="AO264" s="112">
        <v>85.71428571428571</v>
      </c>
      <c r="AP264" s="111">
        <v>21</v>
      </c>
    </row>
    <row r="265" spans="1:42" ht="15">
      <c r="A265" s="65" t="s">
        <v>512</v>
      </c>
      <c r="B265" s="65" t="s">
        <v>786</v>
      </c>
      <c r="C265" s="66" t="s">
        <v>4509</v>
      </c>
      <c r="D265" s="67">
        <v>3</v>
      </c>
      <c r="E265" s="68"/>
      <c r="F265" s="69">
        <v>40</v>
      </c>
      <c r="G265" s="66"/>
      <c r="H265" s="70"/>
      <c r="I265" s="71"/>
      <c r="J265" s="71"/>
      <c r="K265" s="35" t="s">
        <v>65</v>
      </c>
      <c r="L265" s="79">
        <v>265</v>
      </c>
      <c r="M265" s="79"/>
      <c r="N265" s="73"/>
      <c r="O265" s="81" t="s">
        <v>788</v>
      </c>
      <c r="P265" s="81" t="s">
        <v>325</v>
      </c>
      <c r="Q265" s="84" t="s">
        <v>1053</v>
      </c>
      <c r="R265" s="81" t="s">
        <v>512</v>
      </c>
      <c r="S265" s="81" t="s">
        <v>1580</v>
      </c>
      <c r="T265" s="86" t="str">
        <f>HYPERLINK("http://www.youtube.com/channel/UCdO7bHPTw-f9g8hbi6mJEng")</f>
        <v>http://www.youtube.com/channel/UCdO7bHPTw-f9g8hbi6mJEng</v>
      </c>
      <c r="U265" s="81"/>
      <c r="V265" s="81" t="s">
        <v>1885</v>
      </c>
      <c r="W265" s="86" t="str">
        <f>HYPERLINK("https://www.youtube.com/watch?v=wadBvDPeE4E")</f>
        <v>https://www.youtube.com/watch?v=wadBvDPeE4E</v>
      </c>
      <c r="X265" s="81" t="s">
        <v>1886</v>
      </c>
      <c r="Y265" s="81">
        <v>1</v>
      </c>
      <c r="Z265" s="88">
        <v>41226.91748842593</v>
      </c>
      <c r="AA265" s="88">
        <v>41226.91748842593</v>
      </c>
      <c r="AB265" s="81"/>
      <c r="AC265" s="81"/>
      <c r="AD265" s="84" t="s">
        <v>1927</v>
      </c>
      <c r="AE265" s="82">
        <v>1</v>
      </c>
      <c r="AF265" s="83" t="str">
        <f>REPLACE(INDEX(GroupVertices[Group],MATCH(Edges[[#This Row],[Vertex 1]],GroupVertices[Vertex],0)),1,1,"")</f>
        <v>1</v>
      </c>
      <c r="AG265" s="83" t="str">
        <f>REPLACE(INDEX(GroupVertices[Group],MATCH(Edges[[#This Row],[Vertex 2]],GroupVertices[Vertex],0)),1,1,"")</f>
        <v>1</v>
      </c>
      <c r="AH265" s="111">
        <v>1</v>
      </c>
      <c r="AI265" s="112">
        <v>6.25</v>
      </c>
      <c r="AJ265" s="111">
        <v>0</v>
      </c>
      <c r="AK265" s="112">
        <v>0</v>
      </c>
      <c r="AL265" s="111">
        <v>0</v>
      </c>
      <c r="AM265" s="112">
        <v>0</v>
      </c>
      <c r="AN265" s="111">
        <v>15</v>
      </c>
      <c r="AO265" s="112">
        <v>93.75</v>
      </c>
      <c r="AP265" s="111">
        <v>16</v>
      </c>
    </row>
    <row r="266" spans="1:42" ht="15">
      <c r="A266" s="65" t="s">
        <v>513</v>
      </c>
      <c r="B266" s="65" t="s">
        <v>786</v>
      </c>
      <c r="C266" s="66" t="s">
        <v>4509</v>
      </c>
      <c r="D266" s="67">
        <v>3</v>
      </c>
      <c r="E266" s="68"/>
      <c r="F266" s="69">
        <v>40</v>
      </c>
      <c r="G266" s="66"/>
      <c r="H266" s="70"/>
      <c r="I266" s="71"/>
      <c r="J266" s="71"/>
      <c r="K266" s="35" t="s">
        <v>65</v>
      </c>
      <c r="L266" s="79">
        <v>266</v>
      </c>
      <c r="M266" s="79"/>
      <c r="N266" s="73"/>
      <c r="O266" s="81" t="s">
        <v>788</v>
      </c>
      <c r="P266" s="81" t="s">
        <v>325</v>
      </c>
      <c r="Q266" s="84" t="s">
        <v>1054</v>
      </c>
      <c r="R266" s="81" t="s">
        <v>513</v>
      </c>
      <c r="S266" s="81" t="s">
        <v>1581</v>
      </c>
      <c r="T266" s="86" t="str">
        <f>HYPERLINK("http://www.youtube.com/channel/UCamt6KFmOtyQeoABot6jhmw")</f>
        <v>http://www.youtube.com/channel/UCamt6KFmOtyQeoABot6jhmw</v>
      </c>
      <c r="U266" s="81"/>
      <c r="V266" s="81" t="s">
        <v>1885</v>
      </c>
      <c r="W266" s="86" t="str">
        <f>HYPERLINK("https://www.youtube.com/watch?v=wadBvDPeE4E")</f>
        <v>https://www.youtube.com/watch?v=wadBvDPeE4E</v>
      </c>
      <c r="X266" s="81" t="s">
        <v>1886</v>
      </c>
      <c r="Y266" s="81">
        <v>0</v>
      </c>
      <c r="Z266" s="88">
        <v>41226.97474537037</v>
      </c>
      <c r="AA266" s="88">
        <v>41226.97474537037</v>
      </c>
      <c r="AB266" s="81"/>
      <c r="AC266" s="81"/>
      <c r="AD266" s="84" t="s">
        <v>1927</v>
      </c>
      <c r="AE266" s="82">
        <v>1</v>
      </c>
      <c r="AF266" s="83" t="str">
        <f>REPLACE(INDEX(GroupVertices[Group],MATCH(Edges[[#This Row],[Vertex 1]],GroupVertices[Vertex],0)),1,1,"")</f>
        <v>1</v>
      </c>
      <c r="AG266" s="83" t="str">
        <f>REPLACE(INDEX(GroupVertices[Group],MATCH(Edges[[#This Row],[Vertex 2]],GroupVertices[Vertex],0)),1,1,"")</f>
        <v>1</v>
      </c>
      <c r="AH266" s="111">
        <v>0</v>
      </c>
      <c r="AI266" s="112">
        <v>0</v>
      </c>
      <c r="AJ266" s="111">
        <v>0</v>
      </c>
      <c r="AK266" s="112">
        <v>0</v>
      </c>
      <c r="AL266" s="111">
        <v>0</v>
      </c>
      <c r="AM266" s="112">
        <v>0</v>
      </c>
      <c r="AN266" s="111">
        <v>6</v>
      </c>
      <c r="AO266" s="112">
        <v>100</v>
      </c>
      <c r="AP266" s="111">
        <v>6</v>
      </c>
    </row>
    <row r="267" spans="1:42" ht="15">
      <c r="A267" s="65" t="s">
        <v>514</v>
      </c>
      <c r="B267" s="65" t="s">
        <v>786</v>
      </c>
      <c r="C267" s="66" t="s">
        <v>4511</v>
      </c>
      <c r="D267" s="67">
        <v>7.666666666666667</v>
      </c>
      <c r="E267" s="68"/>
      <c r="F267" s="69">
        <v>23.333333333333332</v>
      </c>
      <c r="G267" s="66"/>
      <c r="H267" s="70"/>
      <c r="I267" s="71"/>
      <c r="J267" s="71"/>
      <c r="K267" s="35" t="s">
        <v>65</v>
      </c>
      <c r="L267" s="79">
        <v>267</v>
      </c>
      <c r="M267" s="79"/>
      <c r="N267" s="73"/>
      <c r="O267" s="81" t="s">
        <v>788</v>
      </c>
      <c r="P267" s="81" t="s">
        <v>325</v>
      </c>
      <c r="Q267" s="84" t="s">
        <v>1055</v>
      </c>
      <c r="R267" s="81" t="s">
        <v>514</v>
      </c>
      <c r="S267" s="81" t="s">
        <v>1582</v>
      </c>
      <c r="T267" s="86" t="str">
        <f>HYPERLINK("http://www.youtube.com/channel/UCJA6Cp11bAsXROb2dD8agaw")</f>
        <v>http://www.youtube.com/channel/UCJA6Cp11bAsXROb2dD8agaw</v>
      </c>
      <c r="U267" s="81"/>
      <c r="V267" s="81" t="s">
        <v>1885</v>
      </c>
      <c r="W267" s="86" t="str">
        <f>HYPERLINK("https://www.youtube.com/watch?v=wadBvDPeE4E")</f>
        <v>https://www.youtube.com/watch?v=wadBvDPeE4E</v>
      </c>
      <c r="X267" s="81" t="s">
        <v>1886</v>
      </c>
      <c r="Y267" s="81">
        <v>0</v>
      </c>
      <c r="Z267" s="88">
        <v>41222.63017361111</v>
      </c>
      <c r="AA267" s="88">
        <v>41222.63017361111</v>
      </c>
      <c r="AB267" s="81"/>
      <c r="AC267" s="81"/>
      <c r="AD267" s="84" t="s">
        <v>1927</v>
      </c>
      <c r="AE267" s="82">
        <v>3</v>
      </c>
      <c r="AF267" s="83" t="str">
        <f>REPLACE(INDEX(GroupVertices[Group],MATCH(Edges[[#This Row],[Vertex 1]],GroupVertices[Vertex],0)),1,1,"")</f>
        <v>1</v>
      </c>
      <c r="AG267" s="83" t="str">
        <f>REPLACE(INDEX(GroupVertices[Group],MATCH(Edges[[#This Row],[Vertex 2]],GroupVertices[Vertex],0)),1,1,"")</f>
        <v>1</v>
      </c>
      <c r="AH267" s="111">
        <v>2</v>
      </c>
      <c r="AI267" s="112">
        <v>4.25531914893617</v>
      </c>
      <c r="AJ267" s="111">
        <v>2</v>
      </c>
      <c r="AK267" s="112">
        <v>4.25531914893617</v>
      </c>
      <c r="AL267" s="111">
        <v>0</v>
      </c>
      <c r="AM267" s="112">
        <v>0</v>
      </c>
      <c r="AN267" s="111">
        <v>43</v>
      </c>
      <c r="AO267" s="112">
        <v>91.48936170212765</v>
      </c>
      <c r="AP267" s="111">
        <v>47</v>
      </c>
    </row>
    <row r="268" spans="1:42" ht="15">
      <c r="A268" s="65" t="s">
        <v>514</v>
      </c>
      <c r="B268" s="65" t="s">
        <v>786</v>
      </c>
      <c r="C268" s="66" t="s">
        <v>4511</v>
      </c>
      <c r="D268" s="67">
        <v>7.666666666666667</v>
      </c>
      <c r="E268" s="68"/>
      <c r="F268" s="69">
        <v>23.333333333333332</v>
      </c>
      <c r="G268" s="66"/>
      <c r="H268" s="70"/>
      <c r="I268" s="71"/>
      <c r="J268" s="71"/>
      <c r="K268" s="35" t="s">
        <v>65</v>
      </c>
      <c r="L268" s="79">
        <v>268</v>
      </c>
      <c r="M268" s="79"/>
      <c r="N268" s="73"/>
      <c r="O268" s="81" t="s">
        <v>788</v>
      </c>
      <c r="P268" s="81" t="s">
        <v>325</v>
      </c>
      <c r="Q268" s="84" t="s">
        <v>1056</v>
      </c>
      <c r="R268" s="81" t="s">
        <v>514</v>
      </c>
      <c r="S268" s="81" t="s">
        <v>1582</v>
      </c>
      <c r="T268" s="86" t="str">
        <f>HYPERLINK("http://www.youtube.com/channel/UCJA6Cp11bAsXROb2dD8agaw")</f>
        <v>http://www.youtube.com/channel/UCJA6Cp11bAsXROb2dD8agaw</v>
      </c>
      <c r="U268" s="81"/>
      <c r="V268" s="81" t="s">
        <v>1885</v>
      </c>
      <c r="W268" s="86" t="str">
        <f>HYPERLINK("https://www.youtube.com/watch?v=wadBvDPeE4E")</f>
        <v>https://www.youtube.com/watch?v=wadBvDPeE4E</v>
      </c>
      <c r="X268" s="81" t="s">
        <v>1886</v>
      </c>
      <c r="Y268" s="81">
        <v>0</v>
      </c>
      <c r="Z268" s="88">
        <v>41227.506898148145</v>
      </c>
      <c r="AA268" s="88">
        <v>41227.506898148145</v>
      </c>
      <c r="AB268" s="81"/>
      <c r="AC268" s="81"/>
      <c r="AD268" s="84" t="s">
        <v>1927</v>
      </c>
      <c r="AE268" s="82">
        <v>3</v>
      </c>
      <c r="AF268" s="83" t="str">
        <f>REPLACE(INDEX(GroupVertices[Group],MATCH(Edges[[#This Row],[Vertex 1]],GroupVertices[Vertex],0)),1,1,"")</f>
        <v>1</v>
      </c>
      <c r="AG268" s="83" t="str">
        <f>REPLACE(INDEX(GroupVertices[Group],MATCH(Edges[[#This Row],[Vertex 2]],GroupVertices[Vertex],0)),1,1,"")</f>
        <v>1</v>
      </c>
      <c r="AH268" s="111">
        <v>0</v>
      </c>
      <c r="AI268" s="112">
        <v>0</v>
      </c>
      <c r="AJ268" s="111">
        <v>0</v>
      </c>
      <c r="AK268" s="112">
        <v>0</v>
      </c>
      <c r="AL268" s="111">
        <v>0</v>
      </c>
      <c r="AM268" s="112">
        <v>0</v>
      </c>
      <c r="AN268" s="111">
        <v>5</v>
      </c>
      <c r="AO268" s="112">
        <v>100</v>
      </c>
      <c r="AP268" s="111">
        <v>5</v>
      </c>
    </row>
    <row r="269" spans="1:42" ht="15">
      <c r="A269" s="65" t="s">
        <v>514</v>
      </c>
      <c r="B269" s="65" t="s">
        <v>786</v>
      </c>
      <c r="C269" s="66" t="s">
        <v>4511</v>
      </c>
      <c r="D269" s="67">
        <v>7.666666666666667</v>
      </c>
      <c r="E269" s="68"/>
      <c r="F269" s="69">
        <v>23.333333333333332</v>
      </c>
      <c r="G269" s="66"/>
      <c r="H269" s="70"/>
      <c r="I269" s="71"/>
      <c r="J269" s="71"/>
      <c r="K269" s="35" t="s">
        <v>65</v>
      </c>
      <c r="L269" s="79">
        <v>269</v>
      </c>
      <c r="M269" s="79"/>
      <c r="N269" s="73"/>
      <c r="O269" s="81" t="s">
        <v>788</v>
      </c>
      <c r="P269" s="81" t="s">
        <v>325</v>
      </c>
      <c r="Q269" s="84" t="s">
        <v>1057</v>
      </c>
      <c r="R269" s="81" t="s">
        <v>514</v>
      </c>
      <c r="S269" s="81" t="s">
        <v>1582</v>
      </c>
      <c r="T269" s="86" t="str">
        <f>HYPERLINK("http://www.youtube.com/channel/UCJA6Cp11bAsXROb2dD8agaw")</f>
        <v>http://www.youtube.com/channel/UCJA6Cp11bAsXROb2dD8agaw</v>
      </c>
      <c r="U269" s="81"/>
      <c r="V269" s="81" t="s">
        <v>1885</v>
      </c>
      <c r="W269" s="86" t="str">
        <f>HYPERLINK("https://www.youtube.com/watch?v=wadBvDPeE4E")</f>
        <v>https://www.youtube.com/watch?v=wadBvDPeE4E</v>
      </c>
      <c r="X269" s="81" t="s">
        <v>1886</v>
      </c>
      <c r="Y269" s="81">
        <v>0</v>
      </c>
      <c r="Z269" s="88">
        <v>41228.720671296294</v>
      </c>
      <c r="AA269" s="88">
        <v>41228.720671296294</v>
      </c>
      <c r="AB269" s="81"/>
      <c r="AC269" s="81"/>
      <c r="AD269" s="84" t="s">
        <v>1927</v>
      </c>
      <c r="AE269" s="82">
        <v>3</v>
      </c>
      <c r="AF269" s="83" t="str">
        <f>REPLACE(INDEX(GroupVertices[Group],MATCH(Edges[[#This Row],[Vertex 1]],GroupVertices[Vertex],0)),1,1,"")</f>
        <v>1</v>
      </c>
      <c r="AG269" s="83" t="str">
        <f>REPLACE(INDEX(GroupVertices[Group],MATCH(Edges[[#This Row],[Vertex 2]],GroupVertices[Vertex],0)),1,1,"")</f>
        <v>1</v>
      </c>
      <c r="AH269" s="111">
        <v>0</v>
      </c>
      <c r="AI269" s="112">
        <v>0</v>
      </c>
      <c r="AJ269" s="111">
        <v>0</v>
      </c>
      <c r="AK269" s="112">
        <v>0</v>
      </c>
      <c r="AL269" s="111">
        <v>0</v>
      </c>
      <c r="AM269" s="112">
        <v>0</v>
      </c>
      <c r="AN269" s="111">
        <v>5</v>
      </c>
      <c r="AO269" s="112">
        <v>100</v>
      </c>
      <c r="AP269" s="111">
        <v>5</v>
      </c>
    </row>
    <row r="270" spans="1:42" ht="15">
      <c r="A270" s="65" t="s">
        <v>515</v>
      </c>
      <c r="B270" s="65" t="s">
        <v>786</v>
      </c>
      <c r="C270" s="66" t="s">
        <v>4510</v>
      </c>
      <c r="D270" s="67">
        <v>5.333333333333334</v>
      </c>
      <c r="E270" s="68"/>
      <c r="F270" s="69">
        <v>31.666666666666664</v>
      </c>
      <c r="G270" s="66"/>
      <c r="H270" s="70"/>
      <c r="I270" s="71"/>
      <c r="J270" s="71"/>
      <c r="K270" s="35" t="s">
        <v>65</v>
      </c>
      <c r="L270" s="79">
        <v>270</v>
      </c>
      <c r="M270" s="79"/>
      <c r="N270" s="73"/>
      <c r="O270" s="81" t="s">
        <v>788</v>
      </c>
      <c r="P270" s="81" t="s">
        <v>325</v>
      </c>
      <c r="Q270" s="84" t="s">
        <v>1058</v>
      </c>
      <c r="R270" s="81" t="s">
        <v>515</v>
      </c>
      <c r="S270" s="81" t="s">
        <v>1583</v>
      </c>
      <c r="T270" s="86" t="str">
        <f>HYPERLINK("http://www.youtube.com/channel/UCESfrA_alxVgB3S1A61EDJA")</f>
        <v>http://www.youtube.com/channel/UCESfrA_alxVgB3S1A61EDJA</v>
      </c>
      <c r="U270" s="81"/>
      <c r="V270" s="81" t="s">
        <v>1885</v>
      </c>
      <c r="W270" s="86" t="str">
        <f>HYPERLINK("https://www.youtube.com/watch?v=wadBvDPeE4E")</f>
        <v>https://www.youtube.com/watch?v=wadBvDPeE4E</v>
      </c>
      <c r="X270" s="81" t="s">
        <v>1886</v>
      </c>
      <c r="Y270" s="81">
        <v>0</v>
      </c>
      <c r="Z270" s="88">
        <v>41228.66931712963</v>
      </c>
      <c r="AA270" s="88">
        <v>41228.66931712963</v>
      </c>
      <c r="AB270" s="81"/>
      <c r="AC270" s="81"/>
      <c r="AD270" s="84" t="s">
        <v>1927</v>
      </c>
      <c r="AE270" s="82">
        <v>2</v>
      </c>
      <c r="AF270" s="83" t="str">
        <f>REPLACE(INDEX(GroupVertices[Group],MATCH(Edges[[#This Row],[Vertex 1]],GroupVertices[Vertex],0)),1,1,"")</f>
        <v>1</v>
      </c>
      <c r="AG270" s="83" t="str">
        <f>REPLACE(INDEX(GroupVertices[Group],MATCH(Edges[[#This Row],[Vertex 2]],GroupVertices[Vertex],0)),1,1,"")</f>
        <v>1</v>
      </c>
      <c r="AH270" s="111">
        <v>0</v>
      </c>
      <c r="AI270" s="112">
        <v>0</v>
      </c>
      <c r="AJ270" s="111">
        <v>4</v>
      </c>
      <c r="AK270" s="112">
        <v>5.405405405405405</v>
      </c>
      <c r="AL270" s="111">
        <v>0</v>
      </c>
      <c r="AM270" s="112">
        <v>0</v>
      </c>
      <c r="AN270" s="111">
        <v>70</v>
      </c>
      <c r="AO270" s="112">
        <v>94.5945945945946</v>
      </c>
      <c r="AP270" s="111">
        <v>74</v>
      </c>
    </row>
    <row r="271" spans="1:42" ht="15">
      <c r="A271" s="65" t="s">
        <v>515</v>
      </c>
      <c r="B271" s="65" t="s">
        <v>786</v>
      </c>
      <c r="C271" s="66" t="s">
        <v>4510</v>
      </c>
      <c r="D271" s="67">
        <v>5.333333333333334</v>
      </c>
      <c r="E271" s="68"/>
      <c r="F271" s="69">
        <v>31.666666666666664</v>
      </c>
      <c r="G271" s="66"/>
      <c r="H271" s="70"/>
      <c r="I271" s="71"/>
      <c r="J271" s="71"/>
      <c r="K271" s="35" t="s">
        <v>65</v>
      </c>
      <c r="L271" s="79">
        <v>271</v>
      </c>
      <c r="M271" s="79"/>
      <c r="N271" s="73"/>
      <c r="O271" s="81" t="s">
        <v>788</v>
      </c>
      <c r="P271" s="81" t="s">
        <v>325</v>
      </c>
      <c r="Q271" s="84" t="s">
        <v>1059</v>
      </c>
      <c r="R271" s="81" t="s">
        <v>515</v>
      </c>
      <c r="S271" s="81" t="s">
        <v>1583</v>
      </c>
      <c r="T271" s="86" t="str">
        <f>HYPERLINK("http://www.youtube.com/channel/UCESfrA_alxVgB3S1A61EDJA")</f>
        <v>http://www.youtube.com/channel/UCESfrA_alxVgB3S1A61EDJA</v>
      </c>
      <c r="U271" s="81"/>
      <c r="V271" s="81" t="s">
        <v>1885</v>
      </c>
      <c r="W271" s="86" t="str">
        <f>HYPERLINK("https://www.youtube.com/watch?v=wadBvDPeE4E")</f>
        <v>https://www.youtube.com/watch?v=wadBvDPeE4E</v>
      </c>
      <c r="X271" s="81" t="s">
        <v>1886</v>
      </c>
      <c r="Y271" s="81">
        <v>0</v>
      </c>
      <c r="Z271" s="88">
        <v>41228.937106481484</v>
      </c>
      <c r="AA271" s="88">
        <v>41228.937106481484</v>
      </c>
      <c r="AB271" s="81"/>
      <c r="AC271" s="81"/>
      <c r="AD271" s="84" t="s">
        <v>1927</v>
      </c>
      <c r="AE271" s="82">
        <v>2</v>
      </c>
      <c r="AF271" s="83" t="str">
        <f>REPLACE(INDEX(GroupVertices[Group],MATCH(Edges[[#This Row],[Vertex 1]],GroupVertices[Vertex],0)),1,1,"")</f>
        <v>1</v>
      </c>
      <c r="AG271" s="83" t="str">
        <f>REPLACE(INDEX(GroupVertices[Group],MATCH(Edges[[#This Row],[Vertex 2]],GroupVertices[Vertex],0)),1,1,"")</f>
        <v>1</v>
      </c>
      <c r="AH271" s="111">
        <v>0</v>
      </c>
      <c r="AI271" s="112">
        <v>0</v>
      </c>
      <c r="AJ271" s="111">
        <v>0</v>
      </c>
      <c r="AK271" s="112">
        <v>0</v>
      </c>
      <c r="AL271" s="111">
        <v>0</v>
      </c>
      <c r="AM271" s="112">
        <v>0</v>
      </c>
      <c r="AN271" s="111">
        <v>12</v>
      </c>
      <c r="AO271" s="112">
        <v>100</v>
      </c>
      <c r="AP271" s="111">
        <v>12</v>
      </c>
    </row>
    <row r="272" spans="1:42" ht="15">
      <c r="A272" s="65" t="s">
        <v>516</v>
      </c>
      <c r="B272" s="65" t="s">
        <v>786</v>
      </c>
      <c r="C272" s="66" t="s">
        <v>4509</v>
      </c>
      <c r="D272" s="67">
        <v>3</v>
      </c>
      <c r="E272" s="68"/>
      <c r="F272" s="69">
        <v>40</v>
      </c>
      <c r="G272" s="66"/>
      <c r="H272" s="70"/>
      <c r="I272" s="71"/>
      <c r="J272" s="71"/>
      <c r="K272" s="35" t="s">
        <v>65</v>
      </c>
      <c r="L272" s="79">
        <v>272</v>
      </c>
      <c r="M272" s="79"/>
      <c r="N272" s="73"/>
      <c r="O272" s="81" t="s">
        <v>788</v>
      </c>
      <c r="P272" s="81" t="s">
        <v>325</v>
      </c>
      <c r="Q272" s="84" t="s">
        <v>1060</v>
      </c>
      <c r="R272" s="81" t="s">
        <v>516</v>
      </c>
      <c r="S272" s="81" t="s">
        <v>1584</v>
      </c>
      <c r="T272" s="86" t="str">
        <f>HYPERLINK("http://www.youtube.com/channel/UCHNGz4l_JA44TOJduYuJ9lg")</f>
        <v>http://www.youtube.com/channel/UCHNGz4l_JA44TOJduYuJ9lg</v>
      </c>
      <c r="U272" s="81"/>
      <c r="V272" s="81" t="s">
        <v>1885</v>
      </c>
      <c r="W272" s="86" t="str">
        <f>HYPERLINK("https://www.youtube.com/watch?v=wadBvDPeE4E")</f>
        <v>https://www.youtube.com/watch?v=wadBvDPeE4E</v>
      </c>
      <c r="X272" s="81" t="s">
        <v>1886</v>
      </c>
      <c r="Y272" s="81">
        <v>0</v>
      </c>
      <c r="Z272" s="88">
        <v>41232.333819444444</v>
      </c>
      <c r="AA272" s="88">
        <v>41232.333819444444</v>
      </c>
      <c r="AB272" s="81"/>
      <c r="AC272" s="81"/>
      <c r="AD272" s="84" t="s">
        <v>1927</v>
      </c>
      <c r="AE272" s="82">
        <v>1</v>
      </c>
      <c r="AF272" s="83" t="str">
        <f>REPLACE(INDEX(GroupVertices[Group],MATCH(Edges[[#This Row],[Vertex 1]],GroupVertices[Vertex],0)),1,1,"")</f>
        <v>1</v>
      </c>
      <c r="AG272" s="83" t="str">
        <f>REPLACE(INDEX(GroupVertices[Group],MATCH(Edges[[#This Row],[Vertex 2]],GroupVertices[Vertex],0)),1,1,"")</f>
        <v>1</v>
      </c>
      <c r="AH272" s="111">
        <v>4</v>
      </c>
      <c r="AI272" s="112">
        <v>4.878048780487805</v>
      </c>
      <c r="AJ272" s="111">
        <v>1</v>
      </c>
      <c r="AK272" s="112">
        <v>1.2195121951219512</v>
      </c>
      <c r="AL272" s="111">
        <v>0</v>
      </c>
      <c r="AM272" s="112">
        <v>0</v>
      </c>
      <c r="AN272" s="111">
        <v>77</v>
      </c>
      <c r="AO272" s="112">
        <v>93.90243902439025</v>
      </c>
      <c r="AP272" s="111">
        <v>82</v>
      </c>
    </row>
    <row r="273" spans="1:42" ht="15">
      <c r="A273" s="65" t="s">
        <v>517</v>
      </c>
      <c r="B273" s="65" t="s">
        <v>786</v>
      </c>
      <c r="C273" s="66" t="s">
        <v>4509</v>
      </c>
      <c r="D273" s="67">
        <v>3</v>
      </c>
      <c r="E273" s="68"/>
      <c r="F273" s="69">
        <v>40</v>
      </c>
      <c r="G273" s="66"/>
      <c r="H273" s="70"/>
      <c r="I273" s="71"/>
      <c r="J273" s="71"/>
      <c r="K273" s="35" t="s">
        <v>65</v>
      </c>
      <c r="L273" s="79">
        <v>273</v>
      </c>
      <c r="M273" s="79"/>
      <c r="N273" s="73"/>
      <c r="O273" s="81" t="s">
        <v>788</v>
      </c>
      <c r="P273" s="81" t="s">
        <v>325</v>
      </c>
      <c r="Q273" s="84" t="s">
        <v>1061</v>
      </c>
      <c r="R273" s="81" t="s">
        <v>517</v>
      </c>
      <c r="S273" s="81" t="s">
        <v>1585</v>
      </c>
      <c r="T273" s="86" t="str">
        <f>HYPERLINK("http://www.youtube.com/channel/UC7WD2Hjo54tWO1Q54AQOIqA")</f>
        <v>http://www.youtube.com/channel/UC7WD2Hjo54tWO1Q54AQOIqA</v>
      </c>
      <c r="U273" s="81"/>
      <c r="V273" s="81" t="s">
        <v>1885</v>
      </c>
      <c r="W273" s="86" t="str">
        <f>HYPERLINK("https://www.youtube.com/watch?v=wadBvDPeE4E")</f>
        <v>https://www.youtube.com/watch?v=wadBvDPeE4E</v>
      </c>
      <c r="X273" s="81" t="s">
        <v>1886</v>
      </c>
      <c r="Y273" s="81">
        <v>0</v>
      </c>
      <c r="Z273" s="88">
        <v>41248.66197916667</v>
      </c>
      <c r="AA273" s="88">
        <v>41248.66197916667</v>
      </c>
      <c r="AB273" s="81"/>
      <c r="AC273" s="81"/>
      <c r="AD273" s="84" t="s">
        <v>1927</v>
      </c>
      <c r="AE273" s="82">
        <v>1</v>
      </c>
      <c r="AF273" s="83" t="str">
        <f>REPLACE(INDEX(GroupVertices[Group],MATCH(Edges[[#This Row],[Vertex 1]],GroupVertices[Vertex],0)),1,1,"")</f>
        <v>1</v>
      </c>
      <c r="AG273" s="83" t="str">
        <f>REPLACE(INDEX(GroupVertices[Group],MATCH(Edges[[#This Row],[Vertex 2]],GroupVertices[Vertex],0)),1,1,"")</f>
        <v>1</v>
      </c>
      <c r="AH273" s="111">
        <v>0</v>
      </c>
      <c r="AI273" s="112">
        <v>0</v>
      </c>
      <c r="AJ273" s="111">
        <v>0</v>
      </c>
      <c r="AK273" s="112">
        <v>0</v>
      </c>
      <c r="AL273" s="111">
        <v>0</v>
      </c>
      <c r="AM273" s="112">
        <v>0</v>
      </c>
      <c r="AN273" s="111">
        <v>6</v>
      </c>
      <c r="AO273" s="112">
        <v>100</v>
      </c>
      <c r="AP273" s="111">
        <v>6</v>
      </c>
    </row>
    <row r="274" spans="1:42" ht="15">
      <c r="A274" s="65" t="s">
        <v>518</v>
      </c>
      <c r="B274" s="65" t="s">
        <v>786</v>
      </c>
      <c r="C274" s="66" t="s">
        <v>4509</v>
      </c>
      <c r="D274" s="67">
        <v>3</v>
      </c>
      <c r="E274" s="68"/>
      <c r="F274" s="69">
        <v>40</v>
      </c>
      <c r="G274" s="66"/>
      <c r="H274" s="70"/>
      <c r="I274" s="71"/>
      <c r="J274" s="71"/>
      <c r="K274" s="35" t="s">
        <v>65</v>
      </c>
      <c r="L274" s="79">
        <v>274</v>
      </c>
      <c r="M274" s="79"/>
      <c r="N274" s="73"/>
      <c r="O274" s="81" t="s">
        <v>788</v>
      </c>
      <c r="P274" s="81" t="s">
        <v>325</v>
      </c>
      <c r="Q274" s="84" t="s">
        <v>1062</v>
      </c>
      <c r="R274" s="81" t="s">
        <v>518</v>
      </c>
      <c r="S274" s="81" t="s">
        <v>1586</v>
      </c>
      <c r="T274" s="86" t="str">
        <f>HYPERLINK("http://www.youtube.com/channel/UC6aP3JCxOS44aMz4KSlvCyg")</f>
        <v>http://www.youtube.com/channel/UC6aP3JCxOS44aMz4KSlvCyg</v>
      </c>
      <c r="U274" s="81"/>
      <c r="V274" s="81" t="s">
        <v>1885</v>
      </c>
      <c r="W274" s="86" t="str">
        <f>HYPERLINK("https://www.youtube.com/watch?v=wadBvDPeE4E")</f>
        <v>https://www.youtube.com/watch?v=wadBvDPeE4E</v>
      </c>
      <c r="X274" s="81" t="s">
        <v>1886</v>
      </c>
      <c r="Y274" s="81">
        <v>0</v>
      </c>
      <c r="Z274" s="88">
        <v>41249.05045138889</v>
      </c>
      <c r="AA274" s="88">
        <v>41249.05045138889</v>
      </c>
      <c r="AB274" s="81"/>
      <c r="AC274" s="81"/>
      <c r="AD274" s="84" t="s">
        <v>1927</v>
      </c>
      <c r="AE274" s="82">
        <v>1</v>
      </c>
      <c r="AF274" s="83" t="str">
        <f>REPLACE(INDEX(GroupVertices[Group],MATCH(Edges[[#This Row],[Vertex 1]],GroupVertices[Vertex],0)),1,1,"")</f>
        <v>1</v>
      </c>
      <c r="AG274" s="83" t="str">
        <f>REPLACE(INDEX(GroupVertices[Group],MATCH(Edges[[#This Row],[Vertex 2]],GroupVertices[Vertex],0)),1,1,"")</f>
        <v>1</v>
      </c>
      <c r="AH274" s="111">
        <v>2</v>
      </c>
      <c r="AI274" s="112">
        <v>10</v>
      </c>
      <c r="AJ274" s="111">
        <v>1</v>
      </c>
      <c r="AK274" s="112">
        <v>5</v>
      </c>
      <c r="AL274" s="111">
        <v>0</v>
      </c>
      <c r="AM274" s="112">
        <v>0</v>
      </c>
      <c r="AN274" s="111">
        <v>17</v>
      </c>
      <c r="AO274" s="112">
        <v>85</v>
      </c>
      <c r="AP274" s="111">
        <v>20</v>
      </c>
    </row>
    <row r="275" spans="1:42" ht="15">
      <c r="A275" s="65" t="s">
        <v>519</v>
      </c>
      <c r="B275" s="65" t="s">
        <v>786</v>
      </c>
      <c r="C275" s="66" t="s">
        <v>4509</v>
      </c>
      <c r="D275" s="67">
        <v>3</v>
      </c>
      <c r="E275" s="68"/>
      <c r="F275" s="69">
        <v>40</v>
      </c>
      <c r="G275" s="66"/>
      <c r="H275" s="70"/>
      <c r="I275" s="71"/>
      <c r="J275" s="71"/>
      <c r="K275" s="35" t="s">
        <v>65</v>
      </c>
      <c r="L275" s="79">
        <v>275</v>
      </c>
      <c r="M275" s="79"/>
      <c r="N275" s="73"/>
      <c r="O275" s="81" t="s">
        <v>788</v>
      </c>
      <c r="P275" s="81" t="s">
        <v>325</v>
      </c>
      <c r="Q275" s="84" t="s">
        <v>1063</v>
      </c>
      <c r="R275" s="81" t="s">
        <v>519</v>
      </c>
      <c r="S275" s="81" t="s">
        <v>1587</v>
      </c>
      <c r="T275" s="86" t="str">
        <f>HYPERLINK("http://www.youtube.com/channel/UCnNk4Ymi7HlpFibm3ArapAg")</f>
        <v>http://www.youtube.com/channel/UCnNk4Ymi7HlpFibm3ArapAg</v>
      </c>
      <c r="U275" s="81"/>
      <c r="V275" s="81" t="s">
        <v>1885</v>
      </c>
      <c r="W275" s="86" t="str">
        <f>HYPERLINK("https://www.youtube.com/watch?v=wadBvDPeE4E")</f>
        <v>https://www.youtube.com/watch?v=wadBvDPeE4E</v>
      </c>
      <c r="X275" s="81" t="s">
        <v>1886</v>
      </c>
      <c r="Y275" s="81">
        <v>1</v>
      </c>
      <c r="Z275" s="88">
        <v>41253.015011574076</v>
      </c>
      <c r="AA275" s="88">
        <v>41253.015011574076</v>
      </c>
      <c r="AB275" s="81"/>
      <c r="AC275" s="81"/>
      <c r="AD275" s="84" t="s">
        <v>1927</v>
      </c>
      <c r="AE275" s="82">
        <v>1</v>
      </c>
      <c r="AF275" s="83" t="str">
        <f>REPLACE(INDEX(GroupVertices[Group],MATCH(Edges[[#This Row],[Vertex 1]],GroupVertices[Vertex],0)),1,1,"")</f>
        <v>1</v>
      </c>
      <c r="AG275" s="83" t="str">
        <f>REPLACE(INDEX(GroupVertices[Group],MATCH(Edges[[#This Row],[Vertex 2]],GroupVertices[Vertex],0)),1,1,"")</f>
        <v>1</v>
      </c>
      <c r="AH275" s="111">
        <v>2</v>
      </c>
      <c r="AI275" s="112">
        <v>22.22222222222222</v>
      </c>
      <c r="AJ275" s="111">
        <v>1</v>
      </c>
      <c r="AK275" s="112">
        <v>11.11111111111111</v>
      </c>
      <c r="AL275" s="111">
        <v>0</v>
      </c>
      <c r="AM275" s="112">
        <v>0</v>
      </c>
      <c r="AN275" s="111">
        <v>6</v>
      </c>
      <c r="AO275" s="112">
        <v>66.66666666666667</v>
      </c>
      <c r="AP275" s="111">
        <v>9</v>
      </c>
    </row>
    <row r="276" spans="1:42" ht="15">
      <c r="A276" s="65" t="s">
        <v>520</v>
      </c>
      <c r="B276" s="65" t="s">
        <v>786</v>
      </c>
      <c r="C276" s="66" t="s">
        <v>4509</v>
      </c>
      <c r="D276" s="67">
        <v>3</v>
      </c>
      <c r="E276" s="68"/>
      <c r="F276" s="69">
        <v>40</v>
      </c>
      <c r="G276" s="66"/>
      <c r="H276" s="70"/>
      <c r="I276" s="71"/>
      <c r="J276" s="71"/>
      <c r="K276" s="35" t="s">
        <v>65</v>
      </c>
      <c r="L276" s="79">
        <v>276</v>
      </c>
      <c r="M276" s="79"/>
      <c r="N276" s="73"/>
      <c r="O276" s="81" t="s">
        <v>788</v>
      </c>
      <c r="P276" s="81" t="s">
        <v>325</v>
      </c>
      <c r="Q276" s="84" t="s">
        <v>1064</v>
      </c>
      <c r="R276" s="81" t="s">
        <v>520</v>
      </c>
      <c r="S276" s="81" t="s">
        <v>1588</v>
      </c>
      <c r="T276" s="86" t="str">
        <f>HYPERLINK("http://www.youtube.com/channel/UCnY24BM-160lOAfxDUxcWDQ")</f>
        <v>http://www.youtube.com/channel/UCnY24BM-160lOAfxDUxcWDQ</v>
      </c>
      <c r="U276" s="81"/>
      <c r="V276" s="81" t="s">
        <v>1885</v>
      </c>
      <c r="W276" s="86" t="str">
        <f>HYPERLINK("https://www.youtube.com/watch?v=wadBvDPeE4E")</f>
        <v>https://www.youtube.com/watch?v=wadBvDPeE4E</v>
      </c>
      <c r="X276" s="81" t="s">
        <v>1886</v>
      </c>
      <c r="Y276" s="81">
        <v>0</v>
      </c>
      <c r="Z276" s="88">
        <v>41255.916238425925</v>
      </c>
      <c r="AA276" s="88">
        <v>41255.916238425925</v>
      </c>
      <c r="AB276" s="81"/>
      <c r="AC276" s="81"/>
      <c r="AD276" s="84" t="s">
        <v>1927</v>
      </c>
      <c r="AE276" s="82">
        <v>1</v>
      </c>
      <c r="AF276" s="83" t="str">
        <f>REPLACE(INDEX(GroupVertices[Group],MATCH(Edges[[#This Row],[Vertex 1]],GroupVertices[Vertex],0)),1,1,"")</f>
        <v>1</v>
      </c>
      <c r="AG276" s="83" t="str">
        <f>REPLACE(INDEX(GroupVertices[Group],MATCH(Edges[[#This Row],[Vertex 2]],GroupVertices[Vertex],0)),1,1,"")</f>
        <v>1</v>
      </c>
      <c r="AH276" s="111">
        <v>0</v>
      </c>
      <c r="AI276" s="112">
        <v>0</v>
      </c>
      <c r="AJ276" s="111">
        <v>0</v>
      </c>
      <c r="AK276" s="112">
        <v>0</v>
      </c>
      <c r="AL276" s="111">
        <v>0</v>
      </c>
      <c r="AM276" s="112">
        <v>0</v>
      </c>
      <c r="AN276" s="111">
        <v>12</v>
      </c>
      <c r="AO276" s="112">
        <v>100</v>
      </c>
      <c r="AP276" s="111">
        <v>12</v>
      </c>
    </row>
    <row r="277" spans="1:42" ht="15">
      <c r="A277" s="65" t="s">
        <v>521</v>
      </c>
      <c r="B277" s="65" t="s">
        <v>786</v>
      </c>
      <c r="C277" s="66" t="s">
        <v>4509</v>
      </c>
      <c r="D277" s="67">
        <v>3</v>
      </c>
      <c r="E277" s="68"/>
      <c r="F277" s="69">
        <v>40</v>
      </c>
      <c r="G277" s="66"/>
      <c r="H277" s="70"/>
      <c r="I277" s="71"/>
      <c r="J277" s="71"/>
      <c r="K277" s="35" t="s">
        <v>65</v>
      </c>
      <c r="L277" s="79">
        <v>277</v>
      </c>
      <c r="M277" s="79"/>
      <c r="N277" s="73"/>
      <c r="O277" s="81" t="s">
        <v>788</v>
      </c>
      <c r="P277" s="81" t="s">
        <v>325</v>
      </c>
      <c r="Q277" s="84" t="s">
        <v>1065</v>
      </c>
      <c r="R277" s="81" t="s">
        <v>521</v>
      </c>
      <c r="S277" s="81" t="s">
        <v>1589</v>
      </c>
      <c r="T277" s="86" t="str">
        <f>HYPERLINK("http://www.youtube.com/channel/UC--kuMKXTCu2cGhjVPOIilA")</f>
        <v>http://www.youtube.com/channel/UC--kuMKXTCu2cGhjVPOIilA</v>
      </c>
      <c r="U277" s="81"/>
      <c r="V277" s="81" t="s">
        <v>1885</v>
      </c>
      <c r="W277" s="86" t="str">
        <f>HYPERLINK("https://www.youtube.com/watch?v=wadBvDPeE4E")</f>
        <v>https://www.youtube.com/watch?v=wadBvDPeE4E</v>
      </c>
      <c r="X277" s="81" t="s">
        <v>1886</v>
      </c>
      <c r="Y277" s="81">
        <v>0</v>
      </c>
      <c r="Z277" s="88">
        <v>41260.600752314815</v>
      </c>
      <c r="AA277" s="88">
        <v>41260.600752314815</v>
      </c>
      <c r="AB277" s="81"/>
      <c r="AC277" s="81"/>
      <c r="AD277" s="84" t="s">
        <v>1927</v>
      </c>
      <c r="AE277" s="82">
        <v>1</v>
      </c>
      <c r="AF277" s="83" t="str">
        <f>REPLACE(INDEX(GroupVertices[Group],MATCH(Edges[[#This Row],[Vertex 1]],GroupVertices[Vertex],0)),1,1,"")</f>
        <v>1</v>
      </c>
      <c r="AG277" s="83" t="str">
        <f>REPLACE(INDEX(GroupVertices[Group],MATCH(Edges[[#This Row],[Vertex 2]],GroupVertices[Vertex],0)),1,1,"")</f>
        <v>1</v>
      </c>
      <c r="AH277" s="111">
        <v>0</v>
      </c>
      <c r="AI277" s="112">
        <v>0</v>
      </c>
      <c r="AJ277" s="111">
        <v>0</v>
      </c>
      <c r="AK277" s="112">
        <v>0</v>
      </c>
      <c r="AL277" s="111">
        <v>0</v>
      </c>
      <c r="AM277" s="112">
        <v>0</v>
      </c>
      <c r="AN277" s="111">
        <v>6</v>
      </c>
      <c r="AO277" s="112">
        <v>100</v>
      </c>
      <c r="AP277" s="111">
        <v>6</v>
      </c>
    </row>
    <row r="278" spans="1:42" ht="15">
      <c r="A278" s="65" t="s">
        <v>522</v>
      </c>
      <c r="B278" s="65" t="s">
        <v>786</v>
      </c>
      <c r="C278" s="66" t="s">
        <v>4509</v>
      </c>
      <c r="D278" s="67">
        <v>3</v>
      </c>
      <c r="E278" s="68"/>
      <c r="F278" s="69">
        <v>40</v>
      </c>
      <c r="G278" s="66"/>
      <c r="H278" s="70"/>
      <c r="I278" s="71"/>
      <c r="J278" s="71"/>
      <c r="K278" s="35" t="s">
        <v>65</v>
      </c>
      <c r="L278" s="79">
        <v>278</v>
      </c>
      <c r="M278" s="79"/>
      <c r="N278" s="73"/>
      <c r="O278" s="81" t="s">
        <v>788</v>
      </c>
      <c r="P278" s="81" t="s">
        <v>325</v>
      </c>
      <c r="Q278" s="84" t="s">
        <v>1066</v>
      </c>
      <c r="R278" s="81" t="s">
        <v>522</v>
      </c>
      <c r="S278" s="81" t="s">
        <v>1590</v>
      </c>
      <c r="T278" s="86" t="str">
        <f>HYPERLINK("http://www.youtube.com/channel/UCjTZvKAm_H8PtYNmVG6bpOA")</f>
        <v>http://www.youtube.com/channel/UCjTZvKAm_H8PtYNmVG6bpOA</v>
      </c>
      <c r="U278" s="81"/>
      <c r="V278" s="81" t="s">
        <v>1885</v>
      </c>
      <c r="W278" s="86" t="str">
        <f>HYPERLINK("https://www.youtube.com/watch?v=wadBvDPeE4E")</f>
        <v>https://www.youtube.com/watch?v=wadBvDPeE4E</v>
      </c>
      <c r="X278" s="81" t="s">
        <v>1886</v>
      </c>
      <c r="Y278" s="81">
        <v>0</v>
      </c>
      <c r="Z278" s="88">
        <v>41266.02990740741</v>
      </c>
      <c r="AA278" s="88">
        <v>41266.02990740741</v>
      </c>
      <c r="AB278" s="81"/>
      <c r="AC278" s="81"/>
      <c r="AD278" s="84" t="s">
        <v>1927</v>
      </c>
      <c r="AE278" s="82">
        <v>1</v>
      </c>
      <c r="AF278" s="83" t="str">
        <f>REPLACE(INDEX(GroupVertices[Group],MATCH(Edges[[#This Row],[Vertex 1]],GroupVertices[Vertex],0)),1,1,"")</f>
        <v>1</v>
      </c>
      <c r="AG278" s="83" t="str">
        <f>REPLACE(INDEX(GroupVertices[Group],MATCH(Edges[[#This Row],[Vertex 2]],GroupVertices[Vertex],0)),1,1,"")</f>
        <v>1</v>
      </c>
      <c r="AH278" s="111">
        <v>2</v>
      </c>
      <c r="AI278" s="112">
        <v>10</v>
      </c>
      <c r="AJ278" s="111">
        <v>0</v>
      </c>
      <c r="AK278" s="112">
        <v>0</v>
      </c>
      <c r="AL278" s="111">
        <v>0</v>
      </c>
      <c r="AM278" s="112">
        <v>0</v>
      </c>
      <c r="AN278" s="111">
        <v>18</v>
      </c>
      <c r="AO278" s="112">
        <v>90</v>
      </c>
      <c r="AP278" s="111">
        <v>20</v>
      </c>
    </row>
    <row r="279" spans="1:42" ht="15">
      <c r="A279" s="65" t="s">
        <v>523</v>
      </c>
      <c r="B279" s="65" t="s">
        <v>786</v>
      </c>
      <c r="C279" s="66" t="s">
        <v>4510</v>
      </c>
      <c r="D279" s="67">
        <v>5.333333333333334</v>
      </c>
      <c r="E279" s="68"/>
      <c r="F279" s="69">
        <v>31.666666666666664</v>
      </c>
      <c r="G279" s="66"/>
      <c r="H279" s="70"/>
      <c r="I279" s="71"/>
      <c r="J279" s="71"/>
      <c r="K279" s="35" t="s">
        <v>65</v>
      </c>
      <c r="L279" s="79">
        <v>279</v>
      </c>
      <c r="M279" s="79"/>
      <c r="N279" s="73"/>
      <c r="O279" s="81" t="s">
        <v>788</v>
      </c>
      <c r="P279" s="81" t="s">
        <v>325</v>
      </c>
      <c r="Q279" s="84" t="s">
        <v>1067</v>
      </c>
      <c r="R279" s="81" t="s">
        <v>523</v>
      </c>
      <c r="S279" s="81" t="s">
        <v>1591</v>
      </c>
      <c r="T279" s="86" t="str">
        <f>HYPERLINK("http://www.youtube.com/channel/UCj7B-o1aobzAVNb0Fdijl5w")</f>
        <v>http://www.youtube.com/channel/UCj7B-o1aobzAVNb0Fdijl5w</v>
      </c>
      <c r="U279" s="81"/>
      <c r="V279" s="81" t="s">
        <v>1885</v>
      </c>
      <c r="W279" s="86" t="str">
        <f>HYPERLINK("https://www.youtube.com/watch?v=wadBvDPeE4E")</f>
        <v>https://www.youtube.com/watch?v=wadBvDPeE4E</v>
      </c>
      <c r="X279" s="81" t="s">
        <v>1886</v>
      </c>
      <c r="Y279" s="81">
        <v>0</v>
      </c>
      <c r="Z279" s="88">
        <v>41272.123773148145</v>
      </c>
      <c r="AA279" s="88">
        <v>41272.123773148145</v>
      </c>
      <c r="AB279" s="81"/>
      <c r="AC279" s="81"/>
      <c r="AD279" s="84" t="s">
        <v>1927</v>
      </c>
      <c r="AE279" s="82">
        <v>2</v>
      </c>
      <c r="AF279" s="83" t="str">
        <f>REPLACE(INDEX(GroupVertices[Group],MATCH(Edges[[#This Row],[Vertex 1]],GroupVertices[Vertex],0)),1,1,"")</f>
        <v>1</v>
      </c>
      <c r="AG279" s="83" t="str">
        <f>REPLACE(INDEX(GroupVertices[Group],MATCH(Edges[[#This Row],[Vertex 2]],GroupVertices[Vertex],0)),1,1,"")</f>
        <v>1</v>
      </c>
      <c r="AH279" s="111">
        <v>0</v>
      </c>
      <c r="AI279" s="112">
        <v>0</v>
      </c>
      <c r="AJ279" s="111">
        <v>1</v>
      </c>
      <c r="AK279" s="112">
        <v>3.0303030303030303</v>
      </c>
      <c r="AL279" s="111">
        <v>0</v>
      </c>
      <c r="AM279" s="112">
        <v>0</v>
      </c>
      <c r="AN279" s="111">
        <v>32</v>
      </c>
      <c r="AO279" s="112">
        <v>96.96969696969697</v>
      </c>
      <c r="AP279" s="111">
        <v>33</v>
      </c>
    </row>
    <row r="280" spans="1:42" ht="15">
      <c r="A280" s="65" t="s">
        <v>523</v>
      </c>
      <c r="B280" s="65" t="s">
        <v>786</v>
      </c>
      <c r="C280" s="66" t="s">
        <v>4510</v>
      </c>
      <c r="D280" s="67">
        <v>5.333333333333334</v>
      </c>
      <c r="E280" s="68"/>
      <c r="F280" s="69">
        <v>31.666666666666664</v>
      </c>
      <c r="G280" s="66"/>
      <c r="H280" s="70"/>
      <c r="I280" s="71"/>
      <c r="J280" s="71"/>
      <c r="K280" s="35" t="s">
        <v>65</v>
      </c>
      <c r="L280" s="79">
        <v>280</v>
      </c>
      <c r="M280" s="79"/>
      <c r="N280" s="73"/>
      <c r="O280" s="81" t="s">
        <v>788</v>
      </c>
      <c r="P280" s="81" t="s">
        <v>325</v>
      </c>
      <c r="Q280" s="84" t="s">
        <v>1068</v>
      </c>
      <c r="R280" s="81" t="s">
        <v>523</v>
      </c>
      <c r="S280" s="81" t="s">
        <v>1591</v>
      </c>
      <c r="T280" s="86" t="str">
        <f>HYPERLINK("http://www.youtube.com/channel/UCj7B-o1aobzAVNb0Fdijl5w")</f>
        <v>http://www.youtube.com/channel/UCj7B-o1aobzAVNb0Fdijl5w</v>
      </c>
      <c r="U280" s="81"/>
      <c r="V280" s="81" t="s">
        <v>1885</v>
      </c>
      <c r="W280" s="86" t="str">
        <f>HYPERLINK("https://www.youtube.com/watch?v=wadBvDPeE4E")</f>
        <v>https://www.youtube.com/watch?v=wadBvDPeE4E</v>
      </c>
      <c r="X280" s="81" t="s">
        <v>1886</v>
      </c>
      <c r="Y280" s="81">
        <v>0</v>
      </c>
      <c r="Z280" s="88">
        <v>41272.14376157407</v>
      </c>
      <c r="AA280" s="88">
        <v>41272.14376157407</v>
      </c>
      <c r="AB280" s="81"/>
      <c r="AC280" s="81"/>
      <c r="AD280" s="84" t="s">
        <v>1927</v>
      </c>
      <c r="AE280" s="82">
        <v>2</v>
      </c>
      <c r="AF280" s="83" t="str">
        <f>REPLACE(INDEX(GroupVertices[Group],MATCH(Edges[[#This Row],[Vertex 1]],GroupVertices[Vertex],0)),1,1,"")</f>
        <v>1</v>
      </c>
      <c r="AG280" s="83" t="str">
        <f>REPLACE(INDEX(GroupVertices[Group],MATCH(Edges[[#This Row],[Vertex 2]],GroupVertices[Vertex],0)),1,1,"")</f>
        <v>1</v>
      </c>
      <c r="AH280" s="111">
        <v>1</v>
      </c>
      <c r="AI280" s="112">
        <v>16.666666666666668</v>
      </c>
      <c r="AJ280" s="111">
        <v>1</v>
      </c>
      <c r="AK280" s="112">
        <v>16.666666666666668</v>
      </c>
      <c r="AL280" s="111">
        <v>0</v>
      </c>
      <c r="AM280" s="112">
        <v>0</v>
      </c>
      <c r="AN280" s="111">
        <v>4</v>
      </c>
      <c r="AO280" s="112">
        <v>66.66666666666667</v>
      </c>
      <c r="AP280" s="111">
        <v>6</v>
      </c>
    </row>
    <row r="281" spans="1:42" ht="15">
      <c r="A281" s="65" t="s">
        <v>524</v>
      </c>
      <c r="B281" s="65" t="s">
        <v>786</v>
      </c>
      <c r="C281" s="66" t="s">
        <v>4509</v>
      </c>
      <c r="D281" s="67">
        <v>3</v>
      </c>
      <c r="E281" s="68"/>
      <c r="F281" s="69">
        <v>40</v>
      </c>
      <c r="G281" s="66"/>
      <c r="H281" s="70"/>
      <c r="I281" s="71"/>
      <c r="J281" s="71"/>
      <c r="K281" s="35" t="s">
        <v>65</v>
      </c>
      <c r="L281" s="79">
        <v>281</v>
      </c>
      <c r="M281" s="79"/>
      <c r="N281" s="73"/>
      <c r="O281" s="81" t="s">
        <v>788</v>
      </c>
      <c r="P281" s="81" t="s">
        <v>325</v>
      </c>
      <c r="Q281" s="84" t="s">
        <v>1069</v>
      </c>
      <c r="R281" s="81" t="s">
        <v>524</v>
      </c>
      <c r="S281" s="81" t="s">
        <v>1592</v>
      </c>
      <c r="T281" s="86" t="str">
        <f>HYPERLINK("http://www.youtube.com/channel/UCqTHquc9XHBn1HleiAYji2A")</f>
        <v>http://www.youtube.com/channel/UCqTHquc9XHBn1HleiAYji2A</v>
      </c>
      <c r="U281" s="81"/>
      <c r="V281" s="81" t="s">
        <v>1885</v>
      </c>
      <c r="W281" s="86" t="str">
        <f>HYPERLINK("https://www.youtube.com/watch?v=wadBvDPeE4E")</f>
        <v>https://www.youtube.com/watch?v=wadBvDPeE4E</v>
      </c>
      <c r="X281" s="81" t="s">
        <v>1886</v>
      </c>
      <c r="Y281" s="81">
        <v>0</v>
      </c>
      <c r="Z281" s="88">
        <v>41274.36204861111</v>
      </c>
      <c r="AA281" s="88">
        <v>41274.36204861111</v>
      </c>
      <c r="AB281" s="81"/>
      <c r="AC281" s="81"/>
      <c r="AD281" s="84" t="s">
        <v>1927</v>
      </c>
      <c r="AE281" s="82">
        <v>1</v>
      </c>
      <c r="AF281" s="83" t="str">
        <f>REPLACE(INDEX(GroupVertices[Group],MATCH(Edges[[#This Row],[Vertex 1]],GroupVertices[Vertex],0)),1,1,"")</f>
        <v>1</v>
      </c>
      <c r="AG281" s="83" t="str">
        <f>REPLACE(INDEX(GroupVertices[Group],MATCH(Edges[[#This Row],[Vertex 2]],GroupVertices[Vertex],0)),1,1,"")</f>
        <v>1</v>
      </c>
      <c r="AH281" s="111">
        <v>0</v>
      </c>
      <c r="AI281" s="112">
        <v>0</v>
      </c>
      <c r="AJ281" s="111">
        <v>1</v>
      </c>
      <c r="AK281" s="112">
        <v>2.272727272727273</v>
      </c>
      <c r="AL281" s="111">
        <v>0</v>
      </c>
      <c r="AM281" s="112">
        <v>0</v>
      </c>
      <c r="AN281" s="111">
        <v>43</v>
      </c>
      <c r="AO281" s="112">
        <v>97.72727272727273</v>
      </c>
      <c r="AP281" s="111">
        <v>44</v>
      </c>
    </row>
    <row r="282" spans="1:42" ht="15">
      <c r="A282" s="65" t="s">
        <v>525</v>
      </c>
      <c r="B282" s="65" t="s">
        <v>786</v>
      </c>
      <c r="C282" s="66" t="s">
        <v>4509</v>
      </c>
      <c r="D282" s="67">
        <v>3</v>
      </c>
      <c r="E282" s="68"/>
      <c r="F282" s="69">
        <v>40</v>
      </c>
      <c r="G282" s="66"/>
      <c r="H282" s="70"/>
      <c r="I282" s="71"/>
      <c r="J282" s="71"/>
      <c r="K282" s="35" t="s">
        <v>65</v>
      </c>
      <c r="L282" s="79">
        <v>282</v>
      </c>
      <c r="M282" s="79"/>
      <c r="N282" s="73"/>
      <c r="O282" s="81" t="s">
        <v>788</v>
      </c>
      <c r="P282" s="81" t="s">
        <v>325</v>
      </c>
      <c r="Q282" s="84" t="s">
        <v>1070</v>
      </c>
      <c r="R282" s="81" t="s">
        <v>525</v>
      </c>
      <c r="S282" s="81" t="s">
        <v>1593</v>
      </c>
      <c r="T282" s="86" t="str">
        <f>HYPERLINK("http://www.youtube.com/channel/UCCDzwdEnOtVE7kg5-qLvllA")</f>
        <v>http://www.youtube.com/channel/UCCDzwdEnOtVE7kg5-qLvllA</v>
      </c>
      <c r="U282" s="81"/>
      <c r="V282" s="81" t="s">
        <v>1885</v>
      </c>
      <c r="W282" s="86" t="str">
        <f>HYPERLINK("https://www.youtube.com/watch?v=wadBvDPeE4E")</f>
        <v>https://www.youtube.com/watch?v=wadBvDPeE4E</v>
      </c>
      <c r="X282" s="81" t="s">
        <v>1886</v>
      </c>
      <c r="Y282" s="81">
        <v>0</v>
      </c>
      <c r="Z282" s="88">
        <v>41281.83678240741</v>
      </c>
      <c r="AA282" s="88">
        <v>41281.83678240741</v>
      </c>
      <c r="AB282" s="81"/>
      <c r="AC282" s="81"/>
      <c r="AD282" s="84" t="s">
        <v>1927</v>
      </c>
      <c r="AE282" s="82">
        <v>1</v>
      </c>
      <c r="AF282" s="83" t="str">
        <f>REPLACE(INDEX(GroupVertices[Group],MATCH(Edges[[#This Row],[Vertex 1]],GroupVertices[Vertex],0)),1,1,"")</f>
        <v>1</v>
      </c>
      <c r="AG282" s="83" t="str">
        <f>REPLACE(INDEX(GroupVertices[Group],MATCH(Edges[[#This Row],[Vertex 2]],GroupVertices[Vertex],0)),1,1,"")</f>
        <v>1</v>
      </c>
      <c r="AH282" s="111">
        <v>3</v>
      </c>
      <c r="AI282" s="112">
        <v>5.769230769230769</v>
      </c>
      <c r="AJ282" s="111">
        <v>2</v>
      </c>
      <c r="AK282" s="112">
        <v>3.8461538461538463</v>
      </c>
      <c r="AL282" s="111">
        <v>0</v>
      </c>
      <c r="AM282" s="112">
        <v>0</v>
      </c>
      <c r="AN282" s="111">
        <v>47</v>
      </c>
      <c r="AO282" s="112">
        <v>90.38461538461539</v>
      </c>
      <c r="AP282" s="111">
        <v>52</v>
      </c>
    </row>
    <row r="283" spans="1:42" ht="15">
      <c r="A283" s="65" t="s">
        <v>526</v>
      </c>
      <c r="B283" s="65" t="s">
        <v>786</v>
      </c>
      <c r="C283" s="66" t="s">
        <v>4509</v>
      </c>
      <c r="D283" s="67">
        <v>3</v>
      </c>
      <c r="E283" s="68"/>
      <c r="F283" s="69">
        <v>40</v>
      </c>
      <c r="G283" s="66"/>
      <c r="H283" s="70"/>
      <c r="I283" s="71"/>
      <c r="J283" s="71"/>
      <c r="K283" s="35" t="s">
        <v>65</v>
      </c>
      <c r="L283" s="79">
        <v>283</v>
      </c>
      <c r="M283" s="79"/>
      <c r="N283" s="73"/>
      <c r="O283" s="81" t="s">
        <v>788</v>
      </c>
      <c r="P283" s="81" t="s">
        <v>325</v>
      </c>
      <c r="Q283" s="84" t="s">
        <v>1071</v>
      </c>
      <c r="R283" s="81" t="s">
        <v>526</v>
      </c>
      <c r="S283" s="81" t="s">
        <v>1594</v>
      </c>
      <c r="T283" s="86" t="str">
        <f>HYPERLINK("http://www.youtube.com/channel/UCsrYlphjt7-a5Ogog0lYdfQ")</f>
        <v>http://www.youtube.com/channel/UCsrYlphjt7-a5Ogog0lYdfQ</v>
      </c>
      <c r="U283" s="81"/>
      <c r="V283" s="81" t="s">
        <v>1885</v>
      </c>
      <c r="W283" s="86" t="str">
        <f>HYPERLINK("https://www.youtube.com/watch?v=wadBvDPeE4E")</f>
        <v>https://www.youtube.com/watch?v=wadBvDPeE4E</v>
      </c>
      <c r="X283" s="81" t="s">
        <v>1886</v>
      </c>
      <c r="Y283" s="81">
        <v>0</v>
      </c>
      <c r="Z283" s="88">
        <v>41290.19604166667</v>
      </c>
      <c r="AA283" s="88">
        <v>41290.19604166667</v>
      </c>
      <c r="AB283" s="81"/>
      <c r="AC283" s="81"/>
      <c r="AD283" s="84" t="s">
        <v>1927</v>
      </c>
      <c r="AE283" s="82">
        <v>1</v>
      </c>
      <c r="AF283" s="83" t="str">
        <f>REPLACE(INDEX(GroupVertices[Group],MATCH(Edges[[#This Row],[Vertex 1]],GroupVertices[Vertex],0)),1,1,"")</f>
        <v>1</v>
      </c>
      <c r="AG283" s="83" t="str">
        <f>REPLACE(INDEX(GroupVertices[Group],MATCH(Edges[[#This Row],[Vertex 2]],GroupVertices[Vertex],0)),1,1,"")</f>
        <v>1</v>
      </c>
      <c r="AH283" s="111">
        <v>0</v>
      </c>
      <c r="AI283" s="112">
        <v>0</v>
      </c>
      <c r="AJ283" s="111">
        <v>0</v>
      </c>
      <c r="AK283" s="112">
        <v>0</v>
      </c>
      <c r="AL283" s="111">
        <v>0</v>
      </c>
      <c r="AM283" s="112">
        <v>0</v>
      </c>
      <c r="AN283" s="111">
        <v>8</v>
      </c>
      <c r="AO283" s="112">
        <v>100</v>
      </c>
      <c r="AP283" s="111">
        <v>8</v>
      </c>
    </row>
    <row r="284" spans="1:42" ht="15">
      <c r="A284" s="65" t="s">
        <v>527</v>
      </c>
      <c r="B284" s="65" t="s">
        <v>786</v>
      </c>
      <c r="C284" s="66" t="s">
        <v>4509</v>
      </c>
      <c r="D284" s="67">
        <v>3</v>
      </c>
      <c r="E284" s="68"/>
      <c r="F284" s="69">
        <v>40</v>
      </c>
      <c r="G284" s="66"/>
      <c r="H284" s="70"/>
      <c r="I284" s="71"/>
      <c r="J284" s="71"/>
      <c r="K284" s="35" t="s">
        <v>65</v>
      </c>
      <c r="L284" s="79">
        <v>284</v>
      </c>
      <c r="M284" s="79"/>
      <c r="N284" s="73"/>
      <c r="O284" s="81" t="s">
        <v>788</v>
      </c>
      <c r="P284" s="81" t="s">
        <v>325</v>
      </c>
      <c r="Q284" s="84" t="s">
        <v>1072</v>
      </c>
      <c r="R284" s="81" t="s">
        <v>527</v>
      </c>
      <c r="S284" s="81" t="s">
        <v>1595</v>
      </c>
      <c r="T284" s="86" t="str">
        <f>HYPERLINK("http://www.youtube.com/channel/UCtSBcMY3ZUZwcpFmlPk_GIw")</f>
        <v>http://www.youtube.com/channel/UCtSBcMY3ZUZwcpFmlPk_GIw</v>
      </c>
      <c r="U284" s="81"/>
      <c r="V284" s="81" t="s">
        <v>1885</v>
      </c>
      <c r="W284" s="86" t="str">
        <f>HYPERLINK("https://www.youtube.com/watch?v=wadBvDPeE4E")</f>
        <v>https://www.youtube.com/watch?v=wadBvDPeE4E</v>
      </c>
      <c r="X284" s="81" t="s">
        <v>1886</v>
      </c>
      <c r="Y284" s="81">
        <v>0</v>
      </c>
      <c r="Z284" s="88">
        <v>41295.995717592596</v>
      </c>
      <c r="AA284" s="88">
        <v>41295.995717592596</v>
      </c>
      <c r="AB284" s="81"/>
      <c r="AC284" s="81"/>
      <c r="AD284" s="84" t="s">
        <v>1927</v>
      </c>
      <c r="AE284" s="82">
        <v>1</v>
      </c>
      <c r="AF284" s="83" t="str">
        <f>REPLACE(INDEX(GroupVertices[Group],MATCH(Edges[[#This Row],[Vertex 1]],GroupVertices[Vertex],0)),1,1,"")</f>
        <v>1</v>
      </c>
      <c r="AG284" s="83" t="str">
        <f>REPLACE(INDEX(GroupVertices[Group],MATCH(Edges[[#This Row],[Vertex 2]],GroupVertices[Vertex],0)),1,1,"")</f>
        <v>1</v>
      </c>
      <c r="AH284" s="111">
        <v>0</v>
      </c>
      <c r="AI284" s="112">
        <v>0</v>
      </c>
      <c r="AJ284" s="111">
        <v>0</v>
      </c>
      <c r="AK284" s="112">
        <v>0</v>
      </c>
      <c r="AL284" s="111">
        <v>0</v>
      </c>
      <c r="AM284" s="112">
        <v>0</v>
      </c>
      <c r="AN284" s="111">
        <v>7</v>
      </c>
      <c r="AO284" s="112">
        <v>100</v>
      </c>
      <c r="AP284" s="111">
        <v>7</v>
      </c>
    </row>
    <row r="285" spans="1:42" ht="15">
      <c r="A285" s="65" t="s">
        <v>528</v>
      </c>
      <c r="B285" s="65" t="s">
        <v>786</v>
      </c>
      <c r="C285" s="66" t="s">
        <v>4509</v>
      </c>
      <c r="D285" s="67">
        <v>3</v>
      </c>
      <c r="E285" s="68"/>
      <c r="F285" s="69">
        <v>40</v>
      </c>
      <c r="G285" s="66"/>
      <c r="H285" s="70"/>
      <c r="I285" s="71"/>
      <c r="J285" s="71"/>
      <c r="K285" s="35" t="s">
        <v>65</v>
      </c>
      <c r="L285" s="79">
        <v>285</v>
      </c>
      <c r="M285" s="79"/>
      <c r="N285" s="73"/>
      <c r="O285" s="81" t="s">
        <v>788</v>
      </c>
      <c r="P285" s="81" t="s">
        <v>325</v>
      </c>
      <c r="Q285" s="84" t="s">
        <v>1073</v>
      </c>
      <c r="R285" s="81" t="s">
        <v>528</v>
      </c>
      <c r="S285" s="81" t="s">
        <v>1596</v>
      </c>
      <c r="T285" s="86" t="str">
        <f>HYPERLINK("http://www.youtube.com/channel/UCF9r4V6xLdKQGgtjMUKhogw")</f>
        <v>http://www.youtube.com/channel/UCF9r4V6xLdKQGgtjMUKhogw</v>
      </c>
      <c r="U285" s="81"/>
      <c r="V285" s="81" t="s">
        <v>1885</v>
      </c>
      <c r="W285" s="86" t="str">
        <f>HYPERLINK("https://www.youtube.com/watch?v=wadBvDPeE4E")</f>
        <v>https://www.youtube.com/watch?v=wadBvDPeE4E</v>
      </c>
      <c r="X285" s="81" t="s">
        <v>1886</v>
      </c>
      <c r="Y285" s="81">
        <v>0</v>
      </c>
      <c r="Z285" s="88">
        <v>41304.58190972222</v>
      </c>
      <c r="AA285" s="88">
        <v>41304.58190972222</v>
      </c>
      <c r="AB285" s="81"/>
      <c r="AC285" s="81"/>
      <c r="AD285" s="84" t="s">
        <v>1927</v>
      </c>
      <c r="AE285" s="82">
        <v>1</v>
      </c>
      <c r="AF285" s="83" t="str">
        <f>REPLACE(INDEX(GroupVertices[Group],MATCH(Edges[[#This Row],[Vertex 1]],GroupVertices[Vertex],0)),1,1,"")</f>
        <v>1</v>
      </c>
      <c r="AG285" s="83" t="str">
        <f>REPLACE(INDEX(GroupVertices[Group],MATCH(Edges[[#This Row],[Vertex 2]],GroupVertices[Vertex],0)),1,1,"")</f>
        <v>1</v>
      </c>
      <c r="AH285" s="111">
        <v>0</v>
      </c>
      <c r="AI285" s="112">
        <v>0</v>
      </c>
      <c r="AJ285" s="111">
        <v>0</v>
      </c>
      <c r="AK285" s="112">
        <v>0</v>
      </c>
      <c r="AL285" s="111">
        <v>0</v>
      </c>
      <c r="AM285" s="112">
        <v>0</v>
      </c>
      <c r="AN285" s="111">
        <v>7</v>
      </c>
      <c r="AO285" s="112">
        <v>100</v>
      </c>
      <c r="AP285" s="111">
        <v>7</v>
      </c>
    </row>
    <row r="286" spans="1:42" ht="15">
      <c r="A286" s="65" t="s">
        <v>529</v>
      </c>
      <c r="B286" s="65" t="s">
        <v>786</v>
      </c>
      <c r="C286" s="66" t="s">
        <v>4509</v>
      </c>
      <c r="D286" s="67">
        <v>3</v>
      </c>
      <c r="E286" s="68"/>
      <c r="F286" s="69">
        <v>40</v>
      </c>
      <c r="G286" s="66"/>
      <c r="H286" s="70"/>
      <c r="I286" s="71"/>
      <c r="J286" s="71"/>
      <c r="K286" s="35" t="s">
        <v>65</v>
      </c>
      <c r="L286" s="79">
        <v>286</v>
      </c>
      <c r="M286" s="79"/>
      <c r="N286" s="73"/>
      <c r="O286" s="81" t="s">
        <v>788</v>
      </c>
      <c r="P286" s="81" t="s">
        <v>325</v>
      </c>
      <c r="Q286" s="84" t="s">
        <v>1074</v>
      </c>
      <c r="R286" s="81" t="s">
        <v>529</v>
      </c>
      <c r="S286" s="81" t="s">
        <v>1597</v>
      </c>
      <c r="T286" s="86" t="str">
        <f>HYPERLINK("http://www.youtube.com/channel/UCizDAN8bkpXDwL_y0o7RcZw")</f>
        <v>http://www.youtube.com/channel/UCizDAN8bkpXDwL_y0o7RcZw</v>
      </c>
      <c r="U286" s="81"/>
      <c r="V286" s="81" t="s">
        <v>1885</v>
      </c>
      <c r="W286" s="86" t="str">
        <f>HYPERLINK("https://www.youtube.com/watch?v=wadBvDPeE4E")</f>
        <v>https://www.youtube.com/watch?v=wadBvDPeE4E</v>
      </c>
      <c r="X286" s="81" t="s">
        <v>1886</v>
      </c>
      <c r="Y286" s="81">
        <v>0</v>
      </c>
      <c r="Z286" s="88">
        <v>41311.84644675926</v>
      </c>
      <c r="AA286" s="88">
        <v>41311.84644675926</v>
      </c>
      <c r="AB286" s="81"/>
      <c r="AC286" s="81"/>
      <c r="AD286" s="84" t="s">
        <v>1927</v>
      </c>
      <c r="AE286" s="82">
        <v>1</v>
      </c>
      <c r="AF286" s="83" t="str">
        <f>REPLACE(INDEX(GroupVertices[Group],MATCH(Edges[[#This Row],[Vertex 1]],GroupVertices[Vertex],0)),1,1,"")</f>
        <v>1</v>
      </c>
      <c r="AG286" s="83" t="str">
        <f>REPLACE(INDEX(GroupVertices[Group],MATCH(Edges[[#This Row],[Vertex 2]],GroupVertices[Vertex],0)),1,1,"")</f>
        <v>1</v>
      </c>
      <c r="AH286" s="111">
        <v>0</v>
      </c>
      <c r="AI286" s="112">
        <v>0</v>
      </c>
      <c r="AJ286" s="111">
        <v>0</v>
      </c>
      <c r="AK286" s="112">
        <v>0</v>
      </c>
      <c r="AL286" s="111">
        <v>0</v>
      </c>
      <c r="AM286" s="112">
        <v>0</v>
      </c>
      <c r="AN286" s="111">
        <v>10</v>
      </c>
      <c r="AO286" s="112">
        <v>100</v>
      </c>
      <c r="AP286" s="111">
        <v>10</v>
      </c>
    </row>
    <row r="287" spans="1:42" ht="15">
      <c r="A287" s="65" t="s">
        <v>530</v>
      </c>
      <c r="B287" s="65" t="s">
        <v>786</v>
      </c>
      <c r="C287" s="66" t="s">
        <v>4509</v>
      </c>
      <c r="D287" s="67">
        <v>3</v>
      </c>
      <c r="E287" s="68"/>
      <c r="F287" s="69">
        <v>40</v>
      </c>
      <c r="G287" s="66"/>
      <c r="H287" s="70"/>
      <c r="I287" s="71"/>
      <c r="J287" s="71"/>
      <c r="K287" s="35" t="s">
        <v>65</v>
      </c>
      <c r="L287" s="79">
        <v>287</v>
      </c>
      <c r="M287" s="79"/>
      <c r="N287" s="73"/>
      <c r="O287" s="81" t="s">
        <v>788</v>
      </c>
      <c r="P287" s="81" t="s">
        <v>325</v>
      </c>
      <c r="Q287" s="84" t="s">
        <v>1075</v>
      </c>
      <c r="R287" s="81" t="s">
        <v>530</v>
      </c>
      <c r="S287" s="81" t="s">
        <v>1598</v>
      </c>
      <c r="T287" s="86" t="str">
        <f>HYPERLINK("http://www.youtube.com/channel/UCP4dHmT-490ehwR4G-Nn5Zg")</f>
        <v>http://www.youtube.com/channel/UCP4dHmT-490ehwR4G-Nn5Zg</v>
      </c>
      <c r="U287" s="81"/>
      <c r="V287" s="81" t="s">
        <v>1885</v>
      </c>
      <c r="W287" s="86" t="str">
        <f>HYPERLINK("https://www.youtube.com/watch?v=wadBvDPeE4E")</f>
        <v>https://www.youtube.com/watch?v=wadBvDPeE4E</v>
      </c>
      <c r="X287" s="81" t="s">
        <v>1886</v>
      </c>
      <c r="Y287" s="81">
        <v>0</v>
      </c>
      <c r="Z287" s="88">
        <v>41312.73599537037</v>
      </c>
      <c r="AA287" s="88">
        <v>41312.73599537037</v>
      </c>
      <c r="AB287" s="81"/>
      <c r="AC287" s="81"/>
      <c r="AD287" s="84" t="s">
        <v>1927</v>
      </c>
      <c r="AE287" s="82">
        <v>1</v>
      </c>
      <c r="AF287" s="83" t="str">
        <f>REPLACE(INDEX(GroupVertices[Group],MATCH(Edges[[#This Row],[Vertex 1]],GroupVertices[Vertex],0)),1,1,"")</f>
        <v>1</v>
      </c>
      <c r="AG287" s="83" t="str">
        <f>REPLACE(INDEX(GroupVertices[Group],MATCH(Edges[[#This Row],[Vertex 2]],GroupVertices[Vertex],0)),1,1,"")</f>
        <v>1</v>
      </c>
      <c r="AH287" s="111">
        <v>1</v>
      </c>
      <c r="AI287" s="112">
        <v>12.5</v>
      </c>
      <c r="AJ287" s="111">
        <v>0</v>
      </c>
      <c r="AK287" s="112">
        <v>0</v>
      </c>
      <c r="AL287" s="111">
        <v>0</v>
      </c>
      <c r="AM287" s="112">
        <v>0</v>
      </c>
      <c r="AN287" s="111">
        <v>7</v>
      </c>
      <c r="AO287" s="112">
        <v>87.5</v>
      </c>
      <c r="AP287" s="111">
        <v>8</v>
      </c>
    </row>
    <row r="288" spans="1:42" ht="15">
      <c r="A288" s="65" t="s">
        <v>531</v>
      </c>
      <c r="B288" s="65" t="s">
        <v>786</v>
      </c>
      <c r="C288" s="66" t="s">
        <v>4510</v>
      </c>
      <c r="D288" s="67">
        <v>5.333333333333334</v>
      </c>
      <c r="E288" s="68"/>
      <c r="F288" s="69">
        <v>31.666666666666664</v>
      </c>
      <c r="G288" s="66"/>
      <c r="H288" s="70"/>
      <c r="I288" s="71"/>
      <c r="J288" s="71"/>
      <c r="K288" s="35" t="s">
        <v>65</v>
      </c>
      <c r="L288" s="79">
        <v>288</v>
      </c>
      <c r="M288" s="79"/>
      <c r="N288" s="73"/>
      <c r="O288" s="81" t="s">
        <v>788</v>
      </c>
      <c r="P288" s="81" t="s">
        <v>325</v>
      </c>
      <c r="Q288" s="84" t="s">
        <v>1076</v>
      </c>
      <c r="R288" s="81" t="s">
        <v>531</v>
      </c>
      <c r="S288" s="81" t="s">
        <v>1599</v>
      </c>
      <c r="T288" s="86" t="str">
        <f>HYPERLINK("http://www.youtube.com/channel/UCw6WMyzjKRt2Tz3dj3vlLBg")</f>
        <v>http://www.youtube.com/channel/UCw6WMyzjKRt2Tz3dj3vlLBg</v>
      </c>
      <c r="U288" s="81"/>
      <c r="V288" s="81" t="s">
        <v>1885</v>
      </c>
      <c r="W288" s="86" t="str">
        <f>HYPERLINK("https://www.youtube.com/watch?v=wadBvDPeE4E")</f>
        <v>https://www.youtube.com/watch?v=wadBvDPeE4E</v>
      </c>
      <c r="X288" s="81" t="s">
        <v>1886</v>
      </c>
      <c r="Y288" s="81">
        <v>0</v>
      </c>
      <c r="Z288" s="88">
        <v>41313.0268287037</v>
      </c>
      <c r="AA288" s="88">
        <v>41313.0268287037</v>
      </c>
      <c r="AB288" s="81"/>
      <c r="AC288" s="81"/>
      <c r="AD288" s="84" t="s">
        <v>1927</v>
      </c>
      <c r="AE288" s="82">
        <v>2</v>
      </c>
      <c r="AF288" s="83" t="str">
        <f>REPLACE(INDEX(GroupVertices[Group],MATCH(Edges[[#This Row],[Vertex 1]],GroupVertices[Vertex],0)),1,1,"")</f>
        <v>1</v>
      </c>
      <c r="AG288" s="83" t="str">
        <f>REPLACE(INDEX(GroupVertices[Group],MATCH(Edges[[#This Row],[Vertex 2]],GroupVertices[Vertex],0)),1,1,"")</f>
        <v>1</v>
      </c>
      <c r="AH288" s="111">
        <v>0</v>
      </c>
      <c r="AI288" s="112">
        <v>0</v>
      </c>
      <c r="AJ288" s="111">
        <v>1</v>
      </c>
      <c r="AK288" s="112">
        <v>14.285714285714286</v>
      </c>
      <c r="AL288" s="111">
        <v>0</v>
      </c>
      <c r="AM288" s="112">
        <v>0</v>
      </c>
      <c r="AN288" s="111">
        <v>6</v>
      </c>
      <c r="AO288" s="112">
        <v>85.71428571428571</v>
      </c>
      <c r="AP288" s="111">
        <v>7</v>
      </c>
    </row>
    <row r="289" spans="1:42" ht="15">
      <c r="A289" s="65" t="s">
        <v>531</v>
      </c>
      <c r="B289" s="65" t="s">
        <v>786</v>
      </c>
      <c r="C289" s="66" t="s">
        <v>4510</v>
      </c>
      <c r="D289" s="67">
        <v>5.333333333333334</v>
      </c>
      <c r="E289" s="68"/>
      <c r="F289" s="69">
        <v>31.666666666666664</v>
      </c>
      <c r="G289" s="66"/>
      <c r="H289" s="70"/>
      <c r="I289" s="71"/>
      <c r="J289" s="71"/>
      <c r="K289" s="35" t="s">
        <v>65</v>
      </c>
      <c r="L289" s="79">
        <v>289</v>
      </c>
      <c r="M289" s="79"/>
      <c r="N289" s="73"/>
      <c r="O289" s="81" t="s">
        <v>788</v>
      </c>
      <c r="P289" s="81" t="s">
        <v>325</v>
      </c>
      <c r="Q289" s="84" t="s">
        <v>1077</v>
      </c>
      <c r="R289" s="81" t="s">
        <v>531</v>
      </c>
      <c r="S289" s="81" t="s">
        <v>1599</v>
      </c>
      <c r="T289" s="86" t="str">
        <f>HYPERLINK("http://www.youtube.com/channel/UCw6WMyzjKRt2Tz3dj3vlLBg")</f>
        <v>http://www.youtube.com/channel/UCw6WMyzjKRt2Tz3dj3vlLBg</v>
      </c>
      <c r="U289" s="81"/>
      <c r="V289" s="81" t="s">
        <v>1885</v>
      </c>
      <c r="W289" s="86" t="str">
        <f>HYPERLINK("https://www.youtube.com/watch?v=wadBvDPeE4E")</f>
        <v>https://www.youtube.com/watch?v=wadBvDPeE4E</v>
      </c>
      <c r="X289" s="81" t="s">
        <v>1886</v>
      </c>
      <c r="Y289" s="81">
        <v>0</v>
      </c>
      <c r="Z289" s="88">
        <v>41313.027453703704</v>
      </c>
      <c r="AA289" s="88">
        <v>41313.027453703704</v>
      </c>
      <c r="AB289" s="81"/>
      <c r="AC289" s="81"/>
      <c r="AD289" s="84" t="s">
        <v>1927</v>
      </c>
      <c r="AE289" s="82">
        <v>2</v>
      </c>
      <c r="AF289" s="83" t="str">
        <f>REPLACE(INDEX(GroupVertices[Group],MATCH(Edges[[#This Row],[Vertex 1]],GroupVertices[Vertex],0)),1,1,"")</f>
        <v>1</v>
      </c>
      <c r="AG289" s="83" t="str">
        <f>REPLACE(INDEX(GroupVertices[Group],MATCH(Edges[[#This Row],[Vertex 2]],GroupVertices[Vertex],0)),1,1,"")</f>
        <v>1</v>
      </c>
      <c r="AH289" s="111">
        <v>0</v>
      </c>
      <c r="AI289" s="112">
        <v>0</v>
      </c>
      <c r="AJ289" s="111">
        <v>0</v>
      </c>
      <c r="AK289" s="112">
        <v>0</v>
      </c>
      <c r="AL289" s="111">
        <v>0</v>
      </c>
      <c r="AM289" s="112">
        <v>0</v>
      </c>
      <c r="AN289" s="111">
        <v>5</v>
      </c>
      <c r="AO289" s="112">
        <v>100</v>
      </c>
      <c r="AP289" s="111">
        <v>5</v>
      </c>
    </row>
    <row r="290" spans="1:42" ht="15">
      <c r="A290" s="65" t="s">
        <v>532</v>
      </c>
      <c r="B290" s="65" t="s">
        <v>786</v>
      </c>
      <c r="C290" s="66" t="s">
        <v>4509</v>
      </c>
      <c r="D290" s="67">
        <v>3</v>
      </c>
      <c r="E290" s="68"/>
      <c r="F290" s="69">
        <v>40</v>
      </c>
      <c r="G290" s="66"/>
      <c r="H290" s="70"/>
      <c r="I290" s="71"/>
      <c r="J290" s="71"/>
      <c r="K290" s="35" t="s">
        <v>65</v>
      </c>
      <c r="L290" s="79">
        <v>290</v>
      </c>
      <c r="M290" s="79"/>
      <c r="N290" s="73"/>
      <c r="O290" s="81" t="s">
        <v>788</v>
      </c>
      <c r="P290" s="81" t="s">
        <v>325</v>
      </c>
      <c r="Q290" s="84" t="s">
        <v>1078</v>
      </c>
      <c r="R290" s="81" t="s">
        <v>532</v>
      </c>
      <c r="S290" s="81" t="s">
        <v>1600</v>
      </c>
      <c r="T290" s="86" t="str">
        <f>HYPERLINK("http://www.youtube.com/channel/UCBj7pc-hhI678-ePMB94VUQ")</f>
        <v>http://www.youtube.com/channel/UCBj7pc-hhI678-ePMB94VUQ</v>
      </c>
      <c r="U290" s="81"/>
      <c r="V290" s="81" t="s">
        <v>1885</v>
      </c>
      <c r="W290" s="86" t="str">
        <f>HYPERLINK("https://www.youtube.com/watch?v=wadBvDPeE4E")</f>
        <v>https://www.youtube.com/watch?v=wadBvDPeE4E</v>
      </c>
      <c r="X290" s="81" t="s">
        <v>1886</v>
      </c>
      <c r="Y290" s="81">
        <v>0</v>
      </c>
      <c r="Z290" s="88">
        <v>41320.16982638889</v>
      </c>
      <c r="AA290" s="88">
        <v>41320.16982638889</v>
      </c>
      <c r="AB290" s="81"/>
      <c r="AC290" s="81"/>
      <c r="AD290" s="84" t="s">
        <v>1927</v>
      </c>
      <c r="AE290" s="82">
        <v>1</v>
      </c>
      <c r="AF290" s="83" t="str">
        <f>REPLACE(INDEX(GroupVertices[Group],MATCH(Edges[[#This Row],[Vertex 1]],GroupVertices[Vertex],0)),1,1,"")</f>
        <v>1</v>
      </c>
      <c r="AG290" s="83" t="str">
        <f>REPLACE(INDEX(GroupVertices[Group],MATCH(Edges[[#This Row],[Vertex 2]],GroupVertices[Vertex],0)),1,1,"")</f>
        <v>1</v>
      </c>
      <c r="AH290" s="111">
        <v>1</v>
      </c>
      <c r="AI290" s="112">
        <v>4.3478260869565215</v>
      </c>
      <c r="AJ290" s="111">
        <v>0</v>
      </c>
      <c r="AK290" s="112">
        <v>0</v>
      </c>
      <c r="AL290" s="111">
        <v>0</v>
      </c>
      <c r="AM290" s="112">
        <v>0</v>
      </c>
      <c r="AN290" s="111">
        <v>22</v>
      </c>
      <c r="AO290" s="112">
        <v>95.65217391304348</v>
      </c>
      <c r="AP290" s="111">
        <v>23</v>
      </c>
    </row>
    <row r="291" spans="1:42" ht="15">
      <c r="A291" s="65" t="s">
        <v>533</v>
      </c>
      <c r="B291" s="65" t="s">
        <v>786</v>
      </c>
      <c r="C291" s="66" t="s">
        <v>4509</v>
      </c>
      <c r="D291" s="67">
        <v>3</v>
      </c>
      <c r="E291" s="68"/>
      <c r="F291" s="69">
        <v>40</v>
      </c>
      <c r="G291" s="66"/>
      <c r="H291" s="70"/>
      <c r="I291" s="71"/>
      <c r="J291" s="71"/>
      <c r="K291" s="35" t="s">
        <v>65</v>
      </c>
      <c r="L291" s="79">
        <v>291</v>
      </c>
      <c r="M291" s="79"/>
      <c r="N291" s="73"/>
      <c r="O291" s="81" t="s">
        <v>788</v>
      </c>
      <c r="P291" s="81" t="s">
        <v>325</v>
      </c>
      <c r="Q291" s="84" t="s">
        <v>1079</v>
      </c>
      <c r="R291" s="81" t="s">
        <v>533</v>
      </c>
      <c r="S291" s="81" t="s">
        <v>1601</v>
      </c>
      <c r="T291" s="86" t="str">
        <f>HYPERLINK("http://www.youtube.com/channel/UCqSHqr7cQ-fYKNTd-gF9FPQ")</f>
        <v>http://www.youtube.com/channel/UCqSHqr7cQ-fYKNTd-gF9FPQ</v>
      </c>
      <c r="U291" s="81"/>
      <c r="V291" s="81" t="s">
        <v>1885</v>
      </c>
      <c r="W291" s="86" t="str">
        <f>HYPERLINK("https://www.youtube.com/watch?v=wadBvDPeE4E")</f>
        <v>https://www.youtube.com/watch?v=wadBvDPeE4E</v>
      </c>
      <c r="X291" s="81" t="s">
        <v>1886</v>
      </c>
      <c r="Y291" s="81">
        <v>0</v>
      </c>
      <c r="Z291" s="88">
        <v>41343.99612268519</v>
      </c>
      <c r="AA291" s="88">
        <v>41343.99612268519</v>
      </c>
      <c r="AB291" s="81"/>
      <c r="AC291" s="81"/>
      <c r="AD291" s="84" t="s">
        <v>1927</v>
      </c>
      <c r="AE291" s="82">
        <v>1</v>
      </c>
      <c r="AF291" s="83" t="str">
        <f>REPLACE(INDEX(GroupVertices[Group],MATCH(Edges[[#This Row],[Vertex 1]],GroupVertices[Vertex],0)),1,1,"")</f>
        <v>1</v>
      </c>
      <c r="AG291" s="83" t="str">
        <f>REPLACE(INDEX(GroupVertices[Group],MATCH(Edges[[#This Row],[Vertex 2]],GroupVertices[Vertex],0)),1,1,"")</f>
        <v>1</v>
      </c>
      <c r="AH291" s="111">
        <v>0</v>
      </c>
      <c r="AI291" s="112">
        <v>0</v>
      </c>
      <c r="AJ291" s="111">
        <v>0</v>
      </c>
      <c r="AK291" s="112">
        <v>0</v>
      </c>
      <c r="AL291" s="111">
        <v>0</v>
      </c>
      <c r="AM291" s="112">
        <v>0</v>
      </c>
      <c r="AN291" s="111">
        <v>5</v>
      </c>
      <c r="AO291" s="112">
        <v>100</v>
      </c>
      <c r="AP291" s="111">
        <v>5</v>
      </c>
    </row>
    <row r="292" spans="1:42" ht="15">
      <c r="A292" s="65" t="s">
        <v>534</v>
      </c>
      <c r="B292" s="65" t="s">
        <v>786</v>
      </c>
      <c r="C292" s="66" t="s">
        <v>4511</v>
      </c>
      <c r="D292" s="67">
        <v>7.666666666666667</v>
      </c>
      <c r="E292" s="68"/>
      <c r="F292" s="69">
        <v>23.333333333333332</v>
      </c>
      <c r="G292" s="66"/>
      <c r="H292" s="70"/>
      <c r="I292" s="71"/>
      <c r="J292" s="71"/>
      <c r="K292" s="35" t="s">
        <v>65</v>
      </c>
      <c r="L292" s="79">
        <v>292</v>
      </c>
      <c r="M292" s="79"/>
      <c r="N292" s="73"/>
      <c r="O292" s="81" t="s">
        <v>788</v>
      </c>
      <c r="P292" s="81" t="s">
        <v>325</v>
      </c>
      <c r="Q292" s="84" t="s">
        <v>1080</v>
      </c>
      <c r="R292" s="81" t="s">
        <v>534</v>
      </c>
      <c r="S292" s="81" t="s">
        <v>1602</v>
      </c>
      <c r="T292" s="86" t="str">
        <f>HYPERLINK("http://www.youtube.com/channel/UC4Dsff1alNmMxnfpnA_vYoQ")</f>
        <v>http://www.youtube.com/channel/UC4Dsff1alNmMxnfpnA_vYoQ</v>
      </c>
      <c r="U292" s="81"/>
      <c r="V292" s="81" t="s">
        <v>1885</v>
      </c>
      <c r="W292" s="86" t="str">
        <f>HYPERLINK("https://www.youtube.com/watch?v=wadBvDPeE4E")</f>
        <v>https://www.youtube.com/watch?v=wadBvDPeE4E</v>
      </c>
      <c r="X292" s="81" t="s">
        <v>1886</v>
      </c>
      <c r="Y292" s="81">
        <v>0</v>
      </c>
      <c r="Z292" s="88">
        <v>41307.52324074074</v>
      </c>
      <c r="AA292" s="88">
        <v>41307.52324074074</v>
      </c>
      <c r="AB292" s="81"/>
      <c r="AC292" s="81"/>
      <c r="AD292" s="84" t="s">
        <v>1927</v>
      </c>
      <c r="AE292" s="82">
        <v>3</v>
      </c>
      <c r="AF292" s="83" t="str">
        <f>REPLACE(INDEX(GroupVertices[Group],MATCH(Edges[[#This Row],[Vertex 1]],GroupVertices[Vertex],0)),1,1,"")</f>
        <v>1</v>
      </c>
      <c r="AG292" s="83" t="str">
        <f>REPLACE(INDEX(GroupVertices[Group],MATCH(Edges[[#This Row],[Vertex 2]],GroupVertices[Vertex],0)),1,1,"")</f>
        <v>1</v>
      </c>
      <c r="AH292" s="111">
        <v>0</v>
      </c>
      <c r="AI292" s="112">
        <v>0</v>
      </c>
      <c r="AJ292" s="111">
        <v>0</v>
      </c>
      <c r="AK292" s="112">
        <v>0</v>
      </c>
      <c r="AL292" s="111">
        <v>0</v>
      </c>
      <c r="AM292" s="112">
        <v>0</v>
      </c>
      <c r="AN292" s="111">
        <v>7</v>
      </c>
      <c r="AO292" s="112">
        <v>100</v>
      </c>
      <c r="AP292" s="111">
        <v>7</v>
      </c>
    </row>
    <row r="293" spans="1:42" ht="15">
      <c r="A293" s="65" t="s">
        <v>534</v>
      </c>
      <c r="B293" s="65" t="s">
        <v>786</v>
      </c>
      <c r="C293" s="66" t="s">
        <v>4511</v>
      </c>
      <c r="D293" s="67">
        <v>7.666666666666667</v>
      </c>
      <c r="E293" s="68"/>
      <c r="F293" s="69">
        <v>23.333333333333332</v>
      </c>
      <c r="G293" s="66"/>
      <c r="H293" s="70"/>
      <c r="I293" s="71"/>
      <c r="J293" s="71"/>
      <c r="K293" s="35" t="s">
        <v>65</v>
      </c>
      <c r="L293" s="79">
        <v>293</v>
      </c>
      <c r="M293" s="79"/>
      <c r="N293" s="73"/>
      <c r="O293" s="81" t="s">
        <v>788</v>
      </c>
      <c r="P293" s="81" t="s">
        <v>325</v>
      </c>
      <c r="Q293" s="84" t="s">
        <v>1081</v>
      </c>
      <c r="R293" s="81" t="s">
        <v>534</v>
      </c>
      <c r="S293" s="81" t="s">
        <v>1602</v>
      </c>
      <c r="T293" s="86" t="str">
        <f>HYPERLINK("http://www.youtube.com/channel/UC4Dsff1alNmMxnfpnA_vYoQ")</f>
        <v>http://www.youtube.com/channel/UC4Dsff1alNmMxnfpnA_vYoQ</v>
      </c>
      <c r="U293" s="81"/>
      <c r="V293" s="81" t="s">
        <v>1885</v>
      </c>
      <c r="W293" s="86" t="str">
        <f>HYPERLINK("https://www.youtube.com/watch?v=wadBvDPeE4E")</f>
        <v>https://www.youtube.com/watch?v=wadBvDPeE4E</v>
      </c>
      <c r="X293" s="81" t="s">
        <v>1886</v>
      </c>
      <c r="Y293" s="81">
        <v>0</v>
      </c>
      <c r="Z293" s="88">
        <v>41347.01342592593</v>
      </c>
      <c r="AA293" s="88">
        <v>41347.01342592593</v>
      </c>
      <c r="AB293" s="81"/>
      <c r="AC293" s="81"/>
      <c r="AD293" s="84" t="s">
        <v>1927</v>
      </c>
      <c r="AE293" s="82">
        <v>3</v>
      </c>
      <c r="AF293" s="83" t="str">
        <f>REPLACE(INDEX(GroupVertices[Group],MATCH(Edges[[#This Row],[Vertex 1]],GroupVertices[Vertex],0)),1,1,"")</f>
        <v>1</v>
      </c>
      <c r="AG293" s="83" t="str">
        <f>REPLACE(INDEX(GroupVertices[Group],MATCH(Edges[[#This Row],[Vertex 2]],GroupVertices[Vertex],0)),1,1,"")</f>
        <v>1</v>
      </c>
      <c r="AH293" s="111">
        <v>1</v>
      </c>
      <c r="AI293" s="112">
        <v>14.285714285714286</v>
      </c>
      <c r="AJ293" s="111">
        <v>0</v>
      </c>
      <c r="AK293" s="112">
        <v>0</v>
      </c>
      <c r="AL293" s="111">
        <v>0</v>
      </c>
      <c r="AM293" s="112">
        <v>0</v>
      </c>
      <c r="AN293" s="111">
        <v>6</v>
      </c>
      <c r="AO293" s="112">
        <v>85.71428571428571</v>
      </c>
      <c r="AP293" s="111">
        <v>7</v>
      </c>
    </row>
    <row r="294" spans="1:42" ht="15">
      <c r="A294" s="65" t="s">
        <v>534</v>
      </c>
      <c r="B294" s="65" t="s">
        <v>786</v>
      </c>
      <c r="C294" s="66" t="s">
        <v>4511</v>
      </c>
      <c r="D294" s="67">
        <v>7.666666666666667</v>
      </c>
      <c r="E294" s="68"/>
      <c r="F294" s="69">
        <v>23.333333333333332</v>
      </c>
      <c r="G294" s="66"/>
      <c r="H294" s="70"/>
      <c r="I294" s="71"/>
      <c r="J294" s="71"/>
      <c r="K294" s="35" t="s">
        <v>65</v>
      </c>
      <c r="L294" s="79">
        <v>294</v>
      </c>
      <c r="M294" s="79"/>
      <c r="N294" s="73"/>
      <c r="O294" s="81" t="s">
        <v>788</v>
      </c>
      <c r="P294" s="81" t="s">
        <v>325</v>
      </c>
      <c r="Q294" s="84" t="s">
        <v>1082</v>
      </c>
      <c r="R294" s="81" t="s">
        <v>534</v>
      </c>
      <c r="S294" s="81" t="s">
        <v>1602</v>
      </c>
      <c r="T294" s="86" t="str">
        <f>HYPERLINK("http://www.youtube.com/channel/UC4Dsff1alNmMxnfpnA_vYoQ")</f>
        <v>http://www.youtube.com/channel/UC4Dsff1alNmMxnfpnA_vYoQ</v>
      </c>
      <c r="U294" s="81"/>
      <c r="V294" s="81" t="s">
        <v>1885</v>
      </c>
      <c r="W294" s="86" t="str">
        <f>HYPERLINK("https://www.youtube.com/watch?v=wadBvDPeE4E")</f>
        <v>https://www.youtube.com/watch?v=wadBvDPeE4E</v>
      </c>
      <c r="X294" s="81" t="s">
        <v>1886</v>
      </c>
      <c r="Y294" s="81">
        <v>0</v>
      </c>
      <c r="Z294" s="88">
        <v>41347.24978009259</v>
      </c>
      <c r="AA294" s="88">
        <v>41347.24978009259</v>
      </c>
      <c r="AB294" s="81"/>
      <c r="AC294" s="81"/>
      <c r="AD294" s="84" t="s">
        <v>1927</v>
      </c>
      <c r="AE294" s="82">
        <v>3</v>
      </c>
      <c r="AF294" s="83" t="str">
        <f>REPLACE(INDEX(GroupVertices[Group],MATCH(Edges[[#This Row],[Vertex 1]],GroupVertices[Vertex],0)),1,1,"")</f>
        <v>1</v>
      </c>
      <c r="AG294" s="83" t="str">
        <f>REPLACE(INDEX(GroupVertices[Group],MATCH(Edges[[#This Row],[Vertex 2]],GroupVertices[Vertex],0)),1,1,"")</f>
        <v>1</v>
      </c>
      <c r="AH294" s="111">
        <v>1</v>
      </c>
      <c r="AI294" s="112">
        <v>5.2631578947368425</v>
      </c>
      <c r="AJ294" s="111">
        <v>1</v>
      </c>
      <c r="AK294" s="112">
        <v>5.2631578947368425</v>
      </c>
      <c r="AL294" s="111">
        <v>0</v>
      </c>
      <c r="AM294" s="112">
        <v>0</v>
      </c>
      <c r="AN294" s="111">
        <v>17</v>
      </c>
      <c r="AO294" s="112">
        <v>89.47368421052632</v>
      </c>
      <c r="AP294" s="111">
        <v>19</v>
      </c>
    </row>
    <row r="295" spans="1:42" ht="15">
      <c r="A295" s="65" t="s">
        <v>535</v>
      </c>
      <c r="B295" s="65" t="s">
        <v>786</v>
      </c>
      <c r="C295" s="66" t="s">
        <v>4511</v>
      </c>
      <c r="D295" s="67">
        <v>7.666666666666667</v>
      </c>
      <c r="E295" s="68"/>
      <c r="F295" s="69">
        <v>23.333333333333332</v>
      </c>
      <c r="G295" s="66"/>
      <c r="H295" s="70"/>
      <c r="I295" s="71"/>
      <c r="J295" s="71"/>
      <c r="K295" s="35" t="s">
        <v>65</v>
      </c>
      <c r="L295" s="79">
        <v>295</v>
      </c>
      <c r="M295" s="79"/>
      <c r="N295" s="73"/>
      <c r="O295" s="81" t="s">
        <v>788</v>
      </c>
      <c r="P295" s="81" t="s">
        <v>325</v>
      </c>
      <c r="Q295" s="84" t="s">
        <v>1083</v>
      </c>
      <c r="R295" s="81" t="s">
        <v>535</v>
      </c>
      <c r="S295" s="81" t="s">
        <v>1603</v>
      </c>
      <c r="T295" s="86" t="str">
        <f>HYPERLINK("http://www.youtube.com/channel/UCEIXj2JRNSNs781Kx7Jg-Wg")</f>
        <v>http://www.youtube.com/channel/UCEIXj2JRNSNs781Kx7Jg-Wg</v>
      </c>
      <c r="U295" s="81"/>
      <c r="V295" s="81" t="s">
        <v>1885</v>
      </c>
      <c r="W295" s="86" t="str">
        <f>HYPERLINK("https://www.youtube.com/watch?v=wadBvDPeE4E")</f>
        <v>https://www.youtube.com/watch?v=wadBvDPeE4E</v>
      </c>
      <c r="X295" s="81" t="s">
        <v>1886</v>
      </c>
      <c r="Y295" s="81">
        <v>0</v>
      </c>
      <c r="Z295" s="88">
        <v>41304.842002314814</v>
      </c>
      <c r="AA295" s="88">
        <v>41304.842002314814</v>
      </c>
      <c r="AB295" s="81"/>
      <c r="AC295" s="81"/>
      <c r="AD295" s="84" t="s">
        <v>1927</v>
      </c>
      <c r="AE295" s="82">
        <v>3</v>
      </c>
      <c r="AF295" s="83" t="str">
        <f>REPLACE(INDEX(GroupVertices[Group],MATCH(Edges[[#This Row],[Vertex 1]],GroupVertices[Vertex],0)),1,1,"")</f>
        <v>1</v>
      </c>
      <c r="AG295" s="83" t="str">
        <f>REPLACE(INDEX(GroupVertices[Group],MATCH(Edges[[#This Row],[Vertex 2]],GroupVertices[Vertex],0)),1,1,"")</f>
        <v>1</v>
      </c>
      <c r="AH295" s="111">
        <v>2</v>
      </c>
      <c r="AI295" s="112">
        <v>5.405405405405405</v>
      </c>
      <c r="AJ295" s="111">
        <v>2</v>
      </c>
      <c r="AK295" s="112">
        <v>5.405405405405405</v>
      </c>
      <c r="AL295" s="111">
        <v>0</v>
      </c>
      <c r="AM295" s="112">
        <v>0</v>
      </c>
      <c r="AN295" s="111">
        <v>33</v>
      </c>
      <c r="AO295" s="112">
        <v>89.1891891891892</v>
      </c>
      <c r="AP295" s="111">
        <v>37</v>
      </c>
    </row>
    <row r="296" spans="1:42" ht="15">
      <c r="A296" s="65" t="s">
        <v>535</v>
      </c>
      <c r="B296" s="65" t="s">
        <v>786</v>
      </c>
      <c r="C296" s="66" t="s">
        <v>4511</v>
      </c>
      <c r="D296" s="67">
        <v>7.666666666666667</v>
      </c>
      <c r="E296" s="68"/>
      <c r="F296" s="69">
        <v>23.333333333333332</v>
      </c>
      <c r="G296" s="66"/>
      <c r="H296" s="70"/>
      <c r="I296" s="71"/>
      <c r="J296" s="71"/>
      <c r="K296" s="35" t="s">
        <v>65</v>
      </c>
      <c r="L296" s="79">
        <v>296</v>
      </c>
      <c r="M296" s="79"/>
      <c r="N296" s="73"/>
      <c r="O296" s="81" t="s">
        <v>788</v>
      </c>
      <c r="P296" s="81" t="s">
        <v>325</v>
      </c>
      <c r="Q296" s="84" t="s">
        <v>1084</v>
      </c>
      <c r="R296" s="81" t="s">
        <v>535</v>
      </c>
      <c r="S296" s="81" t="s">
        <v>1603</v>
      </c>
      <c r="T296" s="86" t="str">
        <f>HYPERLINK("http://www.youtube.com/channel/UCEIXj2JRNSNs781Kx7Jg-Wg")</f>
        <v>http://www.youtube.com/channel/UCEIXj2JRNSNs781Kx7Jg-Wg</v>
      </c>
      <c r="U296" s="81"/>
      <c r="V296" s="81" t="s">
        <v>1885</v>
      </c>
      <c r="W296" s="86" t="str">
        <f>HYPERLINK("https://www.youtube.com/watch?v=wadBvDPeE4E")</f>
        <v>https://www.youtube.com/watch?v=wadBvDPeE4E</v>
      </c>
      <c r="X296" s="81" t="s">
        <v>1886</v>
      </c>
      <c r="Y296" s="81">
        <v>0</v>
      </c>
      <c r="Z296" s="88">
        <v>41346.88829861111</v>
      </c>
      <c r="AA296" s="88">
        <v>41346.88829861111</v>
      </c>
      <c r="AB296" s="81"/>
      <c r="AC296" s="81"/>
      <c r="AD296" s="84" t="s">
        <v>1927</v>
      </c>
      <c r="AE296" s="82">
        <v>3</v>
      </c>
      <c r="AF296" s="83" t="str">
        <f>REPLACE(INDEX(GroupVertices[Group],MATCH(Edges[[#This Row],[Vertex 1]],GroupVertices[Vertex],0)),1,1,"")</f>
        <v>1</v>
      </c>
      <c r="AG296" s="83" t="str">
        <f>REPLACE(INDEX(GroupVertices[Group],MATCH(Edges[[#This Row],[Vertex 2]],GroupVertices[Vertex],0)),1,1,"")</f>
        <v>1</v>
      </c>
      <c r="AH296" s="111">
        <v>3</v>
      </c>
      <c r="AI296" s="112">
        <v>3.409090909090909</v>
      </c>
      <c r="AJ296" s="111">
        <v>10</v>
      </c>
      <c r="AK296" s="112">
        <v>11.363636363636363</v>
      </c>
      <c r="AL296" s="111">
        <v>0</v>
      </c>
      <c r="AM296" s="112">
        <v>0</v>
      </c>
      <c r="AN296" s="111">
        <v>75</v>
      </c>
      <c r="AO296" s="112">
        <v>85.22727272727273</v>
      </c>
      <c r="AP296" s="111">
        <v>88</v>
      </c>
    </row>
    <row r="297" spans="1:42" ht="15">
      <c r="A297" s="65" t="s">
        <v>535</v>
      </c>
      <c r="B297" s="65" t="s">
        <v>786</v>
      </c>
      <c r="C297" s="66" t="s">
        <v>4511</v>
      </c>
      <c r="D297" s="67">
        <v>7.666666666666667</v>
      </c>
      <c r="E297" s="68"/>
      <c r="F297" s="69">
        <v>23.333333333333332</v>
      </c>
      <c r="G297" s="66"/>
      <c r="H297" s="70"/>
      <c r="I297" s="71"/>
      <c r="J297" s="71"/>
      <c r="K297" s="35" t="s">
        <v>65</v>
      </c>
      <c r="L297" s="79">
        <v>297</v>
      </c>
      <c r="M297" s="79"/>
      <c r="N297" s="73"/>
      <c r="O297" s="81" t="s">
        <v>788</v>
      </c>
      <c r="P297" s="81" t="s">
        <v>325</v>
      </c>
      <c r="Q297" s="84" t="s">
        <v>1085</v>
      </c>
      <c r="R297" s="81" t="s">
        <v>535</v>
      </c>
      <c r="S297" s="81" t="s">
        <v>1603</v>
      </c>
      <c r="T297" s="86" t="str">
        <f>HYPERLINK("http://www.youtube.com/channel/UCEIXj2JRNSNs781Kx7Jg-Wg")</f>
        <v>http://www.youtube.com/channel/UCEIXj2JRNSNs781Kx7Jg-Wg</v>
      </c>
      <c r="U297" s="81"/>
      <c r="V297" s="81" t="s">
        <v>1885</v>
      </c>
      <c r="W297" s="86" t="str">
        <f>HYPERLINK("https://www.youtube.com/watch?v=wadBvDPeE4E")</f>
        <v>https://www.youtube.com/watch?v=wadBvDPeE4E</v>
      </c>
      <c r="X297" s="81" t="s">
        <v>1886</v>
      </c>
      <c r="Y297" s="81">
        <v>0</v>
      </c>
      <c r="Z297" s="88">
        <v>41347.83997685185</v>
      </c>
      <c r="AA297" s="88">
        <v>41347.83997685185</v>
      </c>
      <c r="AB297" s="81"/>
      <c r="AC297" s="81"/>
      <c r="AD297" s="84" t="s">
        <v>1927</v>
      </c>
      <c r="AE297" s="82">
        <v>3</v>
      </c>
      <c r="AF297" s="83" t="str">
        <f>REPLACE(INDEX(GroupVertices[Group],MATCH(Edges[[#This Row],[Vertex 1]],GroupVertices[Vertex],0)),1,1,"")</f>
        <v>1</v>
      </c>
      <c r="AG297" s="83" t="str">
        <f>REPLACE(INDEX(GroupVertices[Group],MATCH(Edges[[#This Row],[Vertex 2]],GroupVertices[Vertex],0)),1,1,"")</f>
        <v>1</v>
      </c>
      <c r="AH297" s="111">
        <v>3</v>
      </c>
      <c r="AI297" s="112">
        <v>5.769230769230769</v>
      </c>
      <c r="AJ297" s="111">
        <v>2</v>
      </c>
      <c r="AK297" s="112">
        <v>3.8461538461538463</v>
      </c>
      <c r="AL297" s="111">
        <v>0</v>
      </c>
      <c r="AM297" s="112">
        <v>0</v>
      </c>
      <c r="AN297" s="111">
        <v>47</v>
      </c>
      <c r="AO297" s="112">
        <v>90.38461538461539</v>
      </c>
      <c r="AP297" s="111">
        <v>52</v>
      </c>
    </row>
    <row r="298" spans="1:42" ht="15">
      <c r="A298" s="65" t="s">
        <v>536</v>
      </c>
      <c r="B298" s="65" t="s">
        <v>786</v>
      </c>
      <c r="C298" s="66" t="s">
        <v>4509</v>
      </c>
      <c r="D298" s="67">
        <v>3</v>
      </c>
      <c r="E298" s="68"/>
      <c r="F298" s="69">
        <v>40</v>
      </c>
      <c r="G298" s="66"/>
      <c r="H298" s="70"/>
      <c r="I298" s="71"/>
      <c r="J298" s="71"/>
      <c r="K298" s="35" t="s">
        <v>65</v>
      </c>
      <c r="L298" s="79">
        <v>298</v>
      </c>
      <c r="M298" s="79"/>
      <c r="N298" s="73"/>
      <c r="O298" s="81" t="s">
        <v>788</v>
      </c>
      <c r="P298" s="81" t="s">
        <v>325</v>
      </c>
      <c r="Q298" s="84" t="s">
        <v>1086</v>
      </c>
      <c r="R298" s="81" t="s">
        <v>536</v>
      </c>
      <c r="S298" s="81" t="s">
        <v>1604</v>
      </c>
      <c r="T298" s="86" t="str">
        <f>HYPERLINK("http://www.youtube.com/channel/UC5m0TKJ9zA22TkLmp594ZEQ")</f>
        <v>http://www.youtube.com/channel/UC5m0TKJ9zA22TkLmp594ZEQ</v>
      </c>
      <c r="U298" s="81"/>
      <c r="V298" s="81" t="s">
        <v>1885</v>
      </c>
      <c r="W298" s="86" t="str">
        <f>HYPERLINK("https://www.youtube.com/watch?v=wadBvDPeE4E")</f>
        <v>https://www.youtube.com/watch?v=wadBvDPeE4E</v>
      </c>
      <c r="X298" s="81" t="s">
        <v>1886</v>
      </c>
      <c r="Y298" s="81">
        <v>0</v>
      </c>
      <c r="Z298" s="88">
        <v>41347.90542824074</v>
      </c>
      <c r="AA298" s="88">
        <v>41347.90542824074</v>
      </c>
      <c r="AB298" s="81"/>
      <c r="AC298" s="81"/>
      <c r="AD298" s="84" t="s">
        <v>1927</v>
      </c>
      <c r="AE298" s="82">
        <v>1</v>
      </c>
      <c r="AF298" s="83" t="str">
        <f>REPLACE(INDEX(GroupVertices[Group],MATCH(Edges[[#This Row],[Vertex 1]],GroupVertices[Vertex],0)),1,1,"")</f>
        <v>1</v>
      </c>
      <c r="AG298" s="83" t="str">
        <f>REPLACE(INDEX(GroupVertices[Group],MATCH(Edges[[#This Row],[Vertex 2]],GroupVertices[Vertex],0)),1,1,"")</f>
        <v>1</v>
      </c>
      <c r="AH298" s="111">
        <v>1</v>
      </c>
      <c r="AI298" s="112">
        <v>4.545454545454546</v>
      </c>
      <c r="AJ298" s="111">
        <v>1</v>
      </c>
      <c r="AK298" s="112">
        <v>4.545454545454546</v>
      </c>
      <c r="AL298" s="111">
        <v>0</v>
      </c>
      <c r="AM298" s="112">
        <v>0</v>
      </c>
      <c r="AN298" s="111">
        <v>20</v>
      </c>
      <c r="AO298" s="112">
        <v>90.9090909090909</v>
      </c>
      <c r="AP298" s="111">
        <v>22</v>
      </c>
    </row>
    <row r="299" spans="1:42" ht="15">
      <c r="A299" s="65" t="s">
        <v>537</v>
      </c>
      <c r="B299" s="65" t="s">
        <v>786</v>
      </c>
      <c r="C299" s="66" t="s">
        <v>4509</v>
      </c>
      <c r="D299" s="67">
        <v>3</v>
      </c>
      <c r="E299" s="68"/>
      <c r="F299" s="69">
        <v>40</v>
      </c>
      <c r="G299" s="66"/>
      <c r="H299" s="70"/>
      <c r="I299" s="71"/>
      <c r="J299" s="71"/>
      <c r="K299" s="35" t="s">
        <v>65</v>
      </c>
      <c r="L299" s="79">
        <v>299</v>
      </c>
      <c r="M299" s="79"/>
      <c r="N299" s="73"/>
      <c r="O299" s="81" t="s">
        <v>788</v>
      </c>
      <c r="P299" s="81" t="s">
        <v>325</v>
      </c>
      <c r="Q299" s="84" t="s">
        <v>1087</v>
      </c>
      <c r="R299" s="81" t="s">
        <v>537</v>
      </c>
      <c r="S299" s="81" t="s">
        <v>1605</v>
      </c>
      <c r="T299" s="86" t="str">
        <f>HYPERLINK("http://www.youtube.com/channel/UCFpwX53ykKWLt0EK3NHdNGw")</f>
        <v>http://www.youtube.com/channel/UCFpwX53ykKWLt0EK3NHdNGw</v>
      </c>
      <c r="U299" s="81"/>
      <c r="V299" s="81" t="s">
        <v>1885</v>
      </c>
      <c r="W299" s="86" t="str">
        <f>HYPERLINK("https://www.youtube.com/watch?v=wadBvDPeE4E")</f>
        <v>https://www.youtube.com/watch?v=wadBvDPeE4E</v>
      </c>
      <c r="X299" s="81" t="s">
        <v>1886</v>
      </c>
      <c r="Y299" s="81">
        <v>0</v>
      </c>
      <c r="Z299" s="88">
        <v>41348.10498842593</v>
      </c>
      <c r="AA299" s="88">
        <v>41348.10498842593</v>
      </c>
      <c r="AB299" s="81"/>
      <c r="AC299" s="81"/>
      <c r="AD299" s="84" t="s">
        <v>1927</v>
      </c>
      <c r="AE299" s="82">
        <v>1</v>
      </c>
      <c r="AF299" s="83" t="str">
        <f>REPLACE(INDEX(GroupVertices[Group],MATCH(Edges[[#This Row],[Vertex 1]],GroupVertices[Vertex],0)),1,1,"")</f>
        <v>1</v>
      </c>
      <c r="AG299" s="83" t="str">
        <f>REPLACE(INDEX(GroupVertices[Group],MATCH(Edges[[#This Row],[Vertex 2]],GroupVertices[Vertex],0)),1,1,"")</f>
        <v>1</v>
      </c>
      <c r="AH299" s="111">
        <v>1</v>
      </c>
      <c r="AI299" s="112">
        <v>5.555555555555555</v>
      </c>
      <c r="AJ299" s="111">
        <v>0</v>
      </c>
      <c r="AK299" s="112">
        <v>0</v>
      </c>
      <c r="AL299" s="111">
        <v>0</v>
      </c>
      <c r="AM299" s="112">
        <v>0</v>
      </c>
      <c r="AN299" s="111">
        <v>17</v>
      </c>
      <c r="AO299" s="112">
        <v>94.44444444444444</v>
      </c>
      <c r="AP299" s="111">
        <v>18</v>
      </c>
    </row>
    <row r="300" spans="1:42" ht="15">
      <c r="A300" s="65" t="s">
        <v>538</v>
      </c>
      <c r="B300" s="65" t="s">
        <v>786</v>
      </c>
      <c r="C300" s="66" t="s">
        <v>4509</v>
      </c>
      <c r="D300" s="67">
        <v>3</v>
      </c>
      <c r="E300" s="68"/>
      <c r="F300" s="69">
        <v>40</v>
      </c>
      <c r="G300" s="66"/>
      <c r="H300" s="70"/>
      <c r="I300" s="71"/>
      <c r="J300" s="71"/>
      <c r="K300" s="35" t="s">
        <v>65</v>
      </c>
      <c r="L300" s="79">
        <v>300</v>
      </c>
      <c r="M300" s="79"/>
      <c r="N300" s="73"/>
      <c r="O300" s="81" t="s">
        <v>788</v>
      </c>
      <c r="P300" s="81" t="s">
        <v>325</v>
      </c>
      <c r="Q300" s="84" t="s">
        <v>1088</v>
      </c>
      <c r="R300" s="81" t="s">
        <v>538</v>
      </c>
      <c r="S300" s="81" t="s">
        <v>1606</v>
      </c>
      <c r="T300" s="86" t="str">
        <f>HYPERLINK("http://www.youtube.com/channel/UCNLlJNlSWf7o1vrRS7a0Chw")</f>
        <v>http://www.youtube.com/channel/UCNLlJNlSWf7o1vrRS7a0Chw</v>
      </c>
      <c r="U300" s="81"/>
      <c r="V300" s="81" t="s">
        <v>1885</v>
      </c>
      <c r="W300" s="86" t="str">
        <f>HYPERLINK("https://www.youtube.com/watch?v=wadBvDPeE4E")</f>
        <v>https://www.youtube.com/watch?v=wadBvDPeE4E</v>
      </c>
      <c r="X300" s="81" t="s">
        <v>1886</v>
      </c>
      <c r="Y300" s="81">
        <v>0</v>
      </c>
      <c r="Z300" s="88">
        <v>41350.12667824074</v>
      </c>
      <c r="AA300" s="88">
        <v>41350.12667824074</v>
      </c>
      <c r="AB300" s="81"/>
      <c r="AC300" s="81"/>
      <c r="AD300" s="84" t="s">
        <v>1927</v>
      </c>
      <c r="AE300" s="82">
        <v>1</v>
      </c>
      <c r="AF300" s="83" t="str">
        <f>REPLACE(INDEX(GroupVertices[Group],MATCH(Edges[[#This Row],[Vertex 1]],GroupVertices[Vertex],0)),1,1,"")</f>
        <v>1</v>
      </c>
      <c r="AG300" s="83" t="str">
        <f>REPLACE(INDEX(GroupVertices[Group],MATCH(Edges[[#This Row],[Vertex 2]],GroupVertices[Vertex],0)),1,1,"")</f>
        <v>1</v>
      </c>
      <c r="AH300" s="111">
        <v>3</v>
      </c>
      <c r="AI300" s="112">
        <v>7.894736842105263</v>
      </c>
      <c r="AJ300" s="111">
        <v>0</v>
      </c>
      <c r="AK300" s="112">
        <v>0</v>
      </c>
      <c r="AL300" s="111">
        <v>0</v>
      </c>
      <c r="AM300" s="112">
        <v>0</v>
      </c>
      <c r="AN300" s="111">
        <v>35</v>
      </c>
      <c r="AO300" s="112">
        <v>92.10526315789474</v>
      </c>
      <c r="AP300" s="111">
        <v>38</v>
      </c>
    </row>
    <row r="301" spans="1:42" ht="15">
      <c r="A301" s="65" t="s">
        <v>539</v>
      </c>
      <c r="B301" s="65" t="s">
        <v>786</v>
      </c>
      <c r="C301" s="66" t="s">
        <v>4511</v>
      </c>
      <c r="D301" s="67">
        <v>7.666666666666667</v>
      </c>
      <c r="E301" s="68"/>
      <c r="F301" s="69">
        <v>23.333333333333332</v>
      </c>
      <c r="G301" s="66"/>
      <c r="H301" s="70"/>
      <c r="I301" s="71"/>
      <c r="J301" s="71"/>
      <c r="K301" s="35" t="s">
        <v>65</v>
      </c>
      <c r="L301" s="79">
        <v>301</v>
      </c>
      <c r="M301" s="79"/>
      <c r="N301" s="73"/>
      <c r="O301" s="81" t="s">
        <v>788</v>
      </c>
      <c r="P301" s="81" t="s">
        <v>325</v>
      </c>
      <c r="Q301" s="84" t="s">
        <v>1089</v>
      </c>
      <c r="R301" s="81" t="s">
        <v>539</v>
      </c>
      <c r="S301" s="81" t="s">
        <v>1607</v>
      </c>
      <c r="T301" s="86" t="str">
        <f>HYPERLINK("http://www.youtube.com/channel/UCMrwz3szwrEugH00DKy6YWw")</f>
        <v>http://www.youtube.com/channel/UCMrwz3szwrEugH00DKy6YWw</v>
      </c>
      <c r="U301" s="81"/>
      <c r="V301" s="81" t="s">
        <v>1885</v>
      </c>
      <c r="W301" s="86" t="str">
        <f>HYPERLINK("https://www.youtube.com/watch?v=wadBvDPeE4E")</f>
        <v>https://www.youtube.com/watch?v=wadBvDPeE4E</v>
      </c>
      <c r="X301" s="81" t="s">
        <v>1886</v>
      </c>
      <c r="Y301" s="81">
        <v>0</v>
      </c>
      <c r="Z301" s="88">
        <v>41353.47099537037</v>
      </c>
      <c r="AA301" s="88">
        <v>41353.47099537037</v>
      </c>
      <c r="AB301" s="81"/>
      <c r="AC301" s="81"/>
      <c r="AD301" s="84" t="s">
        <v>1927</v>
      </c>
      <c r="AE301" s="82">
        <v>3</v>
      </c>
      <c r="AF301" s="83" t="str">
        <f>REPLACE(INDEX(GroupVertices[Group],MATCH(Edges[[#This Row],[Vertex 1]],GroupVertices[Vertex],0)),1,1,"")</f>
        <v>1</v>
      </c>
      <c r="AG301" s="83" t="str">
        <f>REPLACE(INDEX(GroupVertices[Group],MATCH(Edges[[#This Row],[Vertex 2]],GroupVertices[Vertex],0)),1,1,"")</f>
        <v>1</v>
      </c>
      <c r="AH301" s="111">
        <v>1</v>
      </c>
      <c r="AI301" s="112">
        <v>4</v>
      </c>
      <c r="AJ301" s="111">
        <v>0</v>
      </c>
      <c r="AK301" s="112">
        <v>0</v>
      </c>
      <c r="AL301" s="111">
        <v>0</v>
      </c>
      <c r="AM301" s="112">
        <v>0</v>
      </c>
      <c r="AN301" s="111">
        <v>24</v>
      </c>
      <c r="AO301" s="112">
        <v>96</v>
      </c>
      <c r="AP301" s="111">
        <v>25</v>
      </c>
    </row>
    <row r="302" spans="1:42" ht="15">
      <c r="A302" s="65" t="s">
        <v>539</v>
      </c>
      <c r="B302" s="65" t="s">
        <v>786</v>
      </c>
      <c r="C302" s="66" t="s">
        <v>4511</v>
      </c>
      <c r="D302" s="67">
        <v>7.666666666666667</v>
      </c>
      <c r="E302" s="68"/>
      <c r="F302" s="69">
        <v>23.333333333333332</v>
      </c>
      <c r="G302" s="66"/>
      <c r="H302" s="70"/>
      <c r="I302" s="71"/>
      <c r="J302" s="71"/>
      <c r="K302" s="35" t="s">
        <v>65</v>
      </c>
      <c r="L302" s="79">
        <v>302</v>
      </c>
      <c r="M302" s="79"/>
      <c r="N302" s="73"/>
      <c r="O302" s="81" t="s">
        <v>788</v>
      </c>
      <c r="P302" s="81" t="s">
        <v>325</v>
      </c>
      <c r="Q302" s="84" t="s">
        <v>1090</v>
      </c>
      <c r="R302" s="81" t="s">
        <v>539</v>
      </c>
      <c r="S302" s="81" t="s">
        <v>1607</v>
      </c>
      <c r="T302" s="86" t="str">
        <f>HYPERLINK("http://www.youtube.com/channel/UCMrwz3szwrEugH00DKy6YWw")</f>
        <v>http://www.youtube.com/channel/UCMrwz3szwrEugH00DKy6YWw</v>
      </c>
      <c r="U302" s="81"/>
      <c r="V302" s="81" t="s">
        <v>1885</v>
      </c>
      <c r="W302" s="86" t="str">
        <f>HYPERLINK("https://www.youtube.com/watch?v=wadBvDPeE4E")</f>
        <v>https://www.youtube.com/watch?v=wadBvDPeE4E</v>
      </c>
      <c r="X302" s="81" t="s">
        <v>1886</v>
      </c>
      <c r="Y302" s="81">
        <v>0</v>
      </c>
      <c r="Z302" s="88">
        <v>41353.490648148145</v>
      </c>
      <c r="AA302" s="88">
        <v>41353.490648148145</v>
      </c>
      <c r="AB302" s="81"/>
      <c r="AC302" s="81"/>
      <c r="AD302" s="84" t="s">
        <v>1927</v>
      </c>
      <c r="AE302" s="82">
        <v>3</v>
      </c>
      <c r="AF302" s="83" t="str">
        <f>REPLACE(INDEX(GroupVertices[Group],MATCH(Edges[[#This Row],[Vertex 1]],GroupVertices[Vertex],0)),1,1,"")</f>
        <v>1</v>
      </c>
      <c r="AG302" s="83" t="str">
        <f>REPLACE(INDEX(GroupVertices[Group],MATCH(Edges[[#This Row],[Vertex 2]],GroupVertices[Vertex],0)),1,1,"")</f>
        <v>1</v>
      </c>
      <c r="AH302" s="111">
        <v>1</v>
      </c>
      <c r="AI302" s="112">
        <v>3.5714285714285716</v>
      </c>
      <c r="AJ302" s="111">
        <v>0</v>
      </c>
      <c r="AK302" s="112">
        <v>0</v>
      </c>
      <c r="AL302" s="111">
        <v>0</v>
      </c>
      <c r="AM302" s="112">
        <v>0</v>
      </c>
      <c r="AN302" s="111">
        <v>27</v>
      </c>
      <c r="AO302" s="112">
        <v>96.42857142857143</v>
      </c>
      <c r="AP302" s="111">
        <v>28</v>
      </c>
    </row>
    <row r="303" spans="1:42" ht="15">
      <c r="A303" s="65" t="s">
        <v>539</v>
      </c>
      <c r="B303" s="65" t="s">
        <v>786</v>
      </c>
      <c r="C303" s="66" t="s">
        <v>4511</v>
      </c>
      <c r="D303" s="67">
        <v>7.666666666666667</v>
      </c>
      <c r="E303" s="68"/>
      <c r="F303" s="69">
        <v>23.333333333333332</v>
      </c>
      <c r="G303" s="66"/>
      <c r="H303" s="70"/>
      <c r="I303" s="71"/>
      <c r="J303" s="71"/>
      <c r="K303" s="35" t="s">
        <v>65</v>
      </c>
      <c r="L303" s="79">
        <v>303</v>
      </c>
      <c r="M303" s="79"/>
      <c r="N303" s="73"/>
      <c r="O303" s="81" t="s">
        <v>788</v>
      </c>
      <c r="P303" s="81" t="s">
        <v>325</v>
      </c>
      <c r="Q303" s="84" t="s">
        <v>1091</v>
      </c>
      <c r="R303" s="81" t="s">
        <v>539</v>
      </c>
      <c r="S303" s="81" t="s">
        <v>1607</v>
      </c>
      <c r="T303" s="86" t="str">
        <f>HYPERLINK("http://www.youtube.com/channel/UCMrwz3szwrEugH00DKy6YWw")</f>
        <v>http://www.youtube.com/channel/UCMrwz3szwrEugH00DKy6YWw</v>
      </c>
      <c r="U303" s="81"/>
      <c r="V303" s="81" t="s">
        <v>1885</v>
      </c>
      <c r="W303" s="86" t="str">
        <f>HYPERLINK("https://www.youtube.com/watch?v=wadBvDPeE4E")</f>
        <v>https://www.youtube.com/watch?v=wadBvDPeE4E</v>
      </c>
      <c r="X303" s="81" t="s">
        <v>1886</v>
      </c>
      <c r="Y303" s="81">
        <v>0</v>
      </c>
      <c r="Z303" s="88">
        <v>41353.49395833333</v>
      </c>
      <c r="AA303" s="88">
        <v>41353.49395833333</v>
      </c>
      <c r="AB303" s="81"/>
      <c r="AC303" s="81"/>
      <c r="AD303" s="84" t="s">
        <v>1927</v>
      </c>
      <c r="AE303" s="82">
        <v>3</v>
      </c>
      <c r="AF303" s="83" t="str">
        <f>REPLACE(INDEX(GroupVertices[Group],MATCH(Edges[[#This Row],[Vertex 1]],GroupVertices[Vertex],0)),1,1,"")</f>
        <v>1</v>
      </c>
      <c r="AG303" s="83" t="str">
        <f>REPLACE(INDEX(GroupVertices[Group],MATCH(Edges[[#This Row],[Vertex 2]],GroupVertices[Vertex],0)),1,1,"")</f>
        <v>1</v>
      </c>
      <c r="AH303" s="111">
        <v>0</v>
      </c>
      <c r="AI303" s="112">
        <v>0</v>
      </c>
      <c r="AJ303" s="111">
        <v>2</v>
      </c>
      <c r="AK303" s="112">
        <v>8.695652173913043</v>
      </c>
      <c r="AL303" s="111">
        <v>0</v>
      </c>
      <c r="AM303" s="112">
        <v>0</v>
      </c>
      <c r="AN303" s="111">
        <v>21</v>
      </c>
      <c r="AO303" s="112">
        <v>91.30434782608695</v>
      </c>
      <c r="AP303" s="111">
        <v>23</v>
      </c>
    </row>
    <row r="304" spans="1:42" ht="15">
      <c r="A304" s="65" t="s">
        <v>540</v>
      </c>
      <c r="B304" s="65" t="s">
        <v>786</v>
      </c>
      <c r="C304" s="66" t="s">
        <v>4509</v>
      </c>
      <c r="D304" s="67">
        <v>3</v>
      </c>
      <c r="E304" s="68"/>
      <c r="F304" s="69">
        <v>40</v>
      </c>
      <c r="G304" s="66"/>
      <c r="H304" s="70"/>
      <c r="I304" s="71"/>
      <c r="J304" s="71"/>
      <c r="K304" s="35" t="s">
        <v>65</v>
      </c>
      <c r="L304" s="79">
        <v>304</v>
      </c>
      <c r="M304" s="79"/>
      <c r="N304" s="73"/>
      <c r="O304" s="81" t="s">
        <v>788</v>
      </c>
      <c r="P304" s="81" t="s">
        <v>325</v>
      </c>
      <c r="Q304" s="84" t="s">
        <v>1092</v>
      </c>
      <c r="R304" s="81" t="s">
        <v>540</v>
      </c>
      <c r="S304" s="81" t="s">
        <v>1608</v>
      </c>
      <c r="T304" s="86" t="str">
        <f>HYPERLINK("http://www.youtube.com/channel/UCrHMteoemHWAk0ZUN7-2-fQ")</f>
        <v>http://www.youtube.com/channel/UCrHMteoemHWAk0ZUN7-2-fQ</v>
      </c>
      <c r="U304" s="81"/>
      <c r="V304" s="81" t="s">
        <v>1885</v>
      </c>
      <c r="W304" s="86" t="str">
        <f>HYPERLINK("https://www.youtube.com/watch?v=wadBvDPeE4E")</f>
        <v>https://www.youtube.com/watch?v=wadBvDPeE4E</v>
      </c>
      <c r="X304" s="81" t="s">
        <v>1886</v>
      </c>
      <c r="Y304" s="81">
        <v>0</v>
      </c>
      <c r="Z304" s="88">
        <v>41366.96512731481</v>
      </c>
      <c r="AA304" s="88">
        <v>41366.96512731481</v>
      </c>
      <c r="AB304" s="81"/>
      <c r="AC304" s="81"/>
      <c r="AD304" s="84" t="s">
        <v>1927</v>
      </c>
      <c r="AE304" s="82">
        <v>1</v>
      </c>
      <c r="AF304" s="83" t="str">
        <f>REPLACE(INDEX(GroupVertices[Group],MATCH(Edges[[#This Row],[Vertex 1]],GroupVertices[Vertex],0)),1,1,"")</f>
        <v>1</v>
      </c>
      <c r="AG304" s="83" t="str">
        <f>REPLACE(INDEX(GroupVertices[Group],MATCH(Edges[[#This Row],[Vertex 2]],GroupVertices[Vertex],0)),1,1,"")</f>
        <v>1</v>
      </c>
      <c r="AH304" s="111">
        <v>0</v>
      </c>
      <c r="AI304" s="112">
        <v>0</v>
      </c>
      <c r="AJ304" s="111">
        <v>0</v>
      </c>
      <c r="AK304" s="112">
        <v>0</v>
      </c>
      <c r="AL304" s="111">
        <v>0</v>
      </c>
      <c r="AM304" s="112">
        <v>0</v>
      </c>
      <c r="AN304" s="111">
        <v>12</v>
      </c>
      <c r="AO304" s="112">
        <v>100</v>
      </c>
      <c r="AP304" s="111">
        <v>12</v>
      </c>
    </row>
    <row r="305" spans="1:42" ht="15">
      <c r="A305" s="65" t="s">
        <v>541</v>
      </c>
      <c r="B305" s="65" t="s">
        <v>786</v>
      </c>
      <c r="C305" s="66" t="s">
        <v>4509</v>
      </c>
      <c r="D305" s="67">
        <v>3</v>
      </c>
      <c r="E305" s="68"/>
      <c r="F305" s="69">
        <v>40</v>
      </c>
      <c r="G305" s="66"/>
      <c r="H305" s="70"/>
      <c r="I305" s="71"/>
      <c r="J305" s="71"/>
      <c r="K305" s="35" t="s">
        <v>65</v>
      </c>
      <c r="L305" s="79">
        <v>305</v>
      </c>
      <c r="M305" s="79"/>
      <c r="N305" s="73"/>
      <c r="O305" s="81" t="s">
        <v>788</v>
      </c>
      <c r="P305" s="81" t="s">
        <v>325</v>
      </c>
      <c r="Q305" s="84" t="s">
        <v>1093</v>
      </c>
      <c r="R305" s="81" t="s">
        <v>541</v>
      </c>
      <c r="S305" s="81" t="s">
        <v>1609</v>
      </c>
      <c r="T305" s="86" t="str">
        <f>HYPERLINK("http://www.youtube.com/channel/UCvvYo6r3QSI1U58GickP3pA")</f>
        <v>http://www.youtube.com/channel/UCvvYo6r3QSI1U58GickP3pA</v>
      </c>
      <c r="U305" s="81"/>
      <c r="V305" s="81" t="s">
        <v>1885</v>
      </c>
      <c r="W305" s="86" t="str">
        <f>HYPERLINK("https://www.youtube.com/watch?v=wadBvDPeE4E")</f>
        <v>https://www.youtube.com/watch?v=wadBvDPeE4E</v>
      </c>
      <c r="X305" s="81" t="s">
        <v>1886</v>
      </c>
      <c r="Y305" s="81">
        <v>0</v>
      </c>
      <c r="Z305" s="88">
        <v>41367.30546296296</v>
      </c>
      <c r="AA305" s="88">
        <v>41367.30546296296</v>
      </c>
      <c r="AB305" s="81"/>
      <c r="AC305" s="81"/>
      <c r="AD305" s="84" t="s">
        <v>1927</v>
      </c>
      <c r="AE305" s="82">
        <v>1</v>
      </c>
      <c r="AF305" s="83" t="str">
        <f>REPLACE(INDEX(GroupVertices[Group],MATCH(Edges[[#This Row],[Vertex 1]],GroupVertices[Vertex],0)),1,1,"")</f>
        <v>1</v>
      </c>
      <c r="AG305" s="83" t="str">
        <f>REPLACE(INDEX(GroupVertices[Group],MATCH(Edges[[#This Row],[Vertex 2]],GroupVertices[Vertex],0)),1,1,"")</f>
        <v>1</v>
      </c>
      <c r="AH305" s="111">
        <v>0</v>
      </c>
      <c r="AI305" s="112">
        <v>0</v>
      </c>
      <c r="AJ305" s="111">
        <v>0</v>
      </c>
      <c r="AK305" s="112">
        <v>0</v>
      </c>
      <c r="AL305" s="111">
        <v>0</v>
      </c>
      <c r="AM305" s="112">
        <v>0</v>
      </c>
      <c r="AN305" s="111">
        <v>16</v>
      </c>
      <c r="AO305" s="112">
        <v>100</v>
      </c>
      <c r="AP305" s="111">
        <v>16</v>
      </c>
    </row>
    <row r="306" spans="1:42" ht="15">
      <c r="A306" s="65" t="s">
        <v>542</v>
      </c>
      <c r="B306" s="65" t="s">
        <v>786</v>
      </c>
      <c r="C306" s="66" t="s">
        <v>4509</v>
      </c>
      <c r="D306" s="67">
        <v>3</v>
      </c>
      <c r="E306" s="68"/>
      <c r="F306" s="69">
        <v>40</v>
      </c>
      <c r="G306" s="66"/>
      <c r="H306" s="70"/>
      <c r="I306" s="71"/>
      <c r="J306" s="71"/>
      <c r="K306" s="35" t="s">
        <v>65</v>
      </c>
      <c r="L306" s="79">
        <v>306</v>
      </c>
      <c r="M306" s="79"/>
      <c r="N306" s="73"/>
      <c r="O306" s="81" t="s">
        <v>788</v>
      </c>
      <c r="P306" s="81" t="s">
        <v>325</v>
      </c>
      <c r="Q306" s="84" t="s">
        <v>1094</v>
      </c>
      <c r="R306" s="81" t="s">
        <v>542</v>
      </c>
      <c r="S306" s="81" t="s">
        <v>1610</v>
      </c>
      <c r="T306" s="86" t="str">
        <f>HYPERLINK("http://www.youtube.com/channel/UCkPWqIuzCqp_cys622OPPsQ")</f>
        <v>http://www.youtube.com/channel/UCkPWqIuzCqp_cys622OPPsQ</v>
      </c>
      <c r="U306" s="81"/>
      <c r="V306" s="81" t="s">
        <v>1885</v>
      </c>
      <c r="W306" s="86" t="str">
        <f>HYPERLINK("https://www.youtube.com/watch?v=wadBvDPeE4E")</f>
        <v>https://www.youtube.com/watch?v=wadBvDPeE4E</v>
      </c>
      <c r="X306" s="81" t="s">
        <v>1886</v>
      </c>
      <c r="Y306" s="81">
        <v>0</v>
      </c>
      <c r="Z306" s="88">
        <v>41372.91407407408</v>
      </c>
      <c r="AA306" s="88">
        <v>41372.91407407408</v>
      </c>
      <c r="AB306" s="81"/>
      <c r="AC306" s="81"/>
      <c r="AD306" s="84" t="s">
        <v>1927</v>
      </c>
      <c r="AE306" s="82">
        <v>1</v>
      </c>
      <c r="AF306" s="83" t="str">
        <f>REPLACE(INDEX(GroupVertices[Group],MATCH(Edges[[#This Row],[Vertex 1]],GroupVertices[Vertex],0)),1,1,"")</f>
        <v>1</v>
      </c>
      <c r="AG306" s="83" t="str">
        <f>REPLACE(INDEX(GroupVertices[Group],MATCH(Edges[[#This Row],[Vertex 2]],GroupVertices[Vertex],0)),1,1,"")</f>
        <v>1</v>
      </c>
      <c r="AH306" s="111">
        <v>0</v>
      </c>
      <c r="AI306" s="112">
        <v>0</v>
      </c>
      <c r="AJ306" s="111">
        <v>0</v>
      </c>
      <c r="AK306" s="112">
        <v>0</v>
      </c>
      <c r="AL306" s="111">
        <v>0</v>
      </c>
      <c r="AM306" s="112">
        <v>0</v>
      </c>
      <c r="AN306" s="111">
        <v>15</v>
      </c>
      <c r="AO306" s="112">
        <v>100</v>
      </c>
      <c r="AP306" s="111">
        <v>15</v>
      </c>
    </row>
    <row r="307" spans="1:42" ht="15">
      <c r="A307" s="65" t="s">
        <v>543</v>
      </c>
      <c r="B307" s="65" t="s">
        <v>786</v>
      </c>
      <c r="C307" s="66" t="s">
        <v>4509</v>
      </c>
      <c r="D307" s="67">
        <v>3</v>
      </c>
      <c r="E307" s="68"/>
      <c r="F307" s="69">
        <v>40</v>
      </c>
      <c r="G307" s="66"/>
      <c r="H307" s="70"/>
      <c r="I307" s="71"/>
      <c r="J307" s="71"/>
      <c r="K307" s="35" t="s">
        <v>65</v>
      </c>
      <c r="L307" s="79">
        <v>307</v>
      </c>
      <c r="M307" s="79"/>
      <c r="N307" s="73"/>
      <c r="O307" s="81" t="s">
        <v>788</v>
      </c>
      <c r="P307" s="81" t="s">
        <v>325</v>
      </c>
      <c r="Q307" s="84" t="s">
        <v>1095</v>
      </c>
      <c r="R307" s="81" t="s">
        <v>543</v>
      </c>
      <c r="S307" s="81" t="s">
        <v>1611</v>
      </c>
      <c r="T307" s="86" t="str">
        <f>HYPERLINK("http://www.youtube.com/channel/UCV750QFOfdssBbqaPnM_MHw")</f>
        <v>http://www.youtube.com/channel/UCV750QFOfdssBbqaPnM_MHw</v>
      </c>
      <c r="U307" s="81"/>
      <c r="V307" s="81" t="s">
        <v>1885</v>
      </c>
      <c r="W307" s="86" t="str">
        <f>HYPERLINK("https://www.youtube.com/watch?v=wadBvDPeE4E")</f>
        <v>https://www.youtube.com/watch?v=wadBvDPeE4E</v>
      </c>
      <c r="X307" s="81" t="s">
        <v>1886</v>
      </c>
      <c r="Y307" s="81">
        <v>0</v>
      </c>
      <c r="Z307" s="88">
        <v>41373.642743055556</v>
      </c>
      <c r="AA307" s="88">
        <v>41373.642743055556</v>
      </c>
      <c r="AB307" s="81"/>
      <c r="AC307" s="81"/>
      <c r="AD307" s="84" t="s">
        <v>1927</v>
      </c>
      <c r="AE307" s="82">
        <v>1</v>
      </c>
      <c r="AF307" s="83" t="str">
        <f>REPLACE(INDEX(GroupVertices[Group],MATCH(Edges[[#This Row],[Vertex 1]],GroupVertices[Vertex],0)),1,1,"")</f>
        <v>1</v>
      </c>
      <c r="AG307" s="83" t="str">
        <f>REPLACE(INDEX(GroupVertices[Group],MATCH(Edges[[#This Row],[Vertex 2]],GroupVertices[Vertex],0)),1,1,"")</f>
        <v>1</v>
      </c>
      <c r="AH307" s="111">
        <v>1</v>
      </c>
      <c r="AI307" s="112">
        <v>33.333333333333336</v>
      </c>
      <c r="AJ307" s="111">
        <v>0</v>
      </c>
      <c r="AK307" s="112">
        <v>0</v>
      </c>
      <c r="AL307" s="111">
        <v>0</v>
      </c>
      <c r="AM307" s="112">
        <v>0</v>
      </c>
      <c r="AN307" s="111">
        <v>2</v>
      </c>
      <c r="AO307" s="112">
        <v>66.66666666666667</v>
      </c>
      <c r="AP307" s="111">
        <v>3</v>
      </c>
    </row>
    <row r="308" spans="1:42" ht="15">
      <c r="A308" s="65" t="s">
        <v>544</v>
      </c>
      <c r="B308" s="65" t="s">
        <v>786</v>
      </c>
      <c r="C308" s="66" t="s">
        <v>4509</v>
      </c>
      <c r="D308" s="67">
        <v>3</v>
      </c>
      <c r="E308" s="68"/>
      <c r="F308" s="69">
        <v>40</v>
      </c>
      <c r="G308" s="66"/>
      <c r="H308" s="70"/>
      <c r="I308" s="71"/>
      <c r="J308" s="71"/>
      <c r="K308" s="35" t="s">
        <v>65</v>
      </c>
      <c r="L308" s="79">
        <v>308</v>
      </c>
      <c r="M308" s="79"/>
      <c r="N308" s="73"/>
      <c r="O308" s="81" t="s">
        <v>788</v>
      </c>
      <c r="P308" s="81" t="s">
        <v>325</v>
      </c>
      <c r="Q308" s="84" t="s">
        <v>1096</v>
      </c>
      <c r="R308" s="81" t="s">
        <v>544</v>
      </c>
      <c r="S308" s="81" t="s">
        <v>1612</v>
      </c>
      <c r="T308" s="86" t="str">
        <f>HYPERLINK("http://www.youtube.com/channel/UCNOWV-nhsw_NL_f4OUL_T3A")</f>
        <v>http://www.youtube.com/channel/UCNOWV-nhsw_NL_f4OUL_T3A</v>
      </c>
      <c r="U308" s="81"/>
      <c r="V308" s="81" t="s">
        <v>1885</v>
      </c>
      <c r="W308" s="86" t="str">
        <f>HYPERLINK("https://www.youtube.com/watch?v=wadBvDPeE4E")</f>
        <v>https://www.youtube.com/watch?v=wadBvDPeE4E</v>
      </c>
      <c r="X308" s="81" t="s">
        <v>1886</v>
      </c>
      <c r="Y308" s="81">
        <v>0</v>
      </c>
      <c r="Z308" s="88">
        <v>41379.173946759256</v>
      </c>
      <c r="AA308" s="88">
        <v>41379.173946759256</v>
      </c>
      <c r="AB308" s="81"/>
      <c r="AC308" s="81"/>
      <c r="AD308" s="84" t="s">
        <v>1927</v>
      </c>
      <c r="AE308" s="82">
        <v>1</v>
      </c>
      <c r="AF308" s="83" t="str">
        <f>REPLACE(INDEX(GroupVertices[Group],MATCH(Edges[[#This Row],[Vertex 1]],GroupVertices[Vertex],0)),1,1,"")</f>
        <v>1</v>
      </c>
      <c r="AG308" s="83" t="str">
        <f>REPLACE(INDEX(GroupVertices[Group],MATCH(Edges[[#This Row],[Vertex 2]],GroupVertices[Vertex],0)),1,1,"")</f>
        <v>1</v>
      </c>
      <c r="AH308" s="111">
        <v>0</v>
      </c>
      <c r="AI308" s="112">
        <v>0</v>
      </c>
      <c r="AJ308" s="111">
        <v>0</v>
      </c>
      <c r="AK308" s="112">
        <v>0</v>
      </c>
      <c r="AL308" s="111">
        <v>0</v>
      </c>
      <c r="AM308" s="112">
        <v>0</v>
      </c>
      <c r="AN308" s="111">
        <v>12</v>
      </c>
      <c r="AO308" s="112">
        <v>100</v>
      </c>
      <c r="AP308" s="111">
        <v>12</v>
      </c>
    </row>
    <row r="309" spans="1:42" ht="15">
      <c r="A309" s="65" t="s">
        <v>545</v>
      </c>
      <c r="B309" s="65" t="s">
        <v>786</v>
      </c>
      <c r="C309" s="66" t="s">
        <v>4511</v>
      </c>
      <c r="D309" s="67">
        <v>7.666666666666667</v>
      </c>
      <c r="E309" s="68"/>
      <c r="F309" s="69">
        <v>23.333333333333332</v>
      </c>
      <c r="G309" s="66"/>
      <c r="H309" s="70"/>
      <c r="I309" s="71"/>
      <c r="J309" s="71"/>
      <c r="K309" s="35" t="s">
        <v>65</v>
      </c>
      <c r="L309" s="79">
        <v>309</v>
      </c>
      <c r="M309" s="79"/>
      <c r="N309" s="73"/>
      <c r="O309" s="81" t="s">
        <v>788</v>
      </c>
      <c r="P309" s="81" t="s">
        <v>325</v>
      </c>
      <c r="Q309" s="84" t="s">
        <v>1097</v>
      </c>
      <c r="R309" s="81" t="s">
        <v>545</v>
      </c>
      <c r="S309" s="81" t="s">
        <v>1613</v>
      </c>
      <c r="T309" s="86" t="str">
        <f>HYPERLINK("http://www.youtube.com/channel/UClmlt19LU2JghIvcZ6Wm7MQ")</f>
        <v>http://www.youtube.com/channel/UClmlt19LU2JghIvcZ6Wm7MQ</v>
      </c>
      <c r="U309" s="81"/>
      <c r="V309" s="81" t="s">
        <v>1885</v>
      </c>
      <c r="W309" s="86" t="str">
        <f>HYPERLINK("https://www.youtube.com/watch?v=wadBvDPeE4E")</f>
        <v>https://www.youtube.com/watch?v=wadBvDPeE4E</v>
      </c>
      <c r="X309" s="81" t="s">
        <v>1886</v>
      </c>
      <c r="Y309" s="81">
        <v>0</v>
      </c>
      <c r="Z309" s="88">
        <v>41366.389236111114</v>
      </c>
      <c r="AA309" s="88">
        <v>41366.389236111114</v>
      </c>
      <c r="AB309" s="81"/>
      <c r="AC309" s="81"/>
      <c r="AD309" s="84" t="s">
        <v>1927</v>
      </c>
      <c r="AE309" s="82">
        <v>3</v>
      </c>
      <c r="AF309" s="83" t="str">
        <f>REPLACE(INDEX(GroupVertices[Group],MATCH(Edges[[#This Row],[Vertex 1]],GroupVertices[Vertex],0)),1,1,"")</f>
        <v>1</v>
      </c>
      <c r="AG309" s="83" t="str">
        <f>REPLACE(INDEX(GroupVertices[Group],MATCH(Edges[[#This Row],[Vertex 2]],GroupVertices[Vertex],0)),1,1,"")</f>
        <v>1</v>
      </c>
      <c r="AH309" s="111">
        <v>1</v>
      </c>
      <c r="AI309" s="112">
        <v>7.6923076923076925</v>
      </c>
      <c r="AJ309" s="111">
        <v>0</v>
      </c>
      <c r="AK309" s="112">
        <v>0</v>
      </c>
      <c r="AL309" s="111">
        <v>0</v>
      </c>
      <c r="AM309" s="112">
        <v>0</v>
      </c>
      <c r="AN309" s="111">
        <v>12</v>
      </c>
      <c r="AO309" s="112">
        <v>92.3076923076923</v>
      </c>
      <c r="AP309" s="111">
        <v>13</v>
      </c>
    </row>
    <row r="310" spans="1:42" ht="15">
      <c r="A310" s="65" t="s">
        <v>545</v>
      </c>
      <c r="B310" s="65" t="s">
        <v>786</v>
      </c>
      <c r="C310" s="66" t="s">
        <v>4511</v>
      </c>
      <c r="D310" s="67">
        <v>7.666666666666667</v>
      </c>
      <c r="E310" s="68"/>
      <c r="F310" s="69">
        <v>23.333333333333332</v>
      </c>
      <c r="G310" s="66"/>
      <c r="H310" s="70"/>
      <c r="I310" s="71"/>
      <c r="J310" s="71"/>
      <c r="K310" s="35" t="s">
        <v>65</v>
      </c>
      <c r="L310" s="79">
        <v>310</v>
      </c>
      <c r="M310" s="79"/>
      <c r="N310" s="73"/>
      <c r="O310" s="81" t="s">
        <v>788</v>
      </c>
      <c r="P310" s="81" t="s">
        <v>325</v>
      </c>
      <c r="Q310" s="84" t="s">
        <v>1098</v>
      </c>
      <c r="R310" s="81" t="s">
        <v>545</v>
      </c>
      <c r="S310" s="81" t="s">
        <v>1613</v>
      </c>
      <c r="T310" s="86" t="str">
        <f>HYPERLINK("http://www.youtube.com/channel/UClmlt19LU2JghIvcZ6Wm7MQ")</f>
        <v>http://www.youtube.com/channel/UClmlt19LU2JghIvcZ6Wm7MQ</v>
      </c>
      <c r="U310" s="81"/>
      <c r="V310" s="81" t="s">
        <v>1885</v>
      </c>
      <c r="W310" s="86" t="str">
        <f>HYPERLINK("https://www.youtube.com/watch?v=wadBvDPeE4E")</f>
        <v>https://www.youtube.com/watch?v=wadBvDPeE4E</v>
      </c>
      <c r="X310" s="81" t="s">
        <v>1886</v>
      </c>
      <c r="Y310" s="81">
        <v>0</v>
      </c>
      <c r="Z310" s="88">
        <v>41366.39791666667</v>
      </c>
      <c r="AA310" s="88">
        <v>41366.39791666667</v>
      </c>
      <c r="AB310" s="81"/>
      <c r="AC310" s="81"/>
      <c r="AD310" s="84" t="s">
        <v>1927</v>
      </c>
      <c r="AE310" s="82">
        <v>3</v>
      </c>
      <c r="AF310" s="83" t="str">
        <f>REPLACE(INDEX(GroupVertices[Group],MATCH(Edges[[#This Row],[Vertex 1]],GroupVertices[Vertex],0)),1,1,"")</f>
        <v>1</v>
      </c>
      <c r="AG310" s="83" t="str">
        <f>REPLACE(INDEX(GroupVertices[Group],MATCH(Edges[[#This Row],[Vertex 2]],GroupVertices[Vertex],0)),1,1,"")</f>
        <v>1</v>
      </c>
      <c r="AH310" s="111">
        <v>1</v>
      </c>
      <c r="AI310" s="112">
        <v>1.492537313432836</v>
      </c>
      <c r="AJ310" s="111">
        <v>0</v>
      </c>
      <c r="AK310" s="112">
        <v>0</v>
      </c>
      <c r="AL310" s="111">
        <v>0</v>
      </c>
      <c r="AM310" s="112">
        <v>0</v>
      </c>
      <c r="AN310" s="111">
        <v>66</v>
      </c>
      <c r="AO310" s="112">
        <v>98.50746268656717</v>
      </c>
      <c r="AP310" s="111">
        <v>67</v>
      </c>
    </row>
    <row r="311" spans="1:42" ht="15">
      <c r="A311" s="65" t="s">
        <v>545</v>
      </c>
      <c r="B311" s="65" t="s">
        <v>786</v>
      </c>
      <c r="C311" s="66" t="s">
        <v>4511</v>
      </c>
      <c r="D311" s="67">
        <v>7.666666666666667</v>
      </c>
      <c r="E311" s="68"/>
      <c r="F311" s="69">
        <v>23.333333333333332</v>
      </c>
      <c r="G311" s="66"/>
      <c r="H311" s="70"/>
      <c r="I311" s="71"/>
      <c r="J311" s="71"/>
      <c r="K311" s="35" t="s">
        <v>65</v>
      </c>
      <c r="L311" s="79">
        <v>311</v>
      </c>
      <c r="M311" s="79"/>
      <c r="N311" s="73"/>
      <c r="O311" s="81" t="s">
        <v>788</v>
      </c>
      <c r="P311" s="81" t="s">
        <v>325</v>
      </c>
      <c r="Q311" s="84" t="s">
        <v>1099</v>
      </c>
      <c r="R311" s="81" t="s">
        <v>545</v>
      </c>
      <c r="S311" s="81" t="s">
        <v>1613</v>
      </c>
      <c r="T311" s="86" t="str">
        <f>HYPERLINK("http://www.youtube.com/channel/UClmlt19LU2JghIvcZ6Wm7MQ")</f>
        <v>http://www.youtube.com/channel/UClmlt19LU2JghIvcZ6Wm7MQ</v>
      </c>
      <c r="U311" s="81"/>
      <c r="V311" s="81" t="s">
        <v>1885</v>
      </c>
      <c r="W311" s="86" t="str">
        <f>HYPERLINK("https://www.youtube.com/watch?v=wadBvDPeE4E")</f>
        <v>https://www.youtube.com/watch?v=wadBvDPeE4E</v>
      </c>
      <c r="X311" s="81" t="s">
        <v>1886</v>
      </c>
      <c r="Y311" s="81">
        <v>0</v>
      </c>
      <c r="Z311" s="88">
        <v>41381.65033564815</v>
      </c>
      <c r="AA311" s="88">
        <v>41381.65033564815</v>
      </c>
      <c r="AB311" s="81"/>
      <c r="AC311" s="81"/>
      <c r="AD311" s="84" t="s">
        <v>1927</v>
      </c>
      <c r="AE311" s="82">
        <v>3</v>
      </c>
      <c r="AF311" s="83" t="str">
        <f>REPLACE(INDEX(GroupVertices[Group],MATCH(Edges[[#This Row],[Vertex 1]],GroupVertices[Vertex],0)),1,1,"")</f>
        <v>1</v>
      </c>
      <c r="AG311" s="83" t="str">
        <f>REPLACE(INDEX(GroupVertices[Group],MATCH(Edges[[#This Row],[Vertex 2]],GroupVertices[Vertex],0)),1,1,"")</f>
        <v>1</v>
      </c>
      <c r="AH311" s="111">
        <v>1</v>
      </c>
      <c r="AI311" s="112">
        <v>50</v>
      </c>
      <c r="AJ311" s="111">
        <v>0</v>
      </c>
      <c r="AK311" s="112">
        <v>0</v>
      </c>
      <c r="AL311" s="111">
        <v>0</v>
      </c>
      <c r="AM311" s="112">
        <v>0</v>
      </c>
      <c r="AN311" s="111">
        <v>1</v>
      </c>
      <c r="AO311" s="112">
        <v>50</v>
      </c>
      <c r="AP311" s="111">
        <v>2</v>
      </c>
    </row>
    <row r="312" spans="1:42" ht="15">
      <c r="A312" s="65" t="s">
        <v>546</v>
      </c>
      <c r="B312" s="65" t="s">
        <v>786</v>
      </c>
      <c r="C312" s="66" t="s">
        <v>4512</v>
      </c>
      <c r="D312" s="67">
        <v>10</v>
      </c>
      <c r="E312" s="68"/>
      <c r="F312" s="69">
        <v>15</v>
      </c>
      <c r="G312" s="66"/>
      <c r="H312" s="70"/>
      <c r="I312" s="71"/>
      <c r="J312" s="71"/>
      <c r="K312" s="35" t="s">
        <v>65</v>
      </c>
      <c r="L312" s="79">
        <v>312</v>
      </c>
      <c r="M312" s="79"/>
      <c r="N312" s="73"/>
      <c r="O312" s="81" t="s">
        <v>788</v>
      </c>
      <c r="P312" s="81" t="s">
        <v>325</v>
      </c>
      <c r="Q312" s="84" t="s">
        <v>1100</v>
      </c>
      <c r="R312" s="81" t="s">
        <v>546</v>
      </c>
      <c r="S312" s="81" t="s">
        <v>1614</v>
      </c>
      <c r="T312" s="86" t="str">
        <f>HYPERLINK("http://www.youtube.com/channel/UCu00bjpjrCR_cwq94D1W29g")</f>
        <v>http://www.youtube.com/channel/UCu00bjpjrCR_cwq94D1W29g</v>
      </c>
      <c r="U312" s="81"/>
      <c r="V312" s="81" t="s">
        <v>1885</v>
      </c>
      <c r="W312" s="86" t="str">
        <f>HYPERLINK("https://www.youtube.com/watch?v=wadBvDPeE4E")</f>
        <v>https://www.youtube.com/watch?v=wadBvDPeE4E</v>
      </c>
      <c r="X312" s="81" t="s">
        <v>1886</v>
      </c>
      <c r="Y312" s="81">
        <v>0</v>
      </c>
      <c r="Z312" s="88">
        <v>41380.74120370371</v>
      </c>
      <c r="AA312" s="88">
        <v>41380.74120370371</v>
      </c>
      <c r="AB312" s="81"/>
      <c r="AC312" s="81"/>
      <c r="AD312" s="84" t="s">
        <v>1927</v>
      </c>
      <c r="AE312" s="82">
        <v>4</v>
      </c>
      <c r="AF312" s="83" t="str">
        <f>REPLACE(INDEX(GroupVertices[Group],MATCH(Edges[[#This Row],[Vertex 1]],GroupVertices[Vertex],0)),1,1,"")</f>
        <v>1</v>
      </c>
      <c r="AG312" s="83" t="str">
        <f>REPLACE(INDEX(GroupVertices[Group],MATCH(Edges[[#This Row],[Vertex 2]],GroupVertices[Vertex],0)),1,1,"")</f>
        <v>1</v>
      </c>
      <c r="AH312" s="111">
        <v>0</v>
      </c>
      <c r="AI312" s="112">
        <v>0</v>
      </c>
      <c r="AJ312" s="111">
        <v>0</v>
      </c>
      <c r="AK312" s="112">
        <v>0</v>
      </c>
      <c r="AL312" s="111">
        <v>0</v>
      </c>
      <c r="AM312" s="112">
        <v>0</v>
      </c>
      <c r="AN312" s="111">
        <v>2</v>
      </c>
      <c r="AO312" s="112">
        <v>100</v>
      </c>
      <c r="AP312" s="111">
        <v>2</v>
      </c>
    </row>
    <row r="313" spans="1:42" ht="15">
      <c r="A313" s="65" t="s">
        <v>546</v>
      </c>
      <c r="B313" s="65" t="s">
        <v>786</v>
      </c>
      <c r="C313" s="66" t="s">
        <v>4512</v>
      </c>
      <c r="D313" s="67">
        <v>10</v>
      </c>
      <c r="E313" s="68"/>
      <c r="F313" s="69">
        <v>15</v>
      </c>
      <c r="G313" s="66"/>
      <c r="H313" s="70"/>
      <c r="I313" s="71"/>
      <c r="J313" s="71"/>
      <c r="K313" s="35" t="s">
        <v>65</v>
      </c>
      <c r="L313" s="79">
        <v>313</v>
      </c>
      <c r="M313" s="79"/>
      <c r="N313" s="73"/>
      <c r="O313" s="81" t="s">
        <v>788</v>
      </c>
      <c r="P313" s="81" t="s">
        <v>325</v>
      </c>
      <c r="Q313" s="84" t="s">
        <v>1101</v>
      </c>
      <c r="R313" s="81" t="s">
        <v>546</v>
      </c>
      <c r="S313" s="81" t="s">
        <v>1614</v>
      </c>
      <c r="T313" s="86" t="str">
        <f>HYPERLINK("http://www.youtube.com/channel/UCu00bjpjrCR_cwq94D1W29g")</f>
        <v>http://www.youtube.com/channel/UCu00bjpjrCR_cwq94D1W29g</v>
      </c>
      <c r="U313" s="81"/>
      <c r="V313" s="81" t="s">
        <v>1885</v>
      </c>
      <c r="W313" s="86" t="str">
        <f>HYPERLINK("https://www.youtube.com/watch?v=wadBvDPeE4E")</f>
        <v>https://www.youtube.com/watch?v=wadBvDPeE4E</v>
      </c>
      <c r="X313" s="81" t="s">
        <v>1886</v>
      </c>
      <c r="Y313" s="81">
        <v>0</v>
      </c>
      <c r="Z313" s="88">
        <v>41380.97498842593</v>
      </c>
      <c r="AA313" s="88">
        <v>41380.97498842593</v>
      </c>
      <c r="AB313" s="81"/>
      <c r="AC313" s="81"/>
      <c r="AD313" s="84" t="s">
        <v>1927</v>
      </c>
      <c r="AE313" s="82">
        <v>4</v>
      </c>
      <c r="AF313" s="83" t="str">
        <f>REPLACE(INDEX(GroupVertices[Group],MATCH(Edges[[#This Row],[Vertex 1]],GroupVertices[Vertex],0)),1,1,"")</f>
        <v>1</v>
      </c>
      <c r="AG313" s="83" t="str">
        <f>REPLACE(INDEX(GroupVertices[Group],MATCH(Edges[[#This Row],[Vertex 2]],GroupVertices[Vertex],0)),1,1,"")</f>
        <v>1</v>
      </c>
      <c r="AH313" s="111">
        <v>0</v>
      </c>
      <c r="AI313" s="112">
        <v>0</v>
      </c>
      <c r="AJ313" s="111">
        <v>0</v>
      </c>
      <c r="AK313" s="112">
        <v>0</v>
      </c>
      <c r="AL313" s="111">
        <v>0</v>
      </c>
      <c r="AM313" s="112">
        <v>0</v>
      </c>
      <c r="AN313" s="111">
        <v>18</v>
      </c>
      <c r="AO313" s="112">
        <v>100</v>
      </c>
      <c r="AP313" s="111">
        <v>18</v>
      </c>
    </row>
    <row r="314" spans="1:42" ht="15">
      <c r="A314" s="65" t="s">
        <v>546</v>
      </c>
      <c r="B314" s="65" t="s">
        <v>786</v>
      </c>
      <c r="C314" s="66" t="s">
        <v>4512</v>
      </c>
      <c r="D314" s="67">
        <v>10</v>
      </c>
      <c r="E314" s="68"/>
      <c r="F314" s="69">
        <v>15</v>
      </c>
      <c r="G314" s="66"/>
      <c r="H314" s="70"/>
      <c r="I314" s="71"/>
      <c r="J314" s="71"/>
      <c r="K314" s="35" t="s">
        <v>65</v>
      </c>
      <c r="L314" s="79">
        <v>314</v>
      </c>
      <c r="M314" s="79"/>
      <c r="N314" s="73"/>
      <c r="O314" s="81" t="s">
        <v>788</v>
      </c>
      <c r="P314" s="81" t="s">
        <v>325</v>
      </c>
      <c r="Q314" s="84" t="s">
        <v>1102</v>
      </c>
      <c r="R314" s="81" t="s">
        <v>546</v>
      </c>
      <c r="S314" s="81" t="s">
        <v>1614</v>
      </c>
      <c r="T314" s="86" t="str">
        <f>HYPERLINK("http://www.youtube.com/channel/UCu00bjpjrCR_cwq94D1W29g")</f>
        <v>http://www.youtube.com/channel/UCu00bjpjrCR_cwq94D1W29g</v>
      </c>
      <c r="U314" s="81"/>
      <c r="V314" s="81" t="s">
        <v>1885</v>
      </c>
      <c r="W314" s="86" t="str">
        <f>HYPERLINK("https://www.youtube.com/watch?v=wadBvDPeE4E")</f>
        <v>https://www.youtube.com/watch?v=wadBvDPeE4E</v>
      </c>
      <c r="X314" s="81" t="s">
        <v>1886</v>
      </c>
      <c r="Y314" s="81">
        <v>0</v>
      </c>
      <c r="Z314" s="88">
        <v>41380.975127314814</v>
      </c>
      <c r="AA314" s="88">
        <v>41380.975127314814</v>
      </c>
      <c r="AB314" s="81"/>
      <c r="AC314" s="81"/>
      <c r="AD314" s="84" t="s">
        <v>1927</v>
      </c>
      <c r="AE314" s="82">
        <v>4</v>
      </c>
      <c r="AF314" s="83" t="str">
        <f>REPLACE(INDEX(GroupVertices[Group],MATCH(Edges[[#This Row],[Vertex 1]],GroupVertices[Vertex],0)),1,1,"")</f>
        <v>1</v>
      </c>
      <c r="AG314" s="83" t="str">
        <f>REPLACE(INDEX(GroupVertices[Group],MATCH(Edges[[#This Row],[Vertex 2]],GroupVertices[Vertex],0)),1,1,"")</f>
        <v>1</v>
      </c>
      <c r="AH314" s="111">
        <v>0</v>
      </c>
      <c r="AI314" s="112">
        <v>0</v>
      </c>
      <c r="AJ314" s="111">
        <v>0</v>
      </c>
      <c r="AK314" s="112">
        <v>0</v>
      </c>
      <c r="AL314" s="111">
        <v>0</v>
      </c>
      <c r="AM314" s="112">
        <v>0</v>
      </c>
      <c r="AN314" s="111">
        <v>2</v>
      </c>
      <c r="AO314" s="112">
        <v>100</v>
      </c>
      <c r="AP314" s="111">
        <v>2</v>
      </c>
    </row>
    <row r="315" spans="1:42" ht="15">
      <c r="A315" s="65" t="s">
        <v>546</v>
      </c>
      <c r="B315" s="65" t="s">
        <v>786</v>
      </c>
      <c r="C315" s="66" t="s">
        <v>4512</v>
      </c>
      <c r="D315" s="67">
        <v>10</v>
      </c>
      <c r="E315" s="68"/>
      <c r="F315" s="69">
        <v>15</v>
      </c>
      <c r="G315" s="66"/>
      <c r="H315" s="70"/>
      <c r="I315" s="71"/>
      <c r="J315" s="71"/>
      <c r="K315" s="35" t="s">
        <v>65</v>
      </c>
      <c r="L315" s="79">
        <v>315</v>
      </c>
      <c r="M315" s="79"/>
      <c r="N315" s="73"/>
      <c r="O315" s="81" t="s">
        <v>788</v>
      </c>
      <c r="P315" s="81" t="s">
        <v>325</v>
      </c>
      <c r="Q315" s="84" t="s">
        <v>1103</v>
      </c>
      <c r="R315" s="81" t="s">
        <v>546</v>
      </c>
      <c r="S315" s="81" t="s">
        <v>1614</v>
      </c>
      <c r="T315" s="86" t="str">
        <f>HYPERLINK("http://www.youtube.com/channel/UCu00bjpjrCR_cwq94D1W29g")</f>
        <v>http://www.youtube.com/channel/UCu00bjpjrCR_cwq94D1W29g</v>
      </c>
      <c r="U315" s="81"/>
      <c r="V315" s="81" t="s">
        <v>1885</v>
      </c>
      <c r="W315" s="86" t="str">
        <f>HYPERLINK("https://www.youtube.com/watch?v=wadBvDPeE4E")</f>
        <v>https://www.youtube.com/watch?v=wadBvDPeE4E</v>
      </c>
      <c r="X315" s="81" t="s">
        <v>1886</v>
      </c>
      <c r="Y315" s="81">
        <v>0</v>
      </c>
      <c r="Z315" s="88">
        <v>41381.68445601852</v>
      </c>
      <c r="AA315" s="88">
        <v>41381.68445601852</v>
      </c>
      <c r="AB315" s="81"/>
      <c r="AC315" s="81"/>
      <c r="AD315" s="84" t="s">
        <v>1927</v>
      </c>
      <c r="AE315" s="82">
        <v>4</v>
      </c>
      <c r="AF315" s="83" t="str">
        <f>REPLACE(INDEX(GroupVertices[Group],MATCH(Edges[[#This Row],[Vertex 1]],GroupVertices[Vertex],0)),1,1,"")</f>
        <v>1</v>
      </c>
      <c r="AG315" s="83" t="str">
        <f>REPLACE(INDEX(GroupVertices[Group],MATCH(Edges[[#This Row],[Vertex 2]],GroupVertices[Vertex],0)),1,1,"")</f>
        <v>1</v>
      </c>
      <c r="AH315" s="111">
        <v>0</v>
      </c>
      <c r="AI315" s="112">
        <v>0</v>
      </c>
      <c r="AJ315" s="111">
        <v>0</v>
      </c>
      <c r="AK315" s="112">
        <v>0</v>
      </c>
      <c r="AL315" s="111">
        <v>0</v>
      </c>
      <c r="AM315" s="112">
        <v>0</v>
      </c>
      <c r="AN315" s="111">
        <v>2</v>
      </c>
      <c r="AO315" s="112">
        <v>100</v>
      </c>
      <c r="AP315" s="111">
        <v>2</v>
      </c>
    </row>
    <row r="316" spans="1:42" ht="15">
      <c r="A316" s="65" t="s">
        <v>547</v>
      </c>
      <c r="B316" s="65" t="s">
        <v>786</v>
      </c>
      <c r="C316" s="66" t="s">
        <v>4510</v>
      </c>
      <c r="D316" s="67">
        <v>5.333333333333334</v>
      </c>
      <c r="E316" s="68"/>
      <c r="F316" s="69">
        <v>31.666666666666664</v>
      </c>
      <c r="G316" s="66"/>
      <c r="H316" s="70"/>
      <c r="I316" s="71"/>
      <c r="J316" s="71"/>
      <c r="K316" s="35" t="s">
        <v>65</v>
      </c>
      <c r="L316" s="79">
        <v>316</v>
      </c>
      <c r="M316" s="79"/>
      <c r="N316" s="73"/>
      <c r="O316" s="81" t="s">
        <v>788</v>
      </c>
      <c r="P316" s="81" t="s">
        <v>325</v>
      </c>
      <c r="Q316" s="84" t="s">
        <v>1104</v>
      </c>
      <c r="R316" s="81" t="s">
        <v>547</v>
      </c>
      <c r="S316" s="81" t="s">
        <v>1615</v>
      </c>
      <c r="T316" s="86" t="str">
        <f>HYPERLINK("http://www.youtube.com/channel/UCRyCFsyJJFYINGmWOtI-zaA")</f>
        <v>http://www.youtube.com/channel/UCRyCFsyJJFYINGmWOtI-zaA</v>
      </c>
      <c r="U316" s="81"/>
      <c r="V316" s="81" t="s">
        <v>1885</v>
      </c>
      <c r="W316" s="86" t="str">
        <f>HYPERLINK("https://www.youtube.com/watch?v=wadBvDPeE4E")</f>
        <v>https://www.youtube.com/watch?v=wadBvDPeE4E</v>
      </c>
      <c r="X316" s="81" t="s">
        <v>1886</v>
      </c>
      <c r="Y316" s="81">
        <v>0</v>
      </c>
      <c r="Z316" s="88">
        <v>41386.172326388885</v>
      </c>
      <c r="AA316" s="88">
        <v>41386.172326388885</v>
      </c>
      <c r="AB316" s="81"/>
      <c r="AC316" s="81"/>
      <c r="AD316" s="84" t="s">
        <v>1927</v>
      </c>
      <c r="AE316" s="82">
        <v>2</v>
      </c>
      <c r="AF316" s="83" t="str">
        <f>REPLACE(INDEX(GroupVertices[Group],MATCH(Edges[[#This Row],[Vertex 1]],GroupVertices[Vertex],0)),1,1,"")</f>
        <v>1</v>
      </c>
      <c r="AG316" s="83" t="str">
        <f>REPLACE(INDEX(GroupVertices[Group],MATCH(Edges[[#This Row],[Vertex 2]],GroupVertices[Vertex],0)),1,1,"")</f>
        <v>1</v>
      </c>
      <c r="AH316" s="111">
        <v>0</v>
      </c>
      <c r="AI316" s="112">
        <v>0</v>
      </c>
      <c r="AJ316" s="111">
        <v>0</v>
      </c>
      <c r="AK316" s="112">
        <v>0</v>
      </c>
      <c r="AL316" s="111">
        <v>0</v>
      </c>
      <c r="AM316" s="112">
        <v>0</v>
      </c>
      <c r="AN316" s="111">
        <v>7</v>
      </c>
      <c r="AO316" s="112">
        <v>100</v>
      </c>
      <c r="AP316" s="111">
        <v>7</v>
      </c>
    </row>
    <row r="317" spans="1:42" ht="15">
      <c r="A317" s="65" t="s">
        <v>547</v>
      </c>
      <c r="B317" s="65" t="s">
        <v>786</v>
      </c>
      <c r="C317" s="66" t="s">
        <v>4510</v>
      </c>
      <c r="D317" s="67">
        <v>5.333333333333334</v>
      </c>
      <c r="E317" s="68"/>
      <c r="F317" s="69">
        <v>31.666666666666664</v>
      </c>
      <c r="G317" s="66"/>
      <c r="H317" s="70"/>
      <c r="I317" s="71"/>
      <c r="J317" s="71"/>
      <c r="K317" s="35" t="s">
        <v>65</v>
      </c>
      <c r="L317" s="79">
        <v>317</v>
      </c>
      <c r="M317" s="79"/>
      <c r="N317" s="73"/>
      <c r="O317" s="81" t="s">
        <v>788</v>
      </c>
      <c r="P317" s="81" t="s">
        <v>325</v>
      </c>
      <c r="Q317" s="84" t="s">
        <v>1105</v>
      </c>
      <c r="R317" s="81" t="s">
        <v>547</v>
      </c>
      <c r="S317" s="81" t="s">
        <v>1615</v>
      </c>
      <c r="T317" s="86" t="str">
        <f>HYPERLINK("http://www.youtube.com/channel/UCRyCFsyJJFYINGmWOtI-zaA")</f>
        <v>http://www.youtube.com/channel/UCRyCFsyJJFYINGmWOtI-zaA</v>
      </c>
      <c r="U317" s="81"/>
      <c r="V317" s="81" t="s">
        <v>1885</v>
      </c>
      <c r="W317" s="86" t="str">
        <f>HYPERLINK("https://www.youtube.com/watch?v=wadBvDPeE4E")</f>
        <v>https://www.youtube.com/watch?v=wadBvDPeE4E</v>
      </c>
      <c r="X317" s="81" t="s">
        <v>1886</v>
      </c>
      <c r="Y317" s="81">
        <v>0</v>
      </c>
      <c r="Z317" s="88">
        <v>41386.19744212963</v>
      </c>
      <c r="AA317" s="88">
        <v>41386.19744212963</v>
      </c>
      <c r="AB317" s="81"/>
      <c r="AC317" s="81"/>
      <c r="AD317" s="84" t="s">
        <v>1927</v>
      </c>
      <c r="AE317" s="82">
        <v>2</v>
      </c>
      <c r="AF317" s="83" t="str">
        <f>REPLACE(INDEX(GroupVertices[Group],MATCH(Edges[[#This Row],[Vertex 1]],GroupVertices[Vertex],0)),1,1,"")</f>
        <v>1</v>
      </c>
      <c r="AG317" s="83" t="str">
        <f>REPLACE(INDEX(GroupVertices[Group],MATCH(Edges[[#This Row],[Vertex 2]],GroupVertices[Vertex],0)),1,1,"")</f>
        <v>1</v>
      </c>
      <c r="AH317" s="111">
        <v>0</v>
      </c>
      <c r="AI317" s="112">
        <v>0</v>
      </c>
      <c r="AJ317" s="111">
        <v>2</v>
      </c>
      <c r="AK317" s="112">
        <v>33.333333333333336</v>
      </c>
      <c r="AL317" s="111">
        <v>0</v>
      </c>
      <c r="AM317" s="112">
        <v>0</v>
      </c>
      <c r="AN317" s="111">
        <v>4</v>
      </c>
      <c r="AO317" s="112">
        <v>66.66666666666667</v>
      </c>
      <c r="AP317" s="111">
        <v>6</v>
      </c>
    </row>
    <row r="318" spans="1:42" ht="15">
      <c r="A318" s="65" t="s">
        <v>548</v>
      </c>
      <c r="B318" s="65" t="s">
        <v>786</v>
      </c>
      <c r="C318" s="66" t="s">
        <v>4509</v>
      </c>
      <c r="D318" s="67">
        <v>3</v>
      </c>
      <c r="E318" s="68"/>
      <c r="F318" s="69">
        <v>40</v>
      </c>
      <c r="G318" s="66"/>
      <c r="H318" s="70"/>
      <c r="I318" s="71"/>
      <c r="J318" s="71"/>
      <c r="K318" s="35" t="s">
        <v>65</v>
      </c>
      <c r="L318" s="79">
        <v>318</v>
      </c>
      <c r="M318" s="79"/>
      <c r="N318" s="73"/>
      <c r="O318" s="81" t="s">
        <v>788</v>
      </c>
      <c r="P318" s="81" t="s">
        <v>325</v>
      </c>
      <c r="Q318" s="84" t="s">
        <v>1106</v>
      </c>
      <c r="R318" s="81" t="s">
        <v>548</v>
      </c>
      <c r="S318" s="81" t="s">
        <v>1616</v>
      </c>
      <c r="T318" s="86" t="str">
        <f>HYPERLINK("http://www.youtube.com/channel/UCX3vF4s0kPhSR96X15RZ1jQ")</f>
        <v>http://www.youtube.com/channel/UCX3vF4s0kPhSR96X15RZ1jQ</v>
      </c>
      <c r="U318" s="81"/>
      <c r="V318" s="81" t="s">
        <v>1885</v>
      </c>
      <c r="W318" s="86" t="str">
        <f>HYPERLINK("https://www.youtube.com/watch?v=wadBvDPeE4E")</f>
        <v>https://www.youtube.com/watch?v=wadBvDPeE4E</v>
      </c>
      <c r="X318" s="81" t="s">
        <v>1886</v>
      </c>
      <c r="Y318" s="81">
        <v>0</v>
      </c>
      <c r="Z318" s="88">
        <v>41392.53505787037</v>
      </c>
      <c r="AA318" s="88">
        <v>41392.53505787037</v>
      </c>
      <c r="AB318" s="81"/>
      <c r="AC318" s="81"/>
      <c r="AD318" s="84" t="s">
        <v>1927</v>
      </c>
      <c r="AE318" s="82">
        <v>1</v>
      </c>
      <c r="AF318" s="83" t="str">
        <f>REPLACE(INDEX(GroupVertices[Group],MATCH(Edges[[#This Row],[Vertex 1]],GroupVertices[Vertex],0)),1,1,"")</f>
        <v>1</v>
      </c>
      <c r="AG318" s="83" t="str">
        <f>REPLACE(INDEX(GroupVertices[Group],MATCH(Edges[[#This Row],[Vertex 2]],GroupVertices[Vertex],0)),1,1,"")</f>
        <v>1</v>
      </c>
      <c r="AH318" s="111">
        <v>0</v>
      </c>
      <c r="AI318" s="112">
        <v>0</v>
      </c>
      <c r="AJ318" s="111">
        <v>0</v>
      </c>
      <c r="AK318" s="112">
        <v>0</v>
      </c>
      <c r="AL318" s="111">
        <v>0</v>
      </c>
      <c r="AM318" s="112">
        <v>0</v>
      </c>
      <c r="AN318" s="111">
        <v>5</v>
      </c>
      <c r="AO318" s="112">
        <v>100</v>
      </c>
      <c r="AP318" s="111">
        <v>5</v>
      </c>
    </row>
    <row r="319" spans="1:42" ht="15">
      <c r="A319" s="65" t="s">
        <v>549</v>
      </c>
      <c r="B319" s="65" t="s">
        <v>786</v>
      </c>
      <c r="C319" s="66" t="s">
        <v>4509</v>
      </c>
      <c r="D319" s="67">
        <v>3</v>
      </c>
      <c r="E319" s="68"/>
      <c r="F319" s="69">
        <v>40</v>
      </c>
      <c r="G319" s="66"/>
      <c r="H319" s="70"/>
      <c r="I319" s="71"/>
      <c r="J319" s="71"/>
      <c r="K319" s="35" t="s">
        <v>65</v>
      </c>
      <c r="L319" s="79">
        <v>319</v>
      </c>
      <c r="M319" s="79"/>
      <c r="N319" s="73"/>
      <c r="O319" s="81" t="s">
        <v>788</v>
      </c>
      <c r="P319" s="81" t="s">
        <v>325</v>
      </c>
      <c r="Q319" s="84" t="s">
        <v>1107</v>
      </c>
      <c r="R319" s="81" t="s">
        <v>549</v>
      </c>
      <c r="S319" s="81" t="s">
        <v>1617</v>
      </c>
      <c r="T319" s="86" t="str">
        <f>HYPERLINK("http://www.youtube.com/channel/UCS76vNfoKFZak3nSrJYcKmg")</f>
        <v>http://www.youtube.com/channel/UCS76vNfoKFZak3nSrJYcKmg</v>
      </c>
      <c r="U319" s="81"/>
      <c r="V319" s="81" t="s">
        <v>1885</v>
      </c>
      <c r="W319" s="86" t="str">
        <f>HYPERLINK("https://www.youtube.com/watch?v=wadBvDPeE4E")</f>
        <v>https://www.youtube.com/watch?v=wadBvDPeE4E</v>
      </c>
      <c r="X319" s="81" t="s">
        <v>1886</v>
      </c>
      <c r="Y319" s="81">
        <v>0</v>
      </c>
      <c r="Z319" s="88">
        <v>41393.82579861111</v>
      </c>
      <c r="AA319" s="88">
        <v>41393.82579861111</v>
      </c>
      <c r="AB319" s="81"/>
      <c r="AC319" s="81"/>
      <c r="AD319" s="84" t="s">
        <v>1927</v>
      </c>
      <c r="AE319" s="82">
        <v>1</v>
      </c>
      <c r="AF319" s="83" t="str">
        <f>REPLACE(INDEX(GroupVertices[Group],MATCH(Edges[[#This Row],[Vertex 1]],GroupVertices[Vertex],0)),1,1,"")</f>
        <v>1</v>
      </c>
      <c r="AG319" s="83" t="str">
        <f>REPLACE(INDEX(GroupVertices[Group],MATCH(Edges[[#This Row],[Vertex 2]],GroupVertices[Vertex],0)),1,1,"")</f>
        <v>1</v>
      </c>
      <c r="AH319" s="111">
        <v>0</v>
      </c>
      <c r="AI319" s="112">
        <v>0</v>
      </c>
      <c r="AJ319" s="111">
        <v>1</v>
      </c>
      <c r="AK319" s="112">
        <v>20</v>
      </c>
      <c r="AL319" s="111">
        <v>0</v>
      </c>
      <c r="AM319" s="112">
        <v>0</v>
      </c>
      <c r="AN319" s="111">
        <v>4</v>
      </c>
      <c r="AO319" s="112">
        <v>80</v>
      </c>
      <c r="AP319" s="111">
        <v>5</v>
      </c>
    </row>
    <row r="320" spans="1:42" ht="15">
      <c r="A320" s="65" t="s">
        <v>550</v>
      </c>
      <c r="B320" s="65" t="s">
        <v>786</v>
      </c>
      <c r="C320" s="66" t="s">
        <v>4509</v>
      </c>
      <c r="D320" s="67">
        <v>3</v>
      </c>
      <c r="E320" s="68"/>
      <c r="F320" s="69">
        <v>40</v>
      </c>
      <c r="G320" s="66"/>
      <c r="H320" s="70"/>
      <c r="I320" s="71"/>
      <c r="J320" s="71"/>
      <c r="K320" s="35" t="s">
        <v>65</v>
      </c>
      <c r="L320" s="79">
        <v>320</v>
      </c>
      <c r="M320" s="79"/>
      <c r="N320" s="73"/>
      <c r="O320" s="81" t="s">
        <v>788</v>
      </c>
      <c r="P320" s="81" t="s">
        <v>325</v>
      </c>
      <c r="Q320" s="84" t="s">
        <v>1108</v>
      </c>
      <c r="R320" s="81" t="s">
        <v>550</v>
      </c>
      <c r="S320" s="81" t="s">
        <v>1618</v>
      </c>
      <c r="T320" s="86" t="str">
        <f>HYPERLINK("http://www.youtube.com/channel/UCcDA0AAZX_0dgrNgfnKKesw")</f>
        <v>http://www.youtube.com/channel/UCcDA0AAZX_0dgrNgfnKKesw</v>
      </c>
      <c r="U320" s="81"/>
      <c r="V320" s="81" t="s">
        <v>1885</v>
      </c>
      <c r="W320" s="86" t="str">
        <f>HYPERLINK("https://www.youtube.com/watch?v=wadBvDPeE4E")</f>
        <v>https://www.youtube.com/watch?v=wadBvDPeE4E</v>
      </c>
      <c r="X320" s="81" t="s">
        <v>1886</v>
      </c>
      <c r="Y320" s="81">
        <v>0</v>
      </c>
      <c r="Z320" s="88">
        <v>41403.04765046296</v>
      </c>
      <c r="AA320" s="88">
        <v>41403.04765046296</v>
      </c>
      <c r="AB320" s="81"/>
      <c r="AC320" s="81"/>
      <c r="AD320" s="84" t="s">
        <v>1927</v>
      </c>
      <c r="AE320" s="82">
        <v>1</v>
      </c>
      <c r="AF320" s="83" t="str">
        <f>REPLACE(INDEX(GroupVertices[Group],MATCH(Edges[[#This Row],[Vertex 1]],GroupVertices[Vertex],0)),1,1,"")</f>
        <v>1</v>
      </c>
      <c r="AG320" s="83" t="str">
        <f>REPLACE(INDEX(GroupVertices[Group],MATCH(Edges[[#This Row],[Vertex 2]],GroupVertices[Vertex],0)),1,1,"")</f>
        <v>1</v>
      </c>
      <c r="AH320" s="111">
        <v>0</v>
      </c>
      <c r="AI320" s="112">
        <v>0</v>
      </c>
      <c r="AJ320" s="111">
        <v>1</v>
      </c>
      <c r="AK320" s="112">
        <v>10</v>
      </c>
      <c r="AL320" s="111">
        <v>0</v>
      </c>
      <c r="AM320" s="112">
        <v>0</v>
      </c>
      <c r="AN320" s="111">
        <v>9</v>
      </c>
      <c r="AO320" s="112">
        <v>90</v>
      </c>
      <c r="AP320" s="111">
        <v>10</v>
      </c>
    </row>
    <row r="321" spans="1:42" ht="15">
      <c r="A321" s="65" t="s">
        <v>551</v>
      </c>
      <c r="B321" s="65" t="s">
        <v>786</v>
      </c>
      <c r="C321" s="66" t="s">
        <v>4510</v>
      </c>
      <c r="D321" s="67">
        <v>5.333333333333334</v>
      </c>
      <c r="E321" s="68"/>
      <c r="F321" s="69">
        <v>31.666666666666664</v>
      </c>
      <c r="G321" s="66"/>
      <c r="H321" s="70"/>
      <c r="I321" s="71"/>
      <c r="J321" s="71"/>
      <c r="K321" s="35" t="s">
        <v>65</v>
      </c>
      <c r="L321" s="79">
        <v>321</v>
      </c>
      <c r="M321" s="79"/>
      <c r="N321" s="73"/>
      <c r="O321" s="81" t="s">
        <v>788</v>
      </c>
      <c r="P321" s="81" t="s">
        <v>325</v>
      </c>
      <c r="Q321" s="84" t="s">
        <v>1109</v>
      </c>
      <c r="R321" s="81" t="s">
        <v>551</v>
      </c>
      <c r="S321" s="81" t="s">
        <v>1619</v>
      </c>
      <c r="T321" s="86" t="str">
        <f>HYPERLINK("http://www.youtube.com/channel/UCDYg3x4fzxqFJqN5L4eXOmA")</f>
        <v>http://www.youtube.com/channel/UCDYg3x4fzxqFJqN5L4eXOmA</v>
      </c>
      <c r="U321" s="81"/>
      <c r="V321" s="81" t="s">
        <v>1885</v>
      </c>
      <c r="W321" s="86" t="str">
        <f>HYPERLINK("https://www.youtube.com/watch?v=wadBvDPeE4E")</f>
        <v>https://www.youtube.com/watch?v=wadBvDPeE4E</v>
      </c>
      <c r="X321" s="81" t="s">
        <v>1886</v>
      </c>
      <c r="Y321" s="81">
        <v>0</v>
      </c>
      <c r="Z321" s="88">
        <v>41392.56966435185</v>
      </c>
      <c r="AA321" s="88">
        <v>41392.56966435185</v>
      </c>
      <c r="AB321" s="81"/>
      <c r="AC321" s="81"/>
      <c r="AD321" s="84" t="s">
        <v>1927</v>
      </c>
      <c r="AE321" s="82">
        <v>2</v>
      </c>
      <c r="AF321" s="83" t="str">
        <f>REPLACE(INDEX(GroupVertices[Group],MATCH(Edges[[#This Row],[Vertex 1]],GroupVertices[Vertex],0)),1,1,"")</f>
        <v>1</v>
      </c>
      <c r="AG321" s="83" t="str">
        <f>REPLACE(INDEX(GroupVertices[Group],MATCH(Edges[[#This Row],[Vertex 2]],GroupVertices[Vertex],0)),1,1,"")</f>
        <v>1</v>
      </c>
      <c r="AH321" s="111">
        <v>1</v>
      </c>
      <c r="AI321" s="112">
        <v>1.1363636363636365</v>
      </c>
      <c r="AJ321" s="111">
        <v>9</v>
      </c>
      <c r="AK321" s="112">
        <v>10.227272727272727</v>
      </c>
      <c r="AL321" s="111">
        <v>0</v>
      </c>
      <c r="AM321" s="112">
        <v>0</v>
      </c>
      <c r="AN321" s="111">
        <v>78</v>
      </c>
      <c r="AO321" s="112">
        <v>88.63636363636364</v>
      </c>
      <c r="AP321" s="111">
        <v>88</v>
      </c>
    </row>
    <row r="322" spans="1:42" ht="15">
      <c r="A322" s="65" t="s">
        <v>551</v>
      </c>
      <c r="B322" s="65" t="s">
        <v>786</v>
      </c>
      <c r="C322" s="66" t="s">
        <v>4510</v>
      </c>
      <c r="D322" s="67">
        <v>5.333333333333334</v>
      </c>
      <c r="E322" s="68"/>
      <c r="F322" s="69">
        <v>31.666666666666664</v>
      </c>
      <c r="G322" s="66"/>
      <c r="H322" s="70"/>
      <c r="I322" s="71"/>
      <c r="J322" s="71"/>
      <c r="K322" s="35" t="s">
        <v>65</v>
      </c>
      <c r="L322" s="79">
        <v>322</v>
      </c>
      <c r="M322" s="79"/>
      <c r="N322" s="73"/>
      <c r="O322" s="81" t="s">
        <v>788</v>
      </c>
      <c r="P322" s="81" t="s">
        <v>325</v>
      </c>
      <c r="Q322" s="84" t="s">
        <v>1110</v>
      </c>
      <c r="R322" s="81" t="s">
        <v>551</v>
      </c>
      <c r="S322" s="81" t="s">
        <v>1619</v>
      </c>
      <c r="T322" s="86" t="str">
        <f>HYPERLINK("http://www.youtube.com/channel/UCDYg3x4fzxqFJqN5L4eXOmA")</f>
        <v>http://www.youtube.com/channel/UCDYg3x4fzxqFJqN5L4eXOmA</v>
      </c>
      <c r="U322" s="81"/>
      <c r="V322" s="81" t="s">
        <v>1885</v>
      </c>
      <c r="W322" s="86" t="str">
        <f>HYPERLINK("https://www.youtube.com/watch?v=wadBvDPeE4E")</f>
        <v>https://www.youtube.com/watch?v=wadBvDPeE4E</v>
      </c>
      <c r="X322" s="81" t="s">
        <v>1886</v>
      </c>
      <c r="Y322" s="81">
        <v>0</v>
      </c>
      <c r="Z322" s="88">
        <v>41409.21864583333</v>
      </c>
      <c r="AA322" s="88">
        <v>41409.21864583333</v>
      </c>
      <c r="AB322" s="81"/>
      <c r="AC322" s="81"/>
      <c r="AD322" s="84" t="s">
        <v>1927</v>
      </c>
      <c r="AE322" s="82">
        <v>2</v>
      </c>
      <c r="AF322" s="83" t="str">
        <f>REPLACE(INDEX(GroupVertices[Group],MATCH(Edges[[#This Row],[Vertex 1]],GroupVertices[Vertex],0)),1,1,"")</f>
        <v>1</v>
      </c>
      <c r="AG322" s="83" t="str">
        <f>REPLACE(INDEX(GroupVertices[Group],MATCH(Edges[[#This Row],[Vertex 2]],GroupVertices[Vertex],0)),1,1,"")</f>
        <v>1</v>
      </c>
      <c r="AH322" s="111">
        <v>0</v>
      </c>
      <c r="AI322" s="112">
        <v>0</v>
      </c>
      <c r="AJ322" s="111">
        <v>1</v>
      </c>
      <c r="AK322" s="112">
        <v>6.25</v>
      </c>
      <c r="AL322" s="111">
        <v>0</v>
      </c>
      <c r="AM322" s="112">
        <v>0</v>
      </c>
      <c r="AN322" s="111">
        <v>15</v>
      </c>
      <c r="AO322" s="112">
        <v>93.75</v>
      </c>
      <c r="AP322" s="111">
        <v>16</v>
      </c>
    </row>
    <row r="323" spans="1:42" ht="15">
      <c r="A323" s="65" t="s">
        <v>552</v>
      </c>
      <c r="B323" s="65" t="s">
        <v>786</v>
      </c>
      <c r="C323" s="66" t="s">
        <v>4509</v>
      </c>
      <c r="D323" s="67">
        <v>3</v>
      </c>
      <c r="E323" s="68"/>
      <c r="F323" s="69">
        <v>40</v>
      </c>
      <c r="G323" s="66"/>
      <c r="H323" s="70"/>
      <c r="I323" s="71"/>
      <c r="J323" s="71"/>
      <c r="K323" s="35" t="s">
        <v>65</v>
      </c>
      <c r="L323" s="79">
        <v>323</v>
      </c>
      <c r="M323" s="79"/>
      <c r="N323" s="73"/>
      <c r="O323" s="81" t="s">
        <v>788</v>
      </c>
      <c r="P323" s="81" t="s">
        <v>325</v>
      </c>
      <c r="Q323" s="84" t="s">
        <v>1111</v>
      </c>
      <c r="R323" s="81" t="s">
        <v>552</v>
      </c>
      <c r="S323" s="81" t="s">
        <v>1620</v>
      </c>
      <c r="T323" s="86" t="str">
        <f>HYPERLINK("http://www.youtube.com/channel/UCwPFhJhtg8d2QonvELrITtQ")</f>
        <v>http://www.youtube.com/channel/UCwPFhJhtg8d2QonvELrITtQ</v>
      </c>
      <c r="U323" s="81"/>
      <c r="V323" s="81" t="s">
        <v>1885</v>
      </c>
      <c r="W323" s="86" t="str">
        <f>HYPERLINK("https://www.youtube.com/watch?v=wadBvDPeE4E")</f>
        <v>https://www.youtube.com/watch?v=wadBvDPeE4E</v>
      </c>
      <c r="X323" s="81" t="s">
        <v>1886</v>
      </c>
      <c r="Y323" s="81">
        <v>0</v>
      </c>
      <c r="Z323" s="88">
        <v>41413.77340277778</v>
      </c>
      <c r="AA323" s="88">
        <v>41413.77340277778</v>
      </c>
      <c r="AB323" s="81"/>
      <c r="AC323" s="81"/>
      <c r="AD323" s="84" t="s">
        <v>1927</v>
      </c>
      <c r="AE323" s="82">
        <v>1</v>
      </c>
      <c r="AF323" s="83" t="str">
        <f>REPLACE(INDEX(GroupVertices[Group],MATCH(Edges[[#This Row],[Vertex 1]],GroupVertices[Vertex],0)),1,1,"")</f>
        <v>1</v>
      </c>
      <c r="AG323" s="83" t="str">
        <f>REPLACE(INDEX(GroupVertices[Group],MATCH(Edges[[#This Row],[Vertex 2]],GroupVertices[Vertex],0)),1,1,"")</f>
        <v>1</v>
      </c>
      <c r="AH323" s="111">
        <v>3</v>
      </c>
      <c r="AI323" s="112">
        <v>2.803738317757009</v>
      </c>
      <c r="AJ323" s="111">
        <v>0</v>
      </c>
      <c r="AK323" s="112">
        <v>0</v>
      </c>
      <c r="AL323" s="111">
        <v>0</v>
      </c>
      <c r="AM323" s="112">
        <v>0</v>
      </c>
      <c r="AN323" s="111">
        <v>104</v>
      </c>
      <c r="AO323" s="112">
        <v>97.19626168224299</v>
      </c>
      <c r="AP323" s="111">
        <v>107</v>
      </c>
    </row>
    <row r="324" spans="1:42" ht="15">
      <c r="A324" s="65" t="s">
        <v>553</v>
      </c>
      <c r="B324" s="65" t="s">
        <v>786</v>
      </c>
      <c r="C324" s="66" t="s">
        <v>4509</v>
      </c>
      <c r="D324" s="67">
        <v>3</v>
      </c>
      <c r="E324" s="68"/>
      <c r="F324" s="69">
        <v>40</v>
      </c>
      <c r="G324" s="66"/>
      <c r="H324" s="70"/>
      <c r="I324" s="71"/>
      <c r="J324" s="71"/>
      <c r="K324" s="35" t="s">
        <v>65</v>
      </c>
      <c r="L324" s="79">
        <v>324</v>
      </c>
      <c r="M324" s="79"/>
      <c r="N324" s="73"/>
      <c r="O324" s="81" t="s">
        <v>788</v>
      </c>
      <c r="P324" s="81" t="s">
        <v>325</v>
      </c>
      <c r="Q324" s="84" t="s">
        <v>1112</v>
      </c>
      <c r="R324" s="81" t="s">
        <v>553</v>
      </c>
      <c r="S324" s="81" t="s">
        <v>1621</v>
      </c>
      <c r="T324" s="86" t="str">
        <f>HYPERLINK("http://www.youtube.com/channel/UCIhXxHMFJ-jBquiJwCM0Sdg")</f>
        <v>http://www.youtube.com/channel/UCIhXxHMFJ-jBquiJwCM0Sdg</v>
      </c>
      <c r="U324" s="81"/>
      <c r="V324" s="81" t="s">
        <v>1885</v>
      </c>
      <c r="W324" s="86" t="str">
        <f>HYPERLINK("https://www.youtube.com/watch?v=wadBvDPeE4E")</f>
        <v>https://www.youtube.com/watch?v=wadBvDPeE4E</v>
      </c>
      <c r="X324" s="81" t="s">
        <v>1886</v>
      </c>
      <c r="Y324" s="81">
        <v>0</v>
      </c>
      <c r="Z324" s="88">
        <v>41419.48637731482</v>
      </c>
      <c r="AA324" s="88">
        <v>41419.48637731482</v>
      </c>
      <c r="AB324" s="81"/>
      <c r="AC324" s="81"/>
      <c r="AD324" s="84" t="s">
        <v>1927</v>
      </c>
      <c r="AE324" s="82">
        <v>1</v>
      </c>
      <c r="AF324" s="83" t="str">
        <f>REPLACE(INDEX(GroupVertices[Group],MATCH(Edges[[#This Row],[Vertex 1]],GroupVertices[Vertex],0)),1,1,"")</f>
        <v>1</v>
      </c>
      <c r="AG324" s="83" t="str">
        <f>REPLACE(INDEX(GroupVertices[Group],MATCH(Edges[[#This Row],[Vertex 2]],GroupVertices[Vertex],0)),1,1,"")</f>
        <v>1</v>
      </c>
      <c r="AH324" s="111">
        <v>0</v>
      </c>
      <c r="AI324" s="112">
        <v>0</v>
      </c>
      <c r="AJ324" s="111">
        <v>0</v>
      </c>
      <c r="AK324" s="112">
        <v>0</v>
      </c>
      <c r="AL324" s="111">
        <v>0</v>
      </c>
      <c r="AM324" s="112">
        <v>0</v>
      </c>
      <c r="AN324" s="111">
        <v>26</v>
      </c>
      <c r="AO324" s="112">
        <v>100</v>
      </c>
      <c r="AP324" s="111">
        <v>26</v>
      </c>
    </row>
    <row r="325" spans="1:42" ht="15">
      <c r="A325" s="65" t="s">
        <v>554</v>
      </c>
      <c r="B325" s="65" t="s">
        <v>786</v>
      </c>
      <c r="C325" s="66" t="s">
        <v>4509</v>
      </c>
      <c r="D325" s="67">
        <v>3</v>
      </c>
      <c r="E325" s="68"/>
      <c r="F325" s="69">
        <v>40</v>
      </c>
      <c r="G325" s="66"/>
      <c r="H325" s="70"/>
      <c r="I325" s="71"/>
      <c r="J325" s="71"/>
      <c r="K325" s="35" t="s">
        <v>65</v>
      </c>
      <c r="L325" s="79">
        <v>325</v>
      </c>
      <c r="M325" s="79"/>
      <c r="N325" s="73"/>
      <c r="O325" s="81" t="s">
        <v>788</v>
      </c>
      <c r="P325" s="81" t="s">
        <v>325</v>
      </c>
      <c r="Q325" s="84" t="s">
        <v>1113</v>
      </c>
      <c r="R325" s="81" t="s">
        <v>554</v>
      </c>
      <c r="S325" s="81" t="s">
        <v>1622</v>
      </c>
      <c r="T325" s="86" t="str">
        <f>HYPERLINK("http://www.youtube.com/channel/UC04TdeE31TVNfyz4csU8K9Q")</f>
        <v>http://www.youtube.com/channel/UC04TdeE31TVNfyz4csU8K9Q</v>
      </c>
      <c r="U325" s="81"/>
      <c r="V325" s="81" t="s">
        <v>1885</v>
      </c>
      <c r="W325" s="86" t="str">
        <f>HYPERLINK("https://www.youtube.com/watch?v=wadBvDPeE4E")</f>
        <v>https://www.youtube.com/watch?v=wadBvDPeE4E</v>
      </c>
      <c r="X325" s="81" t="s">
        <v>1886</v>
      </c>
      <c r="Y325" s="81">
        <v>0</v>
      </c>
      <c r="Z325" s="88">
        <v>41419.72319444444</v>
      </c>
      <c r="AA325" s="88">
        <v>41419.72319444444</v>
      </c>
      <c r="AB325" s="81"/>
      <c r="AC325" s="81"/>
      <c r="AD325" s="84" t="s">
        <v>1927</v>
      </c>
      <c r="AE325" s="82">
        <v>1</v>
      </c>
      <c r="AF325" s="83" t="str">
        <f>REPLACE(INDEX(GroupVertices[Group],MATCH(Edges[[#This Row],[Vertex 1]],GroupVertices[Vertex],0)),1,1,"")</f>
        <v>1</v>
      </c>
      <c r="AG325" s="83" t="str">
        <f>REPLACE(INDEX(GroupVertices[Group],MATCH(Edges[[#This Row],[Vertex 2]],GroupVertices[Vertex],0)),1,1,"")</f>
        <v>1</v>
      </c>
      <c r="AH325" s="111">
        <v>1</v>
      </c>
      <c r="AI325" s="112">
        <v>1.1235955056179776</v>
      </c>
      <c r="AJ325" s="111">
        <v>6</v>
      </c>
      <c r="AK325" s="112">
        <v>6.741573033707865</v>
      </c>
      <c r="AL325" s="111">
        <v>0</v>
      </c>
      <c r="AM325" s="112">
        <v>0</v>
      </c>
      <c r="AN325" s="111">
        <v>82</v>
      </c>
      <c r="AO325" s="112">
        <v>92.13483146067416</v>
      </c>
      <c r="AP325" s="111">
        <v>89</v>
      </c>
    </row>
    <row r="326" spans="1:42" ht="15">
      <c r="A326" s="65" t="s">
        <v>555</v>
      </c>
      <c r="B326" s="65" t="s">
        <v>786</v>
      </c>
      <c r="C326" s="66" t="s">
        <v>4509</v>
      </c>
      <c r="D326" s="67">
        <v>3</v>
      </c>
      <c r="E326" s="68"/>
      <c r="F326" s="69">
        <v>40</v>
      </c>
      <c r="G326" s="66"/>
      <c r="H326" s="70"/>
      <c r="I326" s="71"/>
      <c r="J326" s="71"/>
      <c r="K326" s="35" t="s">
        <v>65</v>
      </c>
      <c r="L326" s="79">
        <v>326</v>
      </c>
      <c r="M326" s="79"/>
      <c r="N326" s="73"/>
      <c r="O326" s="81" t="s">
        <v>788</v>
      </c>
      <c r="P326" s="81" t="s">
        <v>325</v>
      </c>
      <c r="Q326" s="84" t="s">
        <v>1114</v>
      </c>
      <c r="R326" s="81" t="s">
        <v>555</v>
      </c>
      <c r="S326" s="81" t="s">
        <v>1623</v>
      </c>
      <c r="T326" s="86" t="str">
        <f>HYPERLINK("http://www.youtube.com/channel/UCExPNBJx6p4nH4lGxRZty0w")</f>
        <v>http://www.youtube.com/channel/UCExPNBJx6p4nH4lGxRZty0w</v>
      </c>
      <c r="U326" s="81"/>
      <c r="V326" s="81" t="s">
        <v>1885</v>
      </c>
      <c r="W326" s="86" t="str">
        <f>HYPERLINK("https://www.youtube.com/watch?v=wadBvDPeE4E")</f>
        <v>https://www.youtube.com/watch?v=wadBvDPeE4E</v>
      </c>
      <c r="X326" s="81" t="s">
        <v>1886</v>
      </c>
      <c r="Y326" s="81">
        <v>0</v>
      </c>
      <c r="Z326" s="88">
        <v>41425.81112268518</v>
      </c>
      <c r="AA326" s="88">
        <v>41425.81112268518</v>
      </c>
      <c r="AB326" s="81"/>
      <c r="AC326" s="81"/>
      <c r="AD326" s="84" t="s">
        <v>1927</v>
      </c>
      <c r="AE326" s="82">
        <v>1</v>
      </c>
      <c r="AF326" s="83" t="str">
        <f>REPLACE(INDEX(GroupVertices[Group],MATCH(Edges[[#This Row],[Vertex 1]],GroupVertices[Vertex],0)),1,1,"")</f>
        <v>1</v>
      </c>
      <c r="AG326" s="83" t="str">
        <f>REPLACE(INDEX(GroupVertices[Group],MATCH(Edges[[#This Row],[Vertex 2]],GroupVertices[Vertex],0)),1,1,"")</f>
        <v>1</v>
      </c>
      <c r="AH326" s="111">
        <v>0</v>
      </c>
      <c r="AI326" s="112">
        <v>0</v>
      </c>
      <c r="AJ326" s="111">
        <v>1</v>
      </c>
      <c r="AK326" s="112">
        <v>7.6923076923076925</v>
      </c>
      <c r="AL326" s="111">
        <v>0</v>
      </c>
      <c r="AM326" s="112">
        <v>0</v>
      </c>
      <c r="AN326" s="111">
        <v>12</v>
      </c>
      <c r="AO326" s="112">
        <v>92.3076923076923</v>
      </c>
      <c r="AP326" s="111">
        <v>13</v>
      </c>
    </row>
    <row r="327" spans="1:42" ht="15">
      <c r="A327" s="65" t="s">
        <v>556</v>
      </c>
      <c r="B327" s="65" t="s">
        <v>786</v>
      </c>
      <c r="C327" s="66" t="s">
        <v>4509</v>
      </c>
      <c r="D327" s="67">
        <v>3</v>
      </c>
      <c r="E327" s="68"/>
      <c r="F327" s="69">
        <v>40</v>
      </c>
      <c r="G327" s="66"/>
      <c r="H327" s="70"/>
      <c r="I327" s="71"/>
      <c r="J327" s="71"/>
      <c r="K327" s="35" t="s">
        <v>65</v>
      </c>
      <c r="L327" s="79">
        <v>327</v>
      </c>
      <c r="M327" s="79"/>
      <c r="N327" s="73"/>
      <c r="O327" s="81" t="s">
        <v>788</v>
      </c>
      <c r="P327" s="81" t="s">
        <v>325</v>
      </c>
      <c r="Q327" s="84" t="s">
        <v>1115</v>
      </c>
      <c r="R327" s="81" t="s">
        <v>556</v>
      </c>
      <c r="S327" s="81" t="s">
        <v>1624</v>
      </c>
      <c r="T327" s="86" t="str">
        <f>HYPERLINK("http://www.youtube.com/channel/UCzyWpvd7hlCeT3w3R8FHWIw")</f>
        <v>http://www.youtube.com/channel/UCzyWpvd7hlCeT3w3R8FHWIw</v>
      </c>
      <c r="U327" s="81"/>
      <c r="V327" s="81" t="s">
        <v>1885</v>
      </c>
      <c r="W327" s="86" t="str">
        <f>HYPERLINK("https://www.youtube.com/watch?v=wadBvDPeE4E")</f>
        <v>https://www.youtube.com/watch?v=wadBvDPeE4E</v>
      </c>
      <c r="X327" s="81" t="s">
        <v>1886</v>
      </c>
      <c r="Y327" s="81">
        <v>0</v>
      </c>
      <c r="Z327" s="88">
        <v>41443.17017361111</v>
      </c>
      <c r="AA327" s="88">
        <v>41443.17017361111</v>
      </c>
      <c r="AB327" s="81"/>
      <c r="AC327" s="81"/>
      <c r="AD327" s="84" t="s">
        <v>1927</v>
      </c>
      <c r="AE327" s="82">
        <v>1</v>
      </c>
      <c r="AF327" s="83" t="str">
        <f>REPLACE(INDEX(GroupVertices[Group],MATCH(Edges[[#This Row],[Vertex 1]],GroupVertices[Vertex],0)),1,1,"")</f>
        <v>1</v>
      </c>
      <c r="AG327" s="83" t="str">
        <f>REPLACE(INDEX(GroupVertices[Group],MATCH(Edges[[#This Row],[Vertex 2]],GroupVertices[Vertex],0)),1,1,"")</f>
        <v>1</v>
      </c>
      <c r="AH327" s="111">
        <v>6</v>
      </c>
      <c r="AI327" s="112">
        <v>7.407407407407407</v>
      </c>
      <c r="AJ327" s="111">
        <v>4</v>
      </c>
      <c r="AK327" s="112">
        <v>4.938271604938271</v>
      </c>
      <c r="AL327" s="111">
        <v>0</v>
      </c>
      <c r="AM327" s="112">
        <v>0</v>
      </c>
      <c r="AN327" s="111">
        <v>71</v>
      </c>
      <c r="AO327" s="112">
        <v>87.65432098765432</v>
      </c>
      <c r="AP327" s="111">
        <v>81</v>
      </c>
    </row>
    <row r="328" spans="1:42" ht="15">
      <c r="A328" s="65" t="s">
        <v>557</v>
      </c>
      <c r="B328" s="65" t="s">
        <v>786</v>
      </c>
      <c r="C328" s="66" t="s">
        <v>4509</v>
      </c>
      <c r="D328" s="67">
        <v>3</v>
      </c>
      <c r="E328" s="68"/>
      <c r="F328" s="69">
        <v>40</v>
      </c>
      <c r="G328" s="66"/>
      <c r="H328" s="70"/>
      <c r="I328" s="71"/>
      <c r="J328" s="71"/>
      <c r="K328" s="35" t="s">
        <v>65</v>
      </c>
      <c r="L328" s="79">
        <v>328</v>
      </c>
      <c r="M328" s="79"/>
      <c r="N328" s="73"/>
      <c r="O328" s="81" t="s">
        <v>788</v>
      </c>
      <c r="P328" s="81" t="s">
        <v>325</v>
      </c>
      <c r="Q328" s="84" t="s">
        <v>1116</v>
      </c>
      <c r="R328" s="81" t="s">
        <v>557</v>
      </c>
      <c r="S328" s="81" t="s">
        <v>1625</v>
      </c>
      <c r="T328" s="86" t="str">
        <f>HYPERLINK("http://www.youtube.com/channel/UC6CiLgJWYrnKGh4IQgnw19g")</f>
        <v>http://www.youtube.com/channel/UC6CiLgJWYrnKGh4IQgnw19g</v>
      </c>
      <c r="U328" s="81"/>
      <c r="V328" s="81" t="s">
        <v>1885</v>
      </c>
      <c r="W328" s="86" t="str">
        <f>HYPERLINK("https://www.youtube.com/watch?v=wadBvDPeE4E")</f>
        <v>https://www.youtube.com/watch?v=wadBvDPeE4E</v>
      </c>
      <c r="X328" s="81" t="s">
        <v>1886</v>
      </c>
      <c r="Y328" s="81">
        <v>2</v>
      </c>
      <c r="Z328" s="88">
        <v>41443.76664351852</v>
      </c>
      <c r="AA328" s="88">
        <v>41443.76664351852</v>
      </c>
      <c r="AB328" s="81"/>
      <c r="AC328" s="81"/>
      <c r="AD328" s="84" t="s">
        <v>1927</v>
      </c>
      <c r="AE328" s="82">
        <v>1</v>
      </c>
      <c r="AF328" s="83" t="str">
        <f>REPLACE(INDEX(GroupVertices[Group],MATCH(Edges[[#This Row],[Vertex 1]],GroupVertices[Vertex],0)),1,1,"")</f>
        <v>1</v>
      </c>
      <c r="AG328" s="83" t="str">
        <f>REPLACE(INDEX(GroupVertices[Group],MATCH(Edges[[#This Row],[Vertex 2]],GroupVertices[Vertex],0)),1,1,"")</f>
        <v>1</v>
      </c>
      <c r="AH328" s="111">
        <v>1</v>
      </c>
      <c r="AI328" s="112">
        <v>5.882352941176471</v>
      </c>
      <c r="AJ328" s="111">
        <v>0</v>
      </c>
      <c r="AK328" s="112">
        <v>0</v>
      </c>
      <c r="AL328" s="111">
        <v>0</v>
      </c>
      <c r="AM328" s="112">
        <v>0</v>
      </c>
      <c r="AN328" s="111">
        <v>16</v>
      </c>
      <c r="AO328" s="112">
        <v>94.11764705882354</v>
      </c>
      <c r="AP328" s="111">
        <v>17</v>
      </c>
    </row>
    <row r="329" spans="1:42" ht="15">
      <c r="A329" s="65" t="s">
        <v>558</v>
      </c>
      <c r="B329" s="65" t="s">
        <v>786</v>
      </c>
      <c r="C329" s="66" t="s">
        <v>4509</v>
      </c>
      <c r="D329" s="67">
        <v>3</v>
      </c>
      <c r="E329" s="68"/>
      <c r="F329" s="69">
        <v>40</v>
      </c>
      <c r="G329" s="66"/>
      <c r="H329" s="70"/>
      <c r="I329" s="71"/>
      <c r="J329" s="71"/>
      <c r="K329" s="35" t="s">
        <v>65</v>
      </c>
      <c r="L329" s="79">
        <v>329</v>
      </c>
      <c r="M329" s="79"/>
      <c r="N329" s="73"/>
      <c r="O329" s="81" t="s">
        <v>788</v>
      </c>
      <c r="P329" s="81" t="s">
        <v>325</v>
      </c>
      <c r="Q329" s="84" t="s">
        <v>1117</v>
      </c>
      <c r="R329" s="81" t="s">
        <v>558</v>
      </c>
      <c r="S329" s="81" t="s">
        <v>1626</v>
      </c>
      <c r="T329" s="86" t="str">
        <f>HYPERLINK("http://www.youtube.com/channel/UCHoKbFnmqHhrVIToAB7QBRg")</f>
        <v>http://www.youtube.com/channel/UCHoKbFnmqHhrVIToAB7QBRg</v>
      </c>
      <c r="U329" s="81"/>
      <c r="V329" s="81" t="s">
        <v>1885</v>
      </c>
      <c r="W329" s="86" t="str">
        <f>HYPERLINK("https://www.youtube.com/watch?v=wadBvDPeE4E")</f>
        <v>https://www.youtube.com/watch?v=wadBvDPeE4E</v>
      </c>
      <c r="X329" s="81" t="s">
        <v>1886</v>
      </c>
      <c r="Y329" s="81">
        <v>0</v>
      </c>
      <c r="Z329" s="88">
        <v>41447.01033564815</v>
      </c>
      <c r="AA329" s="88">
        <v>41447.01033564815</v>
      </c>
      <c r="AB329" s="81"/>
      <c r="AC329" s="81"/>
      <c r="AD329" s="84" t="s">
        <v>1927</v>
      </c>
      <c r="AE329" s="82">
        <v>1</v>
      </c>
      <c r="AF329" s="83" t="str">
        <f>REPLACE(INDEX(GroupVertices[Group],MATCH(Edges[[#This Row],[Vertex 1]],GroupVertices[Vertex],0)),1,1,"")</f>
        <v>1</v>
      </c>
      <c r="AG329" s="83" t="str">
        <f>REPLACE(INDEX(GroupVertices[Group],MATCH(Edges[[#This Row],[Vertex 2]],GroupVertices[Vertex],0)),1,1,"")</f>
        <v>1</v>
      </c>
      <c r="AH329" s="111">
        <v>1</v>
      </c>
      <c r="AI329" s="112">
        <v>4</v>
      </c>
      <c r="AJ329" s="111">
        <v>0</v>
      </c>
      <c r="AK329" s="112">
        <v>0</v>
      </c>
      <c r="AL329" s="111">
        <v>0</v>
      </c>
      <c r="AM329" s="112">
        <v>0</v>
      </c>
      <c r="AN329" s="111">
        <v>24</v>
      </c>
      <c r="AO329" s="112">
        <v>96</v>
      </c>
      <c r="AP329" s="111">
        <v>25</v>
      </c>
    </row>
    <row r="330" spans="1:42" ht="15">
      <c r="A330" s="65" t="s">
        <v>559</v>
      </c>
      <c r="B330" s="65" t="s">
        <v>786</v>
      </c>
      <c r="C330" s="66" t="s">
        <v>4509</v>
      </c>
      <c r="D330" s="67">
        <v>3</v>
      </c>
      <c r="E330" s="68"/>
      <c r="F330" s="69">
        <v>40</v>
      </c>
      <c r="G330" s="66"/>
      <c r="H330" s="70"/>
      <c r="I330" s="71"/>
      <c r="J330" s="71"/>
      <c r="K330" s="35" t="s">
        <v>65</v>
      </c>
      <c r="L330" s="79">
        <v>330</v>
      </c>
      <c r="M330" s="79"/>
      <c r="N330" s="73"/>
      <c r="O330" s="81" t="s">
        <v>788</v>
      </c>
      <c r="P330" s="81" t="s">
        <v>325</v>
      </c>
      <c r="Q330" s="84" t="s">
        <v>1118</v>
      </c>
      <c r="R330" s="81" t="s">
        <v>559</v>
      </c>
      <c r="S330" s="81" t="s">
        <v>1627</v>
      </c>
      <c r="T330" s="86" t="str">
        <f>HYPERLINK("http://www.youtube.com/channel/UC3TNTGrI0pBKFG1Wg3jVgaQ")</f>
        <v>http://www.youtube.com/channel/UC3TNTGrI0pBKFG1Wg3jVgaQ</v>
      </c>
      <c r="U330" s="81"/>
      <c r="V330" s="81" t="s">
        <v>1885</v>
      </c>
      <c r="W330" s="86" t="str">
        <f>HYPERLINK("https://www.youtube.com/watch?v=wadBvDPeE4E")</f>
        <v>https://www.youtube.com/watch?v=wadBvDPeE4E</v>
      </c>
      <c r="X330" s="81" t="s">
        <v>1886</v>
      </c>
      <c r="Y330" s="81">
        <v>0</v>
      </c>
      <c r="Z330" s="88">
        <v>41450.33159722222</v>
      </c>
      <c r="AA330" s="88">
        <v>41450.33159722222</v>
      </c>
      <c r="AB330" s="81"/>
      <c r="AC330" s="81"/>
      <c r="AD330" s="84" t="s">
        <v>1927</v>
      </c>
      <c r="AE330" s="82">
        <v>1</v>
      </c>
      <c r="AF330" s="83" t="str">
        <f>REPLACE(INDEX(GroupVertices[Group],MATCH(Edges[[#This Row],[Vertex 1]],GroupVertices[Vertex],0)),1,1,"")</f>
        <v>1</v>
      </c>
      <c r="AG330" s="83" t="str">
        <f>REPLACE(INDEX(GroupVertices[Group],MATCH(Edges[[#This Row],[Vertex 2]],GroupVertices[Vertex],0)),1,1,"")</f>
        <v>1</v>
      </c>
      <c r="AH330" s="111">
        <v>0</v>
      </c>
      <c r="AI330" s="112">
        <v>0</v>
      </c>
      <c r="AJ330" s="111">
        <v>0</v>
      </c>
      <c r="AK330" s="112">
        <v>0</v>
      </c>
      <c r="AL330" s="111">
        <v>0</v>
      </c>
      <c r="AM330" s="112">
        <v>0</v>
      </c>
      <c r="AN330" s="111">
        <v>19</v>
      </c>
      <c r="AO330" s="112">
        <v>100</v>
      </c>
      <c r="AP330" s="111">
        <v>19</v>
      </c>
    </row>
    <row r="331" spans="1:42" ht="15">
      <c r="A331" s="65" t="s">
        <v>560</v>
      </c>
      <c r="B331" s="65" t="s">
        <v>786</v>
      </c>
      <c r="C331" s="66" t="s">
        <v>4510</v>
      </c>
      <c r="D331" s="67">
        <v>5.333333333333334</v>
      </c>
      <c r="E331" s="68"/>
      <c r="F331" s="69">
        <v>31.666666666666664</v>
      </c>
      <c r="G331" s="66"/>
      <c r="H331" s="70"/>
      <c r="I331" s="71"/>
      <c r="J331" s="71"/>
      <c r="K331" s="35" t="s">
        <v>65</v>
      </c>
      <c r="L331" s="79">
        <v>331</v>
      </c>
      <c r="M331" s="79"/>
      <c r="N331" s="73"/>
      <c r="O331" s="81" t="s">
        <v>788</v>
      </c>
      <c r="P331" s="81" t="s">
        <v>325</v>
      </c>
      <c r="Q331" s="84" t="s">
        <v>1119</v>
      </c>
      <c r="R331" s="81" t="s">
        <v>560</v>
      </c>
      <c r="S331" s="81" t="s">
        <v>1628</v>
      </c>
      <c r="T331" s="86" t="str">
        <f>HYPERLINK("http://www.youtube.com/channel/UCeYXFIY3f424KXx5J_OszkQ")</f>
        <v>http://www.youtube.com/channel/UCeYXFIY3f424KXx5J_OszkQ</v>
      </c>
      <c r="U331" s="81"/>
      <c r="V331" s="81" t="s">
        <v>1885</v>
      </c>
      <c r="W331" s="86" t="str">
        <f>HYPERLINK("https://www.youtube.com/watch?v=wadBvDPeE4E")</f>
        <v>https://www.youtube.com/watch?v=wadBvDPeE4E</v>
      </c>
      <c r="X331" s="81" t="s">
        <v>1886</v>
      </c>
      <c r="Y331" s="81">
        <v>1</v>
      </c>
      <c r="Z331" s="88">
        <v>41452.764444444445</v>
      </c>
      <c r="AA331" s="88">
        <v>41452.764444444445</v>
      </c>
      <c r="AB331" s="81"/>
      <c r="AC331" s="81"/>
      <c r="AD331" s="84" t="s">
        <v>1927</v>
      </c>
      <c r="AE331" s="82">
        <v>2</v>
      </c>
      <c r="AF331" s="83" t="str">
        <f>REPLACE(INDEX(GroupVertices[Group],MATCH(Edges[[#This Row],[Vertex 1]],GroupVertices[Vertex],0)),1,1,"")</f>
        <v>1</v>
      </c>
      <c r="AG331" s="83" t="str">
        <f>REPLACE(INDEX(GroupVertices[Group],MATCH(Edges[[#This Row],[Vertex 2]],GroupVertices[Vertex],0)),1,1,"")</f>
        <v>1</v>
      </c>
      <c r="AH331" s="111">
        <v>2</v>
      </c>
      <c r="AI331" s="112">
        <v>40</v>
      </c>
      <c r="AJ331" s="111">
        <v>0</v>
      </c>
      <c r="AK331" s="112">
        <v>0</v>
      </c>
      <c r="AL331" s="111">
        <v>0</v>
      </c>
      <c r="AM331" s="112">
        <v>0</v>
      </c>
      <c r="AN331" s="111">
        <v>3</v>
      </c>
      <c r="AO331" s="112">
        <v>60</v>
      </c>
      <c r="AP331" s="111">
        <v>5</v>
      </c>
    </row>
    <row r="332" spans="1:42" ht="15">
      <c r="A332" s="65" t="s">
        <v>560</v>
      </c>
      <c r="B332" s="65" t="s">
        <v>786</v>
      </c>
      <c r="C332" s="66" t="s">
        <v>4510</v>
      </c>
      <c r="D332" s="67">
        <v>5.333333333333334</v>
      </c>
      <c r="E332" s="68"/>
      <c r="F332" s="69">
        <v>31.666666666666664</v>
      </c>
      <c r="G332" s="66"/>
      <c r="H332" s="70"/>
      <c r="I332" s="71"/>
      <c r="J332" s="71"/>
      <c r="K332" s="35" t="s">
        <v>65</v>
      </c>
      <c r="L332" s="79">
        <v>332</v>
      </c>
      <c r="M332" s="79"/>
      <c r="N332" s="73"/>
      <c r="O332" s="81" t="s">
        <v>788</v>
      </c>
      <c r="P332" s="81" t="s">
        <v>325</v>
      </c>
      <c r="Q332" s="84" t="s">
        <v>1120</v>
      </c>
      <c r="R332" s="81" t="s">
        <v>560</v>
      </c>
      <c r="S332" s="81" t="s">
        <v>1628</v>
      </c>
      <c r="T332" s="86" t="str">
        <f>HYPERLINK("http://www.youtube.com/channel/UCeYXFIY3f424KXx5J_OszkQ")</f>
        <v>http://www.youtube.com/channel/UCeYXFIY3f424KXx5J_OszkQ</v>
      </c>
      <c r="U332" s="81"/>
      <c r="V332" s="81" t="s">
        <v>1885</v>
      </c>
      <c r="W332" s="86" t="str">
        <f>HYPERLINK("https://www.youtube.com/watch?v=wadBvDPeE4E")</f>
        <v>https://www.youtube.com/watch?v=wadBvDPeE4E</v>
      </c>
      <c r="X332" s="81" t="s">
        <v>1886</v>
      </c>
      <c r="Y332" s="81">
        <v>0</v>
      </c>
      <c r="Z332" s="88">
        <v>41452.76712962963</v>
      </c>
      <c r="AA332" s="88">
        <v>41452.76712962963</v>
      </c>
      <c r="AB332" s="81"/>
      <c r="AC332" s="81"/>
      <c r="AD332" s="84" t="s">
        <v>1927</v>
      </c>
      <c r="AE332" s="82">
        <v>2</v>
      </c>
      <c r="AF332" s="83" t="str">
        <f>REPLACE(INDEX(GroupVertices[Group],MATCH(Edges[[#This Row],[Vertex 1]],GroupVertices[Vertex],0)),1,1,"")</f>
        <v>1</v>
      </c>
      <c r="AG332" s="83" t="str">
        <f>REPLACE(INDEX(GroupVertices[Group],MATCH(Edges[[#This Row],[Vertex 2]],GroupVertices[Vertex],0)),1,1,"")</f>
        <v>1</v>
      </c>
      <c r="AH332" s="111">
        <v>2</v>
      </c>
      <c r="AI332" s="112">
        <v>40</v>
      </c>
      <c r="AJ332" s="111">
        <v>0</v>
      </c>
      <c r="AK332" s="112">
        <v>0</v>
      </c>
      <c r="AL332" s="111">
        <v>0</v>
      </c>
      <c r="AM332" s="112">
        <v>0</v>
      </c>
      <c r="AN332" s="111">
        <v>3</v>
      </c>
      <c r="AO332" s="112">
        <v>60</v>
      </c>
      <c r="AP332" s="111">
        <v>5</v>
      </c>
    </row>
    <row r="333" spans="1:42" ht="15">
      <c r="A333" s="65" t="s">
        <v>561</v>
      </c>
      <c r="B333" s="65" t="s">
        <v>786</v>
      </c>
      <c r="C333" s="66" t="s">
        <v>4509</v>
      </c>
      <c r="D333" s="67">
        <v>3</v>
      </c>
      <c r="E333" s="68"/>
      <c r="F333" s="69">
        <v>40</v>
      </c>
      <c r="G333" s="66"/>
      <c r="H333" s="70"/>
      <c r="I333" s="71"/>
      <c r="J333" s="71"/>
      <c r="K333" s="35" t="s">
        <v>65</v>
      </c>
      <c r="L333" s="79">
        <v>333</v>
      </c>
      <c r="M333" s="79"/>
      <c r="N333" s="73"/>
      <c r="O333" s="81" t="s">
        <v>788</v>
      </c>
      <c r="P333" s="81" t="s">
        <v>325</v>
      </c>
      <c r="Q333" s="84" t="s">
        <v>1121</v>
      </c>
      <c r="R333" s="81" t="s">
        <v>561</v>
      </c>
      <c r="S333" s="81" t="s">
        <v>1629</v>
      </c>
      <c r="T333" s="86" t="str">
        <f>HYPERLINK("http://www.youtube.com/channel/UCVD0gtk2H7PcYbozAJpDAHg")</f>
        <v>http://www.youtube.com/channel/UCVD0gtk2H7PcYbozAJpDAHg</v>
      </c>
      <c r="U333" s="81"/>
      <c r="V333" s="81" t="s">
        <v>1885</v>
      </c>
      <c r="W333" s="86" t="str">
        <f>HYPERLINK("https://www.youtube.com/watch?v=wadBvDPeE4E")</f>
        <v>https://www.youtube.com/watch?v=wadBvDPeE4E</v>
      </c>
      <c r="X333" s="81" t="s">
        <v>1886</v>
      </c>
      <c r="Y333" s="81">
        <v>0</v>
      </c>
      <c r="Z333" s="88">
        <v>41453.36362268519</v>
      </c>
      <c r="AA333" s="88">
        <v>41453.36362268519</v>
      </c>
      <c r="AB333" s="81"/>
      <c r="AC333" s="81"/>
      <c r="AD333" s="84" t="s">
        <v>1927</v>
      </c>
      <c r="AE333" s="82">
        <v>1</v>
      </c>
      <c r="AF333" s="83" t="str">
        <f>REPLACE(INDEX(GroupVertices[Group],MATCH(Edges[[#This Row],[Vertex 1]],GroupVertices[Vertex],0)),1,1,"")</f>
        <v>1</v>
      </c>
      <c r="AG333" s="83" t="str">
        <f>REPLACE(INDEX(GroupVertices[Group],MATCH(Edges[[#This Row],[Vertex 2]],GroupVertices[Vertex],0)),1,1,"")</f>
        <v>1</v>
      </c>
      <c r="AH333" s="111">
        <v>1</v>
      </c>
      <c r="AI333" s="112">
        <v>11.11111111111111</v>
      </c>
      <c r="AJ333" s="111">
        <v>0</v>
      </c>
      <c r="AK333" s="112">
        <v>0</v>
      </c>
      <c r="AL333" s="111">
        <v>0</v>
      </c>
      <c r="AM333" s="112">
        <v>0</v>
      </c>
      <c r="AN333" s="111">
        <v>8</v>
      </c>
      <c r="AO333" s="112">
        <v>88.88888888888889</v>
      </c>
      <c r="AP333" s="111">
        <v>9</v>
      </c>
    </row>
    <row r="334" spans="1:42" ht="15">
      <c r="A334" s="65" t="s">
        <v>562</v>
      </c>
      <c r="B334" s="65" t="s">
        <v>786</v>
      </c>
      <c r="C334" s="66" t="s">
        <v>4509</v>
      </c>
      <c r="D334" s="67">
        <v>3</v>
      </c>
      <c r="E334" s="68"/>
      <c r="F334" s="69">
        <v>40</v>
      </c>
      <c r="G334" s="66"/>
      <c r="H334" s="70"/>
      <c r="I334" s="71"/>
      <c r="J334" s="71"/>
      <c r="K334" s="35" t="s">
        <v>65</v>
      </c>
      <c r="L334" s="79">
        <v>334</v>
      </c>
      <c r="M334" s="79"/>
      <c r="N334" s="73"/>
      <c r="O334" s="81" t="s">
        <v>788</v>
      </c>
      <c r="P334" s="81" t="s">
        <v>325</v>
      </c>
      <c r="Q334" s="84" t="s">
        <v>1122</v>
      </c>
      <c r="R334" s="81" t="s">
        <v>562</v>
      </c>
      <c r="S334" s="81" t="s">
        <v>1630</v>
      </c>
      <c r="T334" s="86" t="str">
        <f>HYPERLINK("http://www.youtube.com/channel/UCLYHDnqlP4sQ1XVmp6ell4A")</f>
        <v>http://www.youtube.com/channel/UCLYHDnqlP4sQ1XVmp6ell4A</v>
      </c>
      <c r="U334" s="81"/>
      <c r="V334" s="81" t="s">
        <v>1885</v>
      </c>
      <c r="W334" s="86" t="str">
        <f>HYPERLINK("https://www.youtube.com/watch?v=wadBvDPeE4E")</f>
        <v>https://www.youtube.com/watch?v=wadBvDPeE4E</v>
      </c>
      <c r="X334" s="81" t="s">
        <v>1886</v>
      </c>
      <c r="Y334" s="81">
        <v>0</v>
      </c>
      <c r="Z334" s="88">
        <v>41454.364016203705</v>
      </c>
      <c r="AA334" s="88">
        <v>41454.364016203705</v>
      </c>
      <c r="AB334" s="81"/>
      <c r="AC334" s="81"/>
      <c r="AD334" s="84" t="s">
        <v>1927</v>
      </c>
      <c r="AE334" s="82">
        <v>1</v>
      </c>
      <c r="AF334" s="83" t="str">
        <f>REPLACE(INDEX(GroupVertices[Group],MATCH(Edges[[#This Row],[Vertex 1]],GroupVertices[Vertex],0)),1,1,"")</f>
        <v>1</v>
      </c>
      <c r="AG334" s="83" t="str">
        <f>REPLACE(INDEX(GroupVertices[Group],MATCH(Edges[[#This Row],[Vertex 2]],GroupVertices[Vertex],0)),1,1,"")</f>
        <v>1</v>
      </c>
      <c r="AH334" s="111">
        <v>1</v>
      </c>
      <c r="AI334" s="112">
        <v>1.639344262295082</v>
      </c>
      <c r="AJ334" s="111">
        <v>0</v>
      </c>
      <c r="AK334" s="112">
        <v>0</v>
      </c>
      <c r="AL334" s="111">
        <v>0</v>
      </c>
      <c r="AM334" s="112">
        <v>0</v>
      </c>
      <c r="AN334" s="111">
        <v>60</v>
      </c>
      <c r="AO334" s="112">
        <v>98.36065573770492</v>
      </c>
      <c r="AP334" s="111">
        <v>61</v>
      </c>
    </row>
    <row r="335" spans="1:42" ht="15">
      <c r="A335" s="65" t="s">
        <v>563</v>
      </c>
      <c r="B335" s="65" t="s">
        <v>786</v>
      </c>
      <c r="C335" s="66" t="s">
        <v>4509</v>
      </c>
      <c r="D335" s="67">
        <v>3</v>
      </c>
      <c r="E335" s="68"/>
      <c r="F335" s="69">
        <v>40</v>
      </c>
      <c r="G335" s="66"/>
      <c r="H335" s="70"/>
      <c r="I335" s="71"/>
      <c r="J335" s="71"/>
      <c r="K335" s="35" t="s">
        <v>65</v>
      </c>
      <c r="L335" s="79">
        <v>335</v>
      </c>
      <c r="M335" s="79"/>
      <c r="N335" s="73"/>
      <c r="O335" s="81" t="s">
        <v>788</v>
      </c>
      <c r="P335" s="81" t="s">
        <v>325</v>
      </c>
      <c r="Q335" s="84" t="s">
        <v>1123</v>
      </c>
      <c r="R335" s="81" t="s">
        <v>563</v>
      </c>
      <c r="S335" s="81" t="s">
        <v>1631</v>
      </c>
      <c r="T335" s="86" t="str">
        <f>HYPERLINK("http://www.youtube.com/channel/UCPpNHokuxcOFI889ejzZP9Q")</f>
        <v>http://www.youtube.com/channel/UCPpNHokuxcOFI889ejzZP9Q</v>
      </c>
      <c r="U335" s="81"/>
      <c r="V335" s="81" t="s">
        <v>1885</v>
      </c>
      <c r="W335" s="86" t="str">
        <f>HYPERLINK("https://www.youtube.com/watch?v=wadBvDPeE4E")</f>
        <v>https://www.youtube.com/watch?v=wadBvDPeE4E</v>
      </c>
      <c r="X335" s="81" t="s">
        <v>1886</v>
      </c>
      <c r="Y335" s="81">
        <v>0</v>
      </c>
      <c r="Z335" s="88">
        <v>41472.15855324074</v>
      </c>
      <c r="AA335" s="88">
        <v>41472.15855324074</v>
      </c>
      <c r="AB335" s="81"/>
      <c r="AC335" s="81"/>
      <c r="AD335" s="84" t="s">
        <v>1927</v>
      </c>
      <c r="AE335" s="82">
        <v>1</v>
      </c>
      <c r="AF335" s="83" t="str">
        <f>REPLACE(INDEX(GroupVertices[Group],MATCH(Edges[[#This Row],[Vertex 1]],GroupVertices[Vertex],0)),1,1,"")</f>
        <v>1</v>
      </c>
      <c r="AG335" s="83" t="str">
        <f>REPLACE(INDEX(GroupVertices[Group],MATCH(Edges[[#This Row],[Vertex 2]],GroupVertices[Vertex],0)),1,1,"")</f>
        <v>1</v>
      </c>
      <c r="AH335" s="111">
        <v>0</v>
      </c>
      <c r="AI335" s="112">
        <v>0</v>
      </c>
      <c r="AJ335" s="111">
        <v>0</v>
      </c>
      <c r="AK335" s="112">
        <v>0</v>
      </c>
      <c r="AL335" s="111">
        <v>0</v>
      </c>
      <c r="AM335" s="112">
        <v>0</v>
      </c>
      <c r="AN335" s="111">
        <v>38</v>
      </c>
      <c r="AO335" s="112">
        <v>100</v>
      </c>
      <c r="AP335" s="111">
        <v>38</v>
      </c>
    </row>
    <row r="336" spans="1:42" ht="15">
      <c r="A336" s="65" t="s">
        <v>564</v>
      </c>
      <c r="B336" s="65" t="s">
        <v>786</v>
      </c>
      <c r="C336" s="66" t="s">
        <v>4509</v>
      </c>
      <c r="D336" s="67">
        <v>3</v>
      </c>
      <c r="E336" s="68"/>
      <c r="F336" s="69">
        <v>40</v>
      </c>
      <c r="G336" s="66"/>
      <c r="H336" s="70"/>
      <c r="I336" s="71"/>
      <c r="J336" s="71"/>
      <c r="K336" s="35" t="s">
        <v>65</v>
      </c>
      <c r="L336" s="79">
        <v>336</v>
      </c>
      <c r="M336" s="79"/>
      <c r="N336" s="73"/>
      <c r="O336" s="81" t="s">
        <v>788</v>
      </c>
      <c r="P336" s="81" t="s">
        <v>325</v>
      </c>
      <c r="Q336" s="84" t="s">
        <v>1124</v>
      </c>
      <c r="R336" s="81" t="s">
        <v>564</v>
      </c>
      <c r="S336" s="81" t="s">
        <v>1632</v>
      </c>
      <c r="T336" s="86" t="str">
        <f>HYPERLINK("http://www.youtube.com/channel/UCIEcQot6zMPpyZWd8R0DsGw")</f>
        <v>http://www.youtube.com/channel/UCIEcQot6zMPpyZWd8R0DsGw</v>
      </c>
      <c r="U336" s="81"/>
      <c r="V336" s="81" t="s">
        <v>1885</v>
      </c>
      <c r="W336" s="86" t="str">
        <f>HYPERLINK("https://www.youtube.com/watch?v=wadBvDPeE4E")</f>
        <v>https://www.youtube.com/watch?v=wadBvDPeE4E</v>
      </c>
      <c r="X336" s="81" t="s">
        <v>1886</v>
      </c>
      <c r="Y336" s="81">
        <v>0</v>
      </c>
      <c r="Z336" s="88">
        <v>41477.21128472222</v>
      </c>
      <c r="AA336" s="88">
        <v>41477.21128472222</v>
      </c>
      <c r="AB336" s="81"/>
      <c r="AC336" s="81"/>
      <c r="AD336" s="84" t="s">
        <v>1927</v>
      </c>
      <c r="AE336" s="82">
        <v>1</v>
      </c>
      <c r="AF336" s="83" t="str">
        <f>REPLACE(INDEX(GroupVertices[Group],MATCH(Edges[[#This Row],[Vertex 1]],GroupVertices[Vertex],0)),1,1,"")</f>
        <v>1</v>
      </c>
      <c r="AG336" s="83" t="str">
        <f>REPLACE(INDEX(GroupVertices[Group],MATCH(Edges[[#This Row],[Vertex 2]],GroupVertices[Vertex],0)),1,1,"")</f>
        <v>1</v>
      </c>
      <c r="AH336" s="111">
        <v>0</v>
      </c>
      <c r="AI336" s="112">
        <v>0</v>
      </c>
      <c r="AJ336" s="111">
        <v>0</v>
      </c>
      <c r="AK336" s="112">
        <v>0</v>
      </c>
      <c r="AL336" s="111">
        <v>0</v>
      </c>
      <c r="AM336" s="112">
        <v>0</v>
      </c>
      <c r="AN336" s="111">
        <v>5</v>
      </c>
      <c r="AO336" s="112">
        <v>100</v>
      </c>
      <c r="AP336" s="111">
        <v>5</v>
      </c>
    </row>
    <row r="337" spans="1:42" ht="15">
      <c r="A337" s="65" t="s">
        <v>565</v>
      </c>
      <c r="B337" s="65" t="s">
        <v>786</v>
      </c>
      <c r="C337" s="66" t="s">
        <v>4511</v>
      </c>
      <c r="D337" s="67">
        <v>7.666666666666667</v>
      </c>
      <c r="E337" s="68"/>
      <c r="F337" s="69">
        <v>23.333333333333332</v>
      </c>
      <c r="G337" s="66"/>
      <c r="H337" s="70"/>
      <c r="I337" s="71"/>
      <c r="J337" s="71"/>
      <c r="K337" s="35" t="s">
        <v>65</v>
      </c>
      <c r="L337" s="79">
        <v>337</v>
      </c>
      <c r="M337" s="79"/>
      <c r="N337" s="73"/>
      <c r="O337" s="81" t="s">
        <v>788</v>
      </c>
      <c r="P337" s="81" t="s">
        <v>325</v>
      </c>
      <c r="Q337" s="84" t="s">
        <v>1125</v>
      </c>
      <c r="R337" s="81" t="s">
        <v>565</v>
      </c>
      <c r="S337" s="81" t="s">
        <v>1633</v>
      </c>
      <c r="T337" s="86" t="str">
        <f>HYPERLINK("http://www.youtube.com/channel/UCk4Ep98cdVliOfGysRgPSwQ")</f>
        <v>http://www.youtube.com/channel/UCk4Ep98cdVliOfGysRgPSwQ</v>
      </c>
      <c r="U337" s="81"/>
      <c r="V337" s="81" t="s">
        <v>1885</v>
      </c>
      <c r="W337" s="86" t="str">
        <f>HYPERLINK("https://www.youtube.com/watch?v=wadBvDPeE4E")</f>
        <v>https://www.youtube.com/watch?v=wadBvDPeE4E</v>
      </c>
      <c r="X337" s="81" t="s">
        <v>1886</v>
      </c>
      <c r="Y337" s="81">
        <v>0</v>
      </c>
      <c r="Z337" s="88">
        <v>41523.34626157407</v>
      </c>
      <c r="AA337" s="88">
        <v>41523.34626157407</v>
      </c>
      <c r="AB337" s="81"/>
      <c r="AC337" s="81"/>
      <c r="AD337" s="84" t="s">
        <v>1927</v>
      </c>
      <c r="AE337" s="82">
        <v>3</v>
      </c>
      <c r="AF337" s="83" t="str">
        <f>REPLACE(INDEX(GroupVertices[Group],MATCH(Edges[[#This Row],[Vertex 1]],GroupVertices[Vertex],0)),1,1,"")</f>
        <v>1</v>
      </c>
      <c r="AG337" s="83" t="str">
        <f>REPLACE(INDEX(GroupVertices[Group],MATCH(Edges[[#This Row],[Vertex 2]],GroupVertices[Vertex],0)),1,1,"")</f>
        <v>1</v>
      </c>
      <c r="AH337" s="111">
        <v>1</v>
      </c>
      <c r="AI337" s="112">
        <v>5.555555555555555</v>
      </c>
      <c r="AJ337" s="111">
        <v>0</v>
      </c>
      <c r="AK337" s="112">
        <v>0</v>
      </c>
      <c r="AL337" s="111">
        <v>0</v>
      </c>
      <c r="AM337" s="112">
        <v>0</v>
      </c>
      <c r="AN337" s="111">
        <v>17</v>
      </c>
      <c r="AO337" s="112">
        <v>94.44444444444444</v>
      </c>
      <c r="AP337" s="111">
        <v>18</v>
      </c>
    </row>
    <row r="338" spans="1:42" ht="15">
      <c r="A338" s="65" t="s">
        <v>565</v>
      </c>
      <c r="B338" s="65" t="s">
        <v>786</v>
      </c>
      <c r="C338" s="66" t="s">
        <v>4511</v>
      </c>
      <c r="D338" s="67">
        <v>7.666666666666667</v>
      </c>
      <c r="E338" s="68"/>
      <c r="F338" s="69">
        <v>23.333333333333332</v>
      </c>
      <c r="G338" s="66"/>
      <c r="H338" s="70"/>
      <c r="I338" s="71"/>
      <c r="J338" s="71"/>
      <c r="K338" s="35" t="s">
        <v>65</v>
      </c>
      <c r="L338" s="79">
        <v>338</v>
      </c>
      <c r="M338" s="79"/>
      <c r="N338" s="73"/>
      <c r="O338" s="81" t="s">
        <v>788</v>
      </c>
      <c r="P338" s="81" t="s">
        <v>325</v>
      </c>
      <c r="Q338" s="84" t="s">
        <v>1126</v>
      </c>
      <c r="R338" s="81" t="s">
        <v>565</v>
      </c>
      <c r="S338" s="81" t="s">
        <v>1633</v>
      </c>
      <c r="T338" s="86" t="str">
        <f>HYPERLINK("http://www.youtube.com/channel/UCk4Ep98cdVliOfGysRgPSwQ")</f>
        <v>http://www.youtube.com/channel/UCk4Ep98cdVliOfGysRgPSwQ</v>
      </c>
      <c r="U338" s="81"/>
      <c r="V338" s="81" t="s">
        <v>1885</v>
      </c>
      <c r="W338" s="86" t="str">
        <f>HYPERLINK("https://www.youtube.com/watch?v=wadBvDPeE4E")</f>
        <v>https://www.youtube.com/watch?v=wadBvDPeE4E</v>
      </c>
      <c r="X338" s="81" t="s">
        <v>1886</v>
      </c>
      <c r="Y338" s="81">
        <v>0</v>
      </c>
      <c r="Z338" s="88">
        <v>41523.346504629626</v>
      </c>
      <c r="AA338" s="88">
        <v>41523.346504629626</v>
      </c>
      <c r="AB338" s="81"/>
      <c r="AC338" s="81"/>
      <c r="AD338" s="84" t="s">
        <v>1927</v>
      </c>
      <c r="AE338" s="82">
        <v>3</v>
      </c>
      <c r="AF338" s="83" t="str">
        <f>REPLACE(INDEX(GroupVertices[Group],MATCH(Edges[[#This Row],[Vertex 1]],GroupVertices[Vertex],0)),1,1,"")</f>
        <v>1</v>
      </c>
      <c r="AG338" s="83" t="str">
        <f>REPLACE(INDEX(GroupVertices[Group],MATCH(Edges[[#This Row],[Vertex 2]],GroupVertices[Vertex],0)),1,1,"")</f>
        <v>1</v>
      </c>
      <c r="AH338" s="111">
        <v>0</v>
      </c>
      <c r="AI338" s="112">
        <v>0</v>
      </c>
      <c r="AJ338" s="111">
        <v>0</v>
      </c>
      <c r="AK338" s="112">
        <v>0</v>
      </c>
      <c r="AL338" s="111">
        <v>0</v>
      </c>
      <c r="AM338" s="112">
        <v>0</v>
      </c>
      <c r="AN338" s="111">
        <v>4</v>
      </c>
      <c r="AO338" s="112">
        <v>100</v>
      </c>
      <c r="AP338" s="111">
        <v>4</v>
      </c>
    </row>
    <row r="339" spans="1:42" ht="15">
      <c r="A339" s="65" t="s">
        <v>565</v>
      </c>
      <c r="B339" s="65" t="s">
        <v>786</v>
      </c>
      <c r="C339" s="66" t="s">
        <v>4511</v>
      </c>
      <c r="D339" s="67">
        <v>7.666666666666667</v>
      </c>
      <c r="E339" s="68"/>
      <c r="F339" s="69">
        <v>23.333333333333332</v>
      </c>
      <c r="G339" s="66"/>
      <c r="H339" s="70"/>
      <c r="I339" s="71"/>
      <c r="J339" s="71"/>
      <c r="K339" s="35" t="s">
        <v>65</v>
      </c>
      <c r="L339" s="79">
        <v>339</v>
      </c>
      <c r="M339" s="79"/>
      <c r="N339" s="73"/>
      <c r="O339" s="81" t="s">
        <v>788</v>
      </c>
      <c r="P339" s="81" t="s">
        <v>325</v>
      </c>
      <c r="Q339" s="84" t="s">
        <v>1127</v>
      </c>
      <c r="R339" s="81" t="s">
        <v>565</v>
      </c>
      <c r="S339" s="81" t="s">
        <v>1633</v>
      </c>
      <c r="T339" s="86" t="str">
        <f>HYPERLINK("http://www.youtube.com/channel/UCk4Ep98cdVliOfGysRgPSwQ")</f>
        <v>http://www.youtube.com/channel/UCk4Ep98cdVliOfGysRgPSwQ</v>
      </c>
      <c r="U339" s="81"/>
      <c r="V339" s="81" t="s">
        <v>1885</v>
      </c>
      <c r="W339" s="86" t="str">
        <f>HYPERLINK("https://www.youtube.com/watch?v=wadBvDPeE4E")</f>
        <v>https://www.youtube.com/watch?v=wadBvDPeE4E</v>
      </c>
      <c r="X339" s="81" t="s">
        <v>1886</v>
      </c>
      <c r="Y339" s="81">
        <v>0</v>
      </c>
      <c r="Z339" s="88">
        <v>41525.34903935185</v>
      </c>
      <c r="AA339" s="88">
        <v>41525.34903935185</v>
      </c>
      <c r="AB339" s="81"/>
      <c r="AC339" s="81"/>
      <c r="AD339" s="84" t="s">
        <v>1927</v>
      </c>
      <c r="AE339" s="82">
        <v>3</v>
      </c>
      <c r="AF339" s="83" t="str">
        <f>REPLACE(INDEX(GroupVertices[Group],MATCH(Edges[[#This Row],[Vertex 1]],GroupVertices[Vertex],0)),1,1,"")</f>
        <v>1</v>
      </c>
      <c r="AG339" s="83" t="str">
        <f>REPLACE(INDEX(GroupVertices[Group],MATCH(Edges[[#This Row],[Vertex 2]],GroupVertices[Vertex],0)),1,1,"")</f>
        <v>1</v>
      </c>
      <c r="AH339" s="111">
        <v>0</v>
      </c>
      <c r="AI339" s="112">
        <v>0</v>
      </c>
      <c r="AJ339" s="111">
        <v>1</v>
      </c>
      <c r="AK339" s="112">
        <v>2</v>
      </c>
      <c r="AL339" s="111">
        <v>0</v>
      </c>
      <c r="AM339" s="112">
        <v>0</v>
      </c>
      <c r="AN339" s="111">
        <v>49</v>
      </c>
      <c r="AO339" s="112">
        <v>98</v>
      </c>
      <c r="AP339" s="111">
        <v>50</v>
      </c>
    </row>
    <row r="340" spans="1:42" ht="15">
      <c r="A340" s="65" t="s">
        <v>566</v>
      </c>
      <c r="B340" s="65" t="s">
        <v>786</v>
      </c>
      <c r="C340" s="66" t="s">
        <v>4509</v>
      </c>
      <c r="D340" s="67">
        <v>3</v>
      </c>
      <c r="E340" s="68"/>
      <c r="F340" s="69">
        <v>40</v>
      </c>
      <c r="G340" s="66"/>
      <c r="H340" s="70"/>
      <c r="I340" s="71"/>
      <c r="J340" s="71"/>
      <c r="K340" s="35" t="s">
        <v>65</v>
      </c>
      <c r="L340" s="79">
        <v>340</v>
      </c>
      <c r="M340" s="79"/>
      <c r="N340" s="73"/>
      <c r="O340" s="81" t="s">
        <v>788</v>
      </c>
      <c r="P340" s="81" t="s">
        <v>325</v>
      </c>
      <c r="Q340" s="84" t="s">
        <v>1128</v>
      </c>
      <c r="R340" s="81" t="s">
        <v>566</v>
      </c>
      <c r="S340" s="81" t="s">
        <v>1634</v>
      </c>
      <c r="T340" s="86" t="str">
        <f>HYPERLINK("http://www.youtube.com/channel/UCj3Ml9Ywavk4klELkaNSwNQ")</f>
        <v>http://www.youtube.com/channel/UCj3Ml9Ywavk4klELkaNSwNQ</v>
      </c>
      <c r="U340" s="81"/>
      <c r="V340" s="81" t="s">
        <v>1885</v>
      </c>
      <c r="W340" s="86" t="str">
        <f>HYPERLINK("https://www.youtube.com/watch?v=wadBvDPeE4E")</f>
        <v>https://www.youtube.com/watch?v=wadBvDPeE4E</v>
      </c>
      <c r="X340" s="81" t="s">
        <v>1886</v>
      </c>
      <c r="Y340" s="81">
        <v>0</v>
      </c>
      <c r="Z340" s="88">
        <v>41536.066666666666</v>
      </c>
      <c r="AA340" s="88">
        <v>41536.066666666666</v>
      </c>
      <c r="AB340" s="81"/>
      <c r="AC340" s="81"/>
      <c r="AD340" s="84" t="s">
        <v>1927</v>
      </c>
      <c r="AE340" s="82">
        <v>1</v>
      </c>
      <c r="AF340" s="83" t="str">
        <f>REPLACE(INDEX(GroupVertices[Group],MATCH(Edges[[#This Row],[Vertex 1]],GroupVertices[Vertex],0)),1,1,"")</f>
        <v>1</v>
      </c>
      <c r="AG340" s="83" t="str">
        <f>REPLACE(INDEX(GroupVertices[Group],MATCH(Edges[[#This Row],[Vertex 2]],GroupVertices[Vertex],0)),1,1,"")</f>
        <v>1</v>
      </c>
      <c r="AH340" s="111">
        <v>0</v>
      </c>
      <c r="AI340" s="112">
        <v>0</v>
      </c>
      <c r="AJ340" s="111">
        <v>0</v>
      </c>
      <c r="AK340" s="112">
        <v>0</v>
      </c>
      <c r="AL340" s="111">
        <v>0</v>
      </c>
      <c r="AM340" s="112">
        <v>0</v>
      </c>
      <c r="AN340" s="111">
        <v>21</v>
      </c>
      <c r="AO340" s="112">
        <v>100</v>
      </c>
      <c r="AP340" s="111">
        <v>21</v>
      </c>
    </row>
    <row r="341" spans="1:42" ht="15">
      <c r="A341" s="65" t="s">
        <v>567</v>
      </c>
      <c r="B341" s="65" t="s">
        <v>786</v>
      </c>
      <c r="C341" s="66" t="s">
        <v>4510</v>
      </c>
      <c r="D341" s="67">
        <v>5.333333333333334</v>
      </c>
      <c r="E341" s="68"/>
      <c r="F341" s="69">
        <v>31.666666666666664</v>
      </c>
      <c r="G341" s="66"/>
      <c r="H341" s="70"/>
      <c r="I341" s="71"/>
      <c r="J341" s="71"/>
      <c r="K341" s="35" t="s">
        <v>65</v>
      </c>
      <c r="L341" s="79">
        <v>341</v>
      </c>
      <c r="M341" s="79"/>
      <c r="N341" s="73"/>
      <c r="O341" s="81" t="s">
        <v>788</v>
      </c>
      <c r="P341" s="81" t="s">
        <v>325</v>
      </c>
      <c r="Q341" s="84" t="s">
        <v>1129</v>
      </c>
      <c r="R341" s="81" t="s">
        <v>567</v>
      </c>
      <c r="S341" s="81" t="s">
        <v>1635</v>
      </c>
      <c r="T341" s="86" t="str">
        <f>HYPERLINK("http://www.youtube.com/channel/UCJhSuAlQel_lEPlrQTKqqUw")</f>
        <v>http://www.youtube.com/channel/UCJhSuAlQel_lEPlrQTKqqUw</v>
      </c>
      <c r="U341" s="81"/>
      <c r="V341" s="81" t="s">
        <v>1885</v>
      </c>
      <c r="W341" s="86" t="str">
        <f>HYPERLINK("https://www.youtube.com/watch?v=wadBvDPeE4E")</f>
        <v>https://www.youtube.com/watch?v=wadBvDPeE4E</v>
      </c>
      <c r="X341" s="81" t="s">
        <v>1886</v>
      </c>
      <c r="Y341" s="81">
        <v>0</v>
      </c>
      <c r="Z341" s="88">
        <v>41482.01956018519</v>
      </c>
      <c r="AA341" s="88">
        <v>41482.01956018519</v>
      </c>
      <c r="AB341" s="81"/>
      <c r="AC341" s="81"/>
      <c r="AD341" s="84" t="s">
        <v>1927</v>
      </c>
      <c r="AE341" s="82">
        <v>2</v>
      </c>
      <c r="AF341" s="83" t="str">
        <f>REPLACE(INDEX(GroupVertices[Group],MATCH(Edges[[#This Row],[Vertex 1]],GroupVertices[Vertex],0)),1,1,"")</f>
        <v>1</v>
      </c>
      <c r="AG341" s="83" t="str">
        <f>REPLACE(INDEX(GroupVertices[Group],MATCH(Edges[[#This Row],[Vertex 2]],GroupVertices[Vertex],0)),1,1,"")</f>
        <v>1</v>
      </c>
      <c r="AH341" s="111">
        <v>3</v>
      </c>
      <c r="AI341" s="112">
        <v>2.8846153846153846</v>
      </c>
      <c r="AJ341" s="111">
        <v>4</v>
      </c>
      <c r="AK341" s="112">
        <v>3.8461538461538463</v>
      </c>
      <c r="AL341" s="111">
        <v>0</v>
      </c>
      <c r="AM341" s="112">
        <v>0</v>
      </c>
      <c r="AN341" s="111">
        <v>97</v>
      </c>
      <c r="AO341" s="112">
        <v>93.26923076923077</v>
      </c>
      <c r="AP341" s="111">
        <v>104</v>
      </c>
    </row>
    <row r="342" spans="1:42" ht="15">
      <c r="A342" s="65" t="s">
        <v>567</v>
      </c>
      <c r="B342" s="65" t="s">
        <v>786</v>
      </c>
      <c r="C342" s="66" t="s">
        <v>4510</v>
      </c>
      <c r="D342" s="67">
        <v>5.333333333333334</v>
      </c>
      <c r="E342" s="68"/>
      <c r="F342" s="69">
        <v>31.666666666666664</v>
      </c>
      <c r="G342" s="66"/>
      <c r="H342" s="70"/>
      <c r="I342" s="71"/>
      <c r="J342" s="71"/>
      <c r="K342" s="35" t="s">
        <v>65</v>
      </c>
      <c r="L342" s="79">
        <v>342</v>
      </c>
      <c r="M342" s="79"/>
      <c r="N342" s="73"/>
      <c r="O342" s="81" t="s">
        <v>788</v>
      </c>
      <c r="P342" s="81" t="s">
        <v>325</v>
      </c>
      <c r="Q342" s="84" t="s">
        <v>1130</v>
      </c>
      <c r="R342" s="81" t="s">
        <v>567</v>
      </c>
      <c r="S342" s="81" t="s">
        <v>1635</v>
      </c>
      <c r="T342" s="86" t="str">
        <f>HYPERLINK("http://www.youtube.com/channel/UCJhSuAlQel_lEPlrQTKqqUw")</f>
        <v>http://www.youtube.com/channel/UCJhSuAlQel_lEPlrQTKqqUw</v>
      </c>
      <c r="U342" s="81"/>
      <c r="V342" s="81" t="s">
        <v>1885</v>
      </c>
      <c r="W342" s="86" t="str">
        <f>HYPERLINK("https://www.youtube.com/watch?v=wadBvDPeE4E")</f>
        <v>https://www.youtube.com/watch?v=wadBvDPeE4E</v>
      </c>
      <c r="X342" s="81" t="s">
        <v>1886</v>
      </c>
      <c r="Y342" s="81">
        <v>0</v>
      </c>
      <c r="Z342" s="88">
        <v>41537.46288194445</v>
      </c>
      <c r="AA342" s="88">
        <v>41537.46288194445</v>
      </c>
      <c r="AB342" s="81"/>
      <c r="AC342" s="81"/>
      <c r="AD342" s="84" t="s">
        <v>1927</v>
      </c>
      <c r="AE342" s="82">
        <v>2</v>
      </c>
      <c r="AF342" s="83" t="str">
        <f>REPLACE(INDEX(GroupVertices[Group],MATCH(Edges[[#This Row],[Vertex 1]],GroupVertices[Vertex],0)),1,1,"")</f>
        <v>1</v>
      </c>
      <c r="AG342" s="83" t="str">
        <f>REPLACE(INDEX(GroupVertices[Group],MATCH(Edges[[#This Row],[Vertex 2]],GroupVertices[Vertex],0)),1,1,"")</f>
        <v>1</v>
      </c>
      <c r="AH342" s="111">
        <v>0</v>
      </c>
      <c r="AI342" s="112">
        <v>0</v>
      </c>
      <c r="AJ342" s="111">
        <v>0</v>
      </c>
      <c r="AK342" s="112">
        <v>0</v>
      </c>
      <c r="AL342" s="111">
        <v>0</v>
      </c>
      <c r="AM342" s="112">
        <v>0</v>
      </c>
      <c r="AN342" s="111">
        <v>24</v>
      </c>
      <c r="AO342" s="112">
        <v>100</v>
      </c>
      <c r="AP342" s="111">
        <v>24</v>
      </c>
    </row>
    <row r="343" spans="1:42" ht="15">
      <c r="A343" s="65" t="s">
        <v>568</v>
      </c>
      <c r="B343" s="65" t="s">
        <v>786</v>
      </c>
      <c r="C343" s="66" t="s">
        <v>4509</v>
      </c>
      <c r="D343" s="67">
        <v>3</v>
      </c>
      <c r="E343" s="68"/>
      <c r="F343" s="69">
        <v>40</v>
      </c>
      <c r="G343" s="66"/>
      <c r="H343" s="70"/>
      <c r="I343" s="71"/>
      <c r="J343" s="71"/>
      <c r="K343" s="35" t="s">
        <v>65</v>
      </c>
      <c r="L343" s="79">
        <v>343</v>
      </c>
      <c r="M343" s="79"/>
      <c r="N343" s="73"/>
      <c r="O343" s="81" t="s">
        <v>788</v>
      </c>
      <c r="P343" s="81" t="s">
        <v>325</v>
      </c>
      <c r="Q343" s="84" t="s">
        <v>1131</v>
      </c>
      <c r="R343" s="81" t="s">
        <v>568</v>
      </c>
      <c r="S343" s="81" t="s">
        <v>1636</v>
      </c>
      <c r="T343" s="86" t="str">
        <f>HYPERLINK("http://www.youtube.com/channel/UCWw2QzixcpAuJahFqloXrLw")</f>
        <v>http://www.youtube.com/channel/UCWw2QzixcpAuJahFqloXrLw</v>
      </c>
      <c r="U343" s="81"/>
      <c r="V343" s="81" t="s">
        <v>1885</v>
      </c>
      <c r="W343" s="86" t="str">
        <f>HYPERLINK("https://www.youtube.com/watch?v=wadBvDPeE4E")</f>
        <v>https://www.youtube.com/watch?v=wadBvDPeE4E</v>
      </c>
      <c r="X343" s="81" t="s">
        <v>1886</v>
      </c>
      <c r="Y343" s="81">
        <v>0</v>
      </c>
      <c r="Z343" s="88">
        <v>41551.39565972222</v>
      </c>
      <c r="AA343" s="88">
        <v>41551.39565972222</v>
      </c>
      <c r="AB343" s="81"/>
      <c r="AC343" s="81"/>
      <c r="AD343" s="84" t="s">
        <v>1927</v>
      </c>
      <c r="AE343" s="82">
        <v>1</v>
      </c>
      <c r="AF343" s="83" t="str">
        <f>REPLACE(INDEX(GroupVertices[Group],MATCH(Edges[[#This Row],[Vertex 1]],GroupVertices[Vertex],0)),1,1,"")</f>
        <v>1</v>
      </c>
      <c r="AG343" s="83" t="str">
        <f>REPLACE(INDEX(GroupVertices[Group],MATCH(Edges[[#This Row],[Vertex 2]],GroupVertices[Vertex],0)),1,1,"")</f>
        <v>1</v>
      </c>
      <c r="AH343" s="111">
        <v>0</v>
      </c>
      <c r="AI343" s="112">
        <v>0</v>
      </c>
      <c r="AJ343" s="111">
        <v>0</v>
      </c>
      <c r="AK343" s="112">
        <v>0</v>
      </c>
      <c r="AL343" s="111">
        <v>0</v>
      </c>
      <c r="AM343" s="112">
        <v>0</v>
      </c>
      <c r="AN343" s="111">
        <v>2</v>
      </c>
      <c r="AO343" s="112">
        <v>100</v>
      </c>
      <c r="AP343" s="111">
        <v>2</v>
      </c>
    </row>
    <row r="344" spans="1:42" ht="15">
      <c r="A344" s="65" t="s">
        <v>569</v>
      </c>
      <c r="B344" s="65" t="s">
        <v>786</v>
      </c>
      <c r="C344" s="66" t="s">
        <v>4509</v>
      </c>
      <c r="D344" s="67">
        <v>3</v>
      </c>
      <c r="E344" s="68"/>
      <c r="F344" s="69">
        <v>40</v>
      </c>
      <c r="G344" s="66"/>
      <c r="H344" s="70"/>
      <c r="I344" s="71"/>
      <c r="J344" s="71"/>
      <c r="K344" s="35" t="s">
        <v>65</v>
      </c>
      <c r="L344" s="79">
        <v>344</v>
      </c>
      <c r="M344" s="79"/>
      <c r="N344" s="73"/>
      <c r="O344" s="81" t="s">
        <v>788</v>
      </c>
      <c r="P344" s="81" t="s">
        <v>325</v>
      </c>
      <c r="Q344" s="84" t="s">
        <v>1132</v>
      </c>
      <c r="R344" s="81" t="s">
        <v>569</v>
      </c>
      <c r="S344" s="81" t="s">
        <v>1637</v>
      </c>
      <c r="T344" s="86" t="str">
        <f>HYPERLINK("http://www.youtube.com/channel/UCGedQb2X6hmEK4B_nKBel6Q")</f>
        <v>http://www.youtube.com/channel/UCGedQb2X6hmEK4B_nKBel6Q</v>
      </c>
      <c r="U344" s="81"/>
      <c r="V344" s="81" t="s">
        <v>1885</v>
      </c>
      <c r="W344" s="86" t="str">
        <f>HYPERLINK("https://www.youtube.com/watch?v=wadBvDPeE4E")</f>
        <v>https://www.youtube.com/watch?v=wadBvDPeE4E</v>
      </c>
      <c r="X344" s="81" t="s">
        <v>1886</v>
      </c>
      <c r="Y344" s="81">
        <v>0</v>
      </c>
      <c r="Z344" s="88">
        <v>41555.004016203704</v>
      </c>
      <c r="AA344" s="88">
        <v>41555.004016203704</v>
      </c>
      <c r="AB344" s="81"/>
      <c r="AC344" s="81"/>
      <c r="AD344" s="84" t="s">
        <v>1927</v>
      </c>
      <c r="AE344" s="82">
        <v>1</v>
      </c>
      <c r="AF344" s="83" t="str">
        <f>REPLACE(INDEX(GroupVertices[Group],MATCH(Edges[[#This Row],[Vertex 1]],GroupVertices[Vertex],0)),1,1,"")</f>
        <v>1</v>
      </c>
      <c r="AG344" s="83" t="str">
        <f>REPLACE(INDEX(GroupVertices[Group],MATCH(Edges[[#This Row],[Vertex 2]],GroupVertices[Vertex],0)),1,1,"")</f>
        <v>1</v>
      </c>
      <c r="AH344" s="111">
        <v>1</v>
      </c>
      <c r="AI344" s="112">
        <v>1.6666666666666667</v>
      </c>
      <c r="AJ344" s="111">
        <v>0</v>
      </c>
      <c r="AK344" s="112">
        <v>0</v>
      </c>
      <c r="AL344" s="111">
        <v>0</v>
      </c>
      <c r="AM344" s="112">
        <v>0</v>
      </c>
      <c r="AN344" s="111">
        <v>59</v>
      </c>
      <c r="AO344" s="112">
        <v>98.33333333333333</v>
      </c>
      <c r="AP344" s="111">
        <v>60</v>
      </c>
    </row>
    <row r="345" spans="1:42" ht="15">
      <c r="A345" s="65" t="s">
        <v>570</v>
      </c>
      <c r="B345" s="65" t="s">
        <v>786</v>
      </c>
      <c r="C345" s="66" t="s">
        <v>4509</v>
      </c>
      <c r="D345" s="67">
        <v>3</v>
      </c>
      <c r="E345" s="68"/>
      <c r="F345" s="69">
        <v>40</v>
      </c>
      <c r="G345" s="66"/>
      <c r="H345" s="70"/>
      <c r="I345" s="71"/>
      <c r="J345" s="71"/>
      <c r="K345" s="35" t="s">
        <v>65</v>
      </c>
      <c r="L345" s="79">
        <v>345</v>
      </c>
      <c r="M345" s="79"/>
      <c r="N345" s="73"/>
      <c r="O345" s="81" t="s">
        <v>788</v>
      </c>
      <c r="P345" s="81" t="s">
        <v>325</v>
      </c>
      <c r="Q345" s="84" t="s">
        <v>1133</v>
      </c>
      <c r="R345" s="81" t="s">
        <v>570</v>
      </c>
      <c r="S345" s="81" t="s">
        <v>1638</v>
      </c>
      <c r="T345" s="86" t="str">
        <f>HYPERLINK("http://www.youtube.com/channel/UCvctyDTqnJxUfRl6rLWF2bw")</f>
        <v>http://www.youtube.com/channel/UCvctyDTqnJxUfRl6rLWF2bw</v>
      </c>
      <c r="U345" s="81"/>
      <c r="V345" s="81" t="s">
        <v>1885</v>
      </c>
      <c r="W345" s="86" t="str">
        <f>HYPERLINK("https://www.youtube.com/watch?v=wadBvDPeE4E")</f>
        <v>https://www.youtube.com/watch?v=wadBvDPeE4E</v>
      </c>
      <c r="X345" s="81" t="s">
        <v>1886</v>
      </c>
      <c r="Y345" s="81">
        <v>0</v>
      </c>
      <c r="Z345" s="88">
        <v>41572.02447916667</v>
      </c>
      <c r="AA345" s="88">
        <v>41572.02447916667</v>
      </c>
      <c r="AB345" s="81"/>
      <c r="AC345" s="81"/>
      <c r="AD345" s="84" t="s">
        <v>1927</v>
      </c>
      <c r="AE345" s="82">
        <v>1</v>
      </c>
      <c r="AF345" s="83" t="str">
        <f>REPLACE(INDEX(GroupVertices[Group],MATCH(Edges[[#This Row],[Vertex 1]],GroupVertices[Vertex],0)),1,1,"")</f>
        <v>1</v>
      </c>
      <c r="AG345" s="83" t="str">
        <f>REPLACE(INDEX(GroupVertices[Group],MATCH(Edges[[#This Row],[Vertex 2]],GroupVertices[Vertex],0)),1,1,"")</f>
        <v>1</v>
      </c>
      <c r="AH345" s="111">
        <v>0</v>
      </c>
      <c r="AI345" s="112">
        <v>0</v>
      </c>
      <c r="AJ345" s="111">
        <v>1</v>
      </c>
      <c r="AK345" s="112">
        <v>20</v>
      </c>
      <c r="AL345" s="111">
        <v>0</v>
      </c>
      <c r="AM345" s="112">
        <v>0</v>
      </c>
      <c r="AN345" s="111">
        <v>4</v>
      </c>
      <c r="AO345" s="112">
        <v>80</v>
      </c>
      <c r="AP345" s="111">
        <v>5</v>
      </c>
    </row>
    <row r="346" spans="1:42" ht="15">
      <c r="A346" s="65" t="s">
        <v>571</v>
      </c>
      <c r="B346" s="65" t="s">
        <v>786</v>
      </c>
      <c r="C346" s="66" t="s">
        <v>4509</v>
      </c>
      <c r="D346" s="67">
        <v>3</v>
      </c>
      <c r="E346" s="68"/>
      <c r="F346" s="69">
        <v>40</v>
      </c>
      <c r="G346" s="66"/>
      <c r="H346" s="70"/>
      <c r="I346" s="71"/>
      <c r="J346" s="71"/>
      <c r="K346" s="35" t="s">
        <v>65</v>
      </c>
      <c r="L346" s="79">
        <v>346</v>
      </c>
      <c r="M346" s="79"/>
      <c r="N346" s="73"/>
      <c r="O346" s="81" t="s">
        <v>788</v>
      </c>
      <c r="P346" s="81" t="s">
        <v>325</v>
      </c>
      <c r="Q346" s="84" t="s">
        <v>1134</v>
      </c>
      <c r="R346" s="81" t="s">
        <v>571</v>
      </c>
      <c r="S346" s="81" t="s">
        <v>1639</v>
      </c>
      <c r="T346" s="86" t="str">
        <f>HYPERLINK("http://www.youtube.com/channel/UC12qGozVuHCA3cTUh-jf4qA")</f>
        <v>http://www.youtube.com/channel/UC12qGozVuHCA3cTUh-jf4qA</v>
      </c>
      <c r="U346" s="81"/>
      <c r="V346" s="81" t="s">
        <v>1885</v>
      </c>
      <c r="W346" s="86" t="str">
        <f>HYPERLINK("https://www.youtube.com/watch?v=wadBvDPeE4E")</f>
        <v>https://www.youtube.com/watch?v=wadBvDPeE4E</v>
      </c>
      <c r="X346" s="81" t="s">
        <v>1886</v>
      </c>
      <c r="Y346" s="81">
        <v>0</v>
      </c>
      <c r="Z346" s="88">
        <v>41572.97122685185</v>
      </c>
      <c r="AA346" s="88">
        <v>41572.97122685185</v>
      </c>
      <c r="AB346" s="81"/>
      <c r="AC346" s="81"/>
      <c r="AD346" s="84" t="s">
        <v>1927</v>
      </c>
      <c r="AE346" s="82">
        <v>1</v>
      </c>
      <c r="AF346" s="83" t="str">
        <f>REPLACE(INDEX(GroupVertices[Group],MATCH(Edges[[#This Row],[Vertex 1]],GroupVertices[Vertex],0)),1,1,"")</f>
        <v>1</v>
      </c>
      <c r="AG346" s="83" t="str">
        <f>REPLACE(INDEX(GroupVertices[Group],MATCH(Edges[[#This Row],[Vertex 2]],GroupVertices[Vertex],0)),1,1,"")</f>
        <v>1</v>
      </c>
      <c r="AH346" s="111">
        <v>1</v>
      </c>
      <c r="AI346" s="112">
        <v>20</v>
      </c>
      <c r="AJ346" s="111">
        <v>0</v>
      </c>
      <c r="AK346" s="112">
        <v>0</v>
      </c>
      <c r="AL346" s="111">
        <v>0</v>
      </c>
      <c r="AM346" s="112">
        <v>0</v>
      </c>
      <c r="AN346" s="111">
        <v>4</v>
      </c>
      <c r="AO346" s="112">
        <v>80</v>
      </c>
      <c r="AP346" s="111">
        <v>5</v>
      </c>
    </row>
    <row r="347" spans="1:42" ht="15">
      <c r="A347" s="65" t="s">
        <v>572</v>
      </c>
      <c r="B347" s="65" t="s">
        <v>786</v>
      </c>
      <c r="C347" s="66" t="s">
        <v>4509</v>
      </c>
      <c r="D347" s="67">
        <v>3</v>
      </c>
      <c r="E347" s="68"/>
      <c r="F347" s="69">
        <v>40</v>
      </c>
      <c r="G347" s="66"/>
      <c r="H347" s="70"/>
      <c r="I347" s="71"/>
      <c r="J347" s="71"/>
      <c r="K347" s="35" t="s">
        <v>65</v>
      </c>
      <c r="L347" s="79">
        <v>347</v>
      </c>
      <c r="M347" s="79"/>
      <c r="N347" s="73"/>
      <c r="O347" s="81" t="s">
        <v>788</v>
      </c>
      <c r="P347" s="81" t="s">
        <v>325</v>
      </c>
      <c r="Q347" s="84" t="s">
        <v>1135</v>
      </c>
      <c r="R347" s="81" t="s">
        <v>572</v>
      </c>
      <c r="S347" s="81" t="s">
        <v>1640</v>
      </c>
      <c r="T347" s="86" t="str">
        <f>HYPERLINK("http://www.youtube.com/channel/UCaOr_H-LZlYSDiozzVQ1HIA")</f>
        <v>http://www.youtube.com/channel/UCaOr_H-LZlYSDiozzVQ1HIA</v>
      </c>
      <c r="U347" s="81"/>
      <c r="V347" s="81" t="s">
        <v>1885</v>
      </c>
      <c r="W347" s="86" t="str">
        <f>HYPERLINK("https://www.youtube.com/watch?v=wadBvDPeE4E")</f>
        <v>https://www.youtube.com/watch?v=wadBvDPeE4E</v>
      </c>
      <c r="X347" s="81" t="s">
        <v>1886</v>
      </c>
      <c r="Y347" s="81">
        <v>0</v>
      </c>
      <c r="Z347" s="88">
        <v>41575.70715277778</v>
      </c>
      <c r="AA347" s="88">
        <v>41575.70715277778</v>
      </c>
      <c r="AB347" s="81"/>
      <c r="AC347" s="81"/>
      <c r="AD347" s="84" t="s">
        <v>1927</v>
      </c>
      <c r="AE347" s="82">
        <v>1</v>
      </c>
      <c r="AF347" s="83" t="str">
        <f>REPLACE(INDEX(GroupVertices[Group],MATCH(Edges[[#This Row],[Vertex 1]],GroupVertices[Vertex],0)),1,1,"")</f>
        <v>1</v>
      </c>
      <c r="AG347" s="83" t="str">
        <f>REPLACE(INDEX(GroupVertices[Group],MATCH(Edges[[#This Row],[Vertex 2]],GroupVertices[Vertex],0)),1,1,"")</f>
        <v>1</v>
      </c>
      <c r="AH347" s="111">
        <v>1</v>
      </c>
      <c r="AI347" s="112">
        <v>50</v>
      </c>
      <c r="AJ347" s="111">
        <v>0</v>
      </c>
      <c r="AK347" s="112">
        <v>0</v>
      </c>
      <c r="AL347" s="111">
        <v>0</v>
      </c>
      <c r="AM347" s="112">
        <v>0</v>
      </c>
      <c r="AN347" s="111">
        <v>1</v>
      </c>
      <c r="AO347" s="112">
        <v>50</v>
      </c>
      <c r="AP347" s="111">
        <v>2</v>
      </c>
    </row>
    <row r="348" spans="1:42" ht="15">
      <c r="A348" s="65" t="s">
        <v>573</v>
      </c>
      <c r="B348" s="65" t="s">
        <v>786</v>
      </c>
      <c r="C348" s="66" t="s">
        <v>4509</v>
      </c>
      <c r="D348" s="67">
        <v>3</v>
      </c>
      <c r="E348" s="68"/>
      <c r="F348" s="69">
        <v>40</v>
      </c>
      <c r="G348" s="66"/>
      <c r="H348" s="70"/>
      <c r="I348" s="71"/>
      <c r="J348" s="71"/>
      <c r="K348" s="35" t="s">
        <v>65</v>
      </c>
      <c r="L348" s="79">
        <v>348</v>
      </c>
      <c r="M348" s="79"/>
      <c r="N348" s="73"/>
      <c r="O348" s="81" t="s">
        <v>788</v>
      </c>
      <c r="P348" s="81" t="s">
        <v>325</v>
      </c>
      <c r="Q348" s="84" t="s">
        <v>1136</v>
      </c>
      <c r="R348" s="81" t="s">
        <v>573</v>
      </c>
      <c r="S348" s="81" t="s">
        <v>1641</v>
      </c>
      <c r="T348" s="86" t="str">
        <f>HYPERLINK("http://www.youtube.com/channel/UCPCZL8M-h_foWBGTE802AGg")</f>
        <v>http://www.youtube.com/channel/UCPCZL8M-h_foWBGTE802AGg</v>
      </c>
      <c r="U348" s="81"/>
      <c r="V348" s="81" t="s">
        <v>1885</v>
      </c>
      <c r="W348" s="86" t="str">
        <f>HYPERLINK("https://www.youtube.com/watch?v=wadBvDPeE4E")</f>
        <v>https://www.youtube.com/watch?v=wadBvDPeE4E</v>
      </c>
      <c r="X348" s="81" t="s">
        <v>1886</v>
      </c>
      <c r="Y348" s="81">
        <v>0</v>
      </c>
      <c r="Z348" s="88">
        <v>41577.11305555556</v>
      </c>
      <c r="AA348" s="88">
        <v>41577.11305555556</v>
      </c>
      <c r="AB348" s="81"/>
      <c r="AC348" s="81"/>
      <c r="AD348" s="84" t="s">
        <v>1927</v>
      </c>
      <c r="AE348" s="82">
        <v>1</v>
      </c>
      <c r="AF348" s="83" t="str">
        <f>REPLACE(INDEX(GroupVertices[Group],MATCH(Edges[[#This Row],[Vertex 1]],GroupVertices[Vertex],0)),1,1,"")</f>
        <v>1</v>
      </c>
      <c r="AG348" s="83" t="str">
        <f>REPLACE(INDEX(GroupVertices[Group],MATCH(Edges[[#This Row],[Vertex 2]],GroupVertices[Vertex],0)),1,1,"")</f>
        <v>1</v>
      </c>
      <c r="AH348" s="111">
        <v>0</v>
      </c>
      <c r="AI348" s="112">
        <v>0</v>
      </c>
      <c r="AJ348" s="111">
        <v>2</v>
      </c>
      <c r="AK348" s="112">
        <v>6.666666666666667</v>
      </c>
      <c r="AL348" s="111">
        <v>0</v>
      </c>
      <c r="AM348" s="112">
        <v>0</v>
      </c>
      <c r="AN348" s="111">
        <v>28</v>
      </c>
      <c r="AO348" s="112">
        <v>93.33333333333333</v>
      </c>
      <c r="AP348" s="111">
        <v>30</v>
      </c>
    </row>
    <row r="349" spans="1:42" ht="15">
      <c r="A349" s="65" t="s">
        <v>574</v>
      </c>
      <c r="B349" s="65" t="s">
        <v>786</v>
      </c>
      <c r="C349" s="66" t="s">
        <v>4509</v>
      </c>
      <c r="D349" s="67">
        <v>3</v>
      </c>
      <c r="E349" s="68"/>
      <c r="F349" s="69">
        <v>40</v>
      </c>
      <c r="G349" s="66"/>
      <c r="H349" s="70"/>
      <c r="I349" s="71"/>
      <c r="J349" s="71"/>
      <c r="K349" s="35" t="s">
        <v>65</v>
      </c>
      <c r="L349" s="79">
        <v>349</v>
      </c>
      <c r="M349" s="79"/>
      <c r="N349" s="73"/>
      <c r="O349" s="81" t="s">
        <v>788</v>
      </c>
      <c r="P349" s="81" t="s">
        <v>325</v>
      </c>
      <c r="Q349" s="84" t="s">
        <v>1137</v>
      </c>
      <c r="R349" s="81" t="s">
        <v>574</v>
      </c>
      <c r="S349" s="81" t="s">
        <v>1642</v>
      </c>
      <c r="T349" s="86" t="str">
        <f>HYPERLINK("http://www.youtube.com/channel/UC3MPNU4xEyWjYZG47zrq27Q")</f>
        <v>http://www.youtube.com/channel/UC3MPNU4xEyWjYZG47zrq27Q</v>
      </c>
      <c r="U349" s="81"/>
      <c r="V349" s="81" t="s">
        <v>1885</v>
      </c>
      <c r="W349" s="86" t="str">
        <f>HYPERLINK("https://www.youtube.com/watch?v=wadBvDPeE4E")</f>
        <v>https://www.youtube.com/watch?v=wadBvDPeE4E</v>
      </c>
      <c r="X349" s="81" t="s">
        <v>1886</v>
      </c>
      <c r="Y349" s="81">
        <v>0</v>
      </c>
      <c r="Z349" s="88">
        <v>41580.055081018516</v>
      </c>
      <c r="AA349" s="88">
        <v>41580.055081018516</v>
      </c>
      <c r="AB349" s="81"/>
      <c r="AC349" s="81"/>
      <c r="AD349" s="84" t="s">
        <v>1927</v>
      </c>
      <c r="AE349" s="82">
        <v>1</v>
      </c>
      <c r="AF349" s="83" t="str">
        <f>REPLACE(INDEX(GroupVertices[Group],MATCH(Edges[[#This Row],[Vertex 1]],GroupVertices[Vertex],0)),1,1,"")</f>
        <v>1</v>
      </c>
      <c r="AG349" s="83" t="str">
        <f>REPLACE(INDEX(GroupVertices[Group],MATCH(Edges[[#This Row],[Vertex 2]],GroupVertices[Vertex],0)),1,1,"")</f>
        <v>1</v>
      </c>
      <c r="AH349" s="111">
        <v>0</v>
      </c>
      <c r="AI349" s="112">
        <v>0</v>
      </c>
      <c r="AJ349" s="111">
        <v>0</v>
      </c>
      <c r="AK349" s="112">
        <v>0</v>
      </c>
      <c r="AL349" s="111">
        <v>0</v>
      </c>
      <c r="AM349" s="112">
        <v>0</v>
      </c>
      <c r="AN349" s="111">
        <v>6</v>
      </c>
      <c r="AO349" s="112">
        <v>100</v>
      </c>
      <c r="AP349" s="111">
        <v>6</v>
      </c>
    </row>
    <row r="350" spans="1:42" ht="15">
      <c r="A350" s="65" t="s">
        <v>575</v>
      </c>
      <c r="B350" s="65" t="s">
        <v>786</v>
      </c>
      <c r="C350" s="66" t="s">
        <v>4509</v>
      </c>
      <c r="D350" s="67">
        <v>3</v>
      </c>
      <c r="E350" s="68"/>
      <c r="F350" s="69">
        <v>40</v>
      </c>
      <c r="G350" s="66"/>
      <c r="H350" s="70"/>
      <c r="I350" s="71"/>
      <c r="J350" s="71"/>
      <c r="K350" s="35" t="s">
        <v>65</v>
      </c>
      <c r="L350" s="79">
        <v>350</v>
      </c>
      <c r="M350" s="79"/>
      <c r="N350" s="73"/>
      <c r="O350" s="81" t="s">
        <v>788</v>
      </c>
      <c r="P350" s="81" t="s">
        <v>325</v>
      </c>
      <c r="Q350" s="84" t="s">
        <v>1138</v>
      </c>
      <c r="R350" s="81" t="s">
        <v>575</v>
      </c>
      <c r="S350" s="81" t="s">
        <v>1643</v>
      </c>
      <c r="T350" s="86" t="str">
        <f>HYPERLINK("http://www.youtube.com/channel/UCv4sWFVMoj-lIuAx_kN2W3w")</f>
        <v>http://www.youtube.com/channel/UCv4sWFVMoj-lIuAx_kN2W3w</v>
      </c>
      <c r="U350" s="81"/>
      <c r="V350" s="81" t="s">
        <v>1885</v>
      </c>
      <c r="W350" s="86" t="str">
        <f>HYPERLINK("https://www.youtube.com/watch?v=wadBvDPeE4E")</f>
        <v>https://www.youtube.com/watch?v=wadBvDPeE4E</v>
      </c>
      <c r="X350" s="81" t="s">
        <v>1886</v>
      </c>
      <c r="Y350" s="81">
        <v>1</v>
      </c>
      <c r="Z350" s="88">
        <v>41642.983935185184</v>
      </c>
      <c r="AA350" s="88">
        <v>41642.983935185184</v>
      </c>
      <c r="AB350" s="81"/>
      <c r="AC350" s="81"/>
      <c r="AD350" s="84" t="s">
        <v>1927</v>
      </c>
      <c r="AE350" s="82">
        <v>1</v>
      </c>
      <c r="AF350" s="83" t="str">
        <f>REPLACE(INDEX(GroupVertices[Group],MATCH(Edges[[#This Row],[Vertex 1]],GroupVertices[Vertex],0)),1,1,"")</f>
        <v>1</v>
      </c>
      <c r="AG350" s="83" t="str">
        <f>REPLACE(INDEX(GroupVertices[Group],MATCH(Edges[[#This Row],[Vertex 2]],GroupVertices[Vertex],0)),1,1,"")</f>
        <v>1</v>
      </c>
      <c r="AH350" s="111">
        <v>0</v>
      </c>
      <c r="AI350" s="112">
        <v>0</v>
      </c>
      <c r="AJ350" s="111">
        <v>1</v>
      </c>
      <c r="AK350" s="112">
        <v>16.666666666666668</v>
      </c>
      <c r="AL350" s="111">
        <v>0</v>
      </c>
      <c r="AM350" s="112">
        <v>0</v>
      </c>
      <c r="AN350" s="111">
        <v>5</v>
      </c>
      <c r="AO350" s="112">
        <v>83.33333333333333</v>
      </c>
      <c r="AP350" s="111">
        <v>6</v>
      </c>
    </row>
    <row r="351" spans="1:42" ht="15">
      <c r="A351" s="65" t="s">
        <v>576</v>
      </c>
      <c r="B351" s="65" t="s">
        <v>786</v>
      </c>
      <c r="C351" s="66" t="s">
        <v>4509</v>
      </c>
      <c r="D351" s="67">
        <v>3</v>
      </c>
      <c r="E351" s="68"/>
      <c r="F351" s="69">
        <v>40</v>
      </c>
      <c r="G351" s="66"/>
      <c r="H351" s="70"/>
      <c r="I351" s="71"/>
      <c r="J351" s="71"/>
      <c r="K351" s="35" t="s">
        <v>65</v>
      </c>
      <c r="L351" s="79">
        <v>351</v>
      </c>
      <c r="M351" s="79"/>
      <c r="N351" s="73"/>
      <c r="O351" s="81" t="s">
        <v>788</v>
      </c>
      <c r="P351" s="81" t="s">
        <v>325</v>
      </c>
      <c r="Q351" s="84" t="s">
        <v>1139</v>
      </c>
      <c r="R351" s="81" t="s">
        <v>576</v>
      </c>
      <c r="S351" s="81" t="s">
        <v>1644</v>
      </c>
      <c r="T351" s="86" t="str">
        <f>HYPERLINK("http://www.youtube.com/channel/UCVmYtYtQ_4jCFBZ0FlRti_A")</f>
        <v>http://www.youtube.com/channel/UCVmYtYtQ_4jCFBZ0FlRti_A</v>
      </c>
      <c r="U351" s="81"/>
      <c r="V351" s="81" t="s">
        <v>1885</v>
      </c>
      <c r="W351" s="86" t="str">
        <f>HYPERLINK("https://www.youtube.com/watch?v=wadBvDPeE4E")</f>
        <v>https://www.youtube.com/watch?v=wadBvDPeE4E</v>
      </c>
      <c r="X351" s="81" t="s">
        <v>1886</v>
      </c>
      <c r="Y351" s="81">
        <v>0</v>
      </c>
      <c r="Z351" s="88">
        <v>41671.614386574074</v>
      </c>
      <c r="AA351" s="88">
        <v>41671.614386574074</v>
      </c>
      <c r="AB351" s="81"/>
      <c r="AC351" s="81"/>
      <c r="AD351" s="84" t="s">
        <v>1927</v>
      </c>
      <c r="AE351" s="82">
        <v>1</v>
      </c>
      <c r="AF351" s="83" t="str">
        <f>REPLACE(INDEX(GroupVertices[Group],MATCH(Edges[[#This Row],[Vertex 1]],GroupVertices[Vertex],0)),1,1,"")</f>
        <v>1</v>
      </c>
      <c r="AG351" s="83" t="str">
        <f>REPLACE(INDEX(GroupVertices[Group],MATCH(Edges[[#This Row],[Vertex 2]],GroupVertices[Vertex],0)),1,1,"")</f>
        <v>1</v>
      </c>
      <c r="AH351" s="111">
        <v>3</v>
      </c>
      <c r="AI351" s="112">
        <v>9.375</v>
      </c>
      <c r="AJ351" s="111">
        <v>0</v>
      </c>
      <c r="AK351" s="112">
        <v>0</v>
      </c>
      <c r="AL351" s="111">
        <v>0</v>
      </c>
      <c r="AM351" s="112">
        <v>0</v>
      </c>
      <c r="AN351" s="111">
        <v>29</v>
      </c>
      <c r="AO351" s="112">
        <v>90.625</v>
      </c>
      <c r="AP351" s="111">
        <v>32</v>
      </c>
    </row>
    <row r="352" spans="1:42" ht="15">
      <c r="A352" s="65" t="s">
        <v>577</v>
      </c>
      <c r="B352" s="65" t="s">
        <v>786</v>
      </c>
      <c r="C352" s="66" t="s">
        <v>4509</v>
      </c>
      <c r="D352" s="67">
        <v>3</v>
      </c>
      <c r="E352" s="68"/>
      <c r="F352" s="69">
        <v>40</v>
      </c>
      <c r="G352" s="66"/>
      <c r="H352" s="70"/>
      <c r="I352" s="71"/>
      <c r="J352" s="71"/>
      <c r="K352" s="35" t="s">
        <v>65</v>
      </c>
      <c r="L352" s="79">
        <v>352</v>
      </c>
      <c r="M352" s="79"/>
      <c r="N352" s="73"/>
      <c r="O352" s="81" t="s">
        <v>788</v>
      </c>
      <c r="P352" s="81" t="s">
        <v>325</v>
      </c>
      <c r="Q352" s="84" t="s">
        <v>1140</v>
      </c>
      <c r="R352" s="81" t="s">
        <v>577</v>
      </c>
      <c r="S352" s="81" t="s">
        <v>1645</v>
      </c>
      <c r="T352" s="86" t="str">
        <f>HYPERLINK("http://www.youtube.com/channel/UCbn031xMt0D4fYqcgOvcJhQ")</f>
        <v>http://www.youtube.com/channel/UCbn031xMt0D4fYqcgOvcJhQ</v>
      </c>
      <c r="U352" s="81"/>
      <c r="V352" s="81" t="s">
        <v>1885</v>
      </c>
      <c r="W352" s="86" t="str">
        <f>HYPERLINK("https://www.youtube.com/watch?v=wadBvDPeE4E")</f>
        <v>https://www.youtube.com/watch?v=wadBvDPeE4E</v>
      </c>
      <c r="X352" s="81" t="s">
        <v>1886</v>
      </c>
      <c r="Y352" s="81">
        <v>0</v>
      </c>
      <c r="Z352" s="88">
        <v>41678.27275462963</v>
      </c>
      <c r="AA352" s="88">
        <v>41678.27275462963</v>
      </c>
      <c r="AB352" s="81" t="s">
        <v>1887</v>
      </c>
      <c r="AC352" s="81" t="s">
        <v>1922</v>
      </c>
      <c r="AD352" s="84" t="s">
        <v>1927</v>
      </c>
      <c r="AE352" s="82">
        <v>1</v>
      </c>
      <c r="AF352" s="83" t="str">
        <f>REPLACE(INDEX(GroupVertices[Group],MATCH(Edges[[#This Row],[Vertex 1]],GroupVertices[Vertex],0)),1,1,"")</f>
        <v>1</v>
      </c>
      <c r="AG352" s="83" t="str">
        <f>REPLACE(INDEX(GroupVertices[Group],MATCH(Edges[[#This Row],[Vertex 2]],GroupVertices[Vertex],0)),1,1,"")</f>
        <v>1</v>
      </c>
      <c r="AH352" s="111">
        <v>0</v>
      </c>
      <c r="AI352" s="112">
        <v>0</v>
      </c>
      <c r="AJ352" s="111">
        <v>1</v>
      </c>
      <c r="AK352" s="112">
        <v>2.7777777777777777</v>
      </c>
      <c r="AL352" s="111">
        <v>0</v>
      </c>
      <c r="AM352" s="112">
        <v>0</v>
      </c>
      <c r="AN352" s="111">
        <v>35</v>
      </c>
      <c r="AO352" s="112">
        <v>97.22222222222223</v>
      </c>
      <c r="AP352" s="111">
        <v>36</v>
      </c>
    </row>
    <row r="353" spans="1:42" ht="15">
      <c r="A353" s="65" t="s">
        <v>578</v>
      </c>
      <c r="B353" s="65" t="s">
        <v>580</v>
      </c>
      <c r="C353" s="66" t="s">
        <v>4509</v>
      </c>
      <c r="D353" s="67">
        <v>3</v>
      </c>
      <c r="E353" s="68"/>
      <c r="F353" s="69">
        <v>40</v>
      </c>
      <c r="G353" s="66"/>
      <c r="H353" s="70"/>
      <c r="I353" s="71"/>
      <c r="J353" s="71"/>
      <c r="K353" s="35" t="s">
        <v>65</v>
      </c>
      <c r="L353" s="79">
        <v>353</v>
      </c>
      <c r="M353" s="79"/>
      <c r="N353" s="73"/>
      <c r="O353" s="81" t="s">
        <v>789</v>
      </c>
      <c r="P353" s="81" t="s">
        <v>791</v>
      </c>
      <c r="Q353" s="84" t="s">
        <v>1141</v>
      </c>
      <c r="R353" s="81" t="s">
        <v>578</v>
      </c>
      <c r="S353" s="81" t="s">
        <v>1646</v>
      </c>
      <c r="T353" s="86" t="str">
        <f>HYPERLINK("http://www.youtube.com/channel/UC6nw5WxAUuhh1Cb45G0_k6A")</f>
        <v>http://www.youtube.com/channel/UC6nw5WxAUuhh1Cb45G0_k6A</v>
      </c>
      <c r="U353" s="81" t="s">
        <v>1860</v>
      </c>
      <c r="V353" s="81" t="s">
        <v>1885</v>
      </c>
      <c r="W353" s="86" t="str">
        <f>HYPERLINK("https://www.youtube.com/watch?v=wadBvDPeE4E")</f>
        <v>https://www.youtube.com/watch?v=wadBvDPeE4E</v>
      </c>
      <c r="X353" s="81" t="s">
        <v>1886</v>
      </c>
      <c r="Y353" s="81">
        <v>0</v>
      </c>
      <c r="Z353" s="88">
        <v>42320.15571759259</v>
      </c>
      <c r="AA353" s="88">
        <v>42320.15571759259</v>
      </c>
      <c r="AB353" s="81"/>
      <c r="AC353" s="81"/>
      <c r="AD353" s="84" t="s">
        <v>1927</v>
      </c>
      <c r="AE353" s="82">
        <v>1</v>
      </c>
      <c r="AF353" s="83" t="str">
        <f>REPLACE(INDEX(GroupVertices[Group],MATCH(Edges[[#This Row],[Vertex 1]],GroupVertices[Vertex],0)),1,1,"")</f>
        <v>2</v>
      </c>
      <c r="AG353" s="83" t="str">
        <f>REPLACE(INDEX(GroupVertices[Group],MATCH(Edges[[#This Row],[Vertex 2]],GroupVertices[Vertex],0)),1,1,"")</f>
        <v>2</v>
      </c>
      <c r="AH353" s="111">
        <v>2</v>
      </c>
      <c r="AI353" s="112">
        <v>9.090909090909092</v>
      </c>
      <c r="AJ353" s="111">
        <v>1</v>
      </c>
      <c r="AK353" s="112">
        <v>4.545454545454546</v>
      </c>
      <c r="AL353" s="111">
        <v>0</v>
      </c>
      <c r="AM353" s="112">
        <v>0</v>
      </c>
      <c r="AN353" s="111">
        <v>19</v>
      </c>
      <c r="AO353" s="112">
        <v>86.36363636363636</v>
      </c>
      <c r="AP353" s="111">
        <v>22</v>
      </c>
    </row>
    <row r="354" spans="1:42" ht="15">
      <c r="A354" s="65" t="s">
        <v>579</v>
      </c>
      <c r="B354" s="65" t="s">
        <v>580</v>
      </c>
      <c r="C354" s="66" t="s">
        <v>4509</v>
      </c>
      <c r="D354" s="67">
        <v>3</v>
      </c>
      <c r="E354" s="68"/>
      <c r="F354" s="69">
        <v>40</v>
      </c>
      <c r="G354" s="66"/>
      <c r="H354" s="70"/>
      <c r="I354" s="71"/>
      <c r="J354" s="71"/>
      <c r="K354" s="35" t="s">
        <v>65</v>
      </c>
      <c r="L354" s="79">
        <v>354</v>
      </c>
      <c r="M354" s="79"/>
      <c r="N354" s="73"/>
      <c r="O354" s="81" t="s">
        <v>789</v>
      </c>
      <c r="P354" s="81" t="s">
        <v>791</v>
      </c>
      <c r="Q354" s="84" t="s">
        <v>1142</v>
      </c>
      <c r="R354" s="81" t="s">
        <v>579</v>
      </c>
      <c r="S354" s="81" t="s">
        <v>1647</v>
      </c>
      <c r="T354" s="86" t="str">
        <f>HYPERLINK("http://www.youtube.com/channel/UCwkEMAb2hKoyywsozegFGMQ")</f>
        <v>http://www.youtube.com/channel/UCwkEMAb2hKoyywsozegFGMQ</v>
      </c>
      <c r="U354" s="81" t="s">
        <v>1860</v>
      </c>
      <c r="V354" s="81" t="s">
        <v>1885</v>
      </c>
      <c r="W354" s="86" t="str">
        <f>HYPERLINK("https://www.youtube.com/watch?v=wadBvDPeE4E")</f>
        <v>https://www.youtube.com/watch?v=wadBvDPeE4E</v>
      </c>
      <c r="X354" s="81" t="s">
        <v>1886</v>
      </c>
      <c r="Y354" s="81">
        <v>0</v>
      </c>
      <c r="Z354" s="88">
        <v>43325.65383101852</v>
      </c>
      <c r="AA354" s="88">
        <v>43325.65383101852</v>
      </c>
      <c r="AB354" s="81"/>
      <c r="AC354" s="81"/>
      <c r="AD354" s="84" t="s">
        <v>1927</v>
      </c>
      <c r="AE354" s="82">
        <v>1</v>
      </c>
      <c r="AF354" s="83" t="str">
        <f>REPLACE(INDEX(GroupVertices[Group],MATCH(Edges[[#This Row],[Vertex 1]],GroupVertices[Vertex],0)),1,1,"")</f>
        <v>2</v>
      </c>
      <c r="AG354" s="83" t="str">
        <f>REPLACE(INDEX(GroupVertices[Group],MATCH(Edges[[#This Row],[Vertex 2]],GroupVertices[Vertex],0)),1,1,"")</f>
        <v>2</v>
      </c>
      <c r="AH354" s="111">
        <v>1</v>
      </c>
      <c r="AI354" s="112">
        <v>4.761904761904762</v>
      </c>
      <c r="AJ354" s="111">
        <v>0</v>
      </c>
      <c r="AK354" s="112">
        <v>0</v>
      </c>
      <c r="AL354" s="111">
        <v>0</v>
      </c>
      <c r="AM354" s="112">
        <v>0</v>
      </c>
      <c r="AN354" s="111">
        <v>20</v>
      </c>
      <c r="AO354" s="112">
        <v>95.23809523809524</v>
      </c>
      <c r="AP354" s="111">
        <v>21</v>
      </c>
    </row>
    <row r="355" spans="1:42" ht="15">
      <c r="A355" s="65" t="s">
        <v>580</v>
      </c>
      <c r="B355" s="65" t="s">
        <v>786</v>
      </c>
      <c r="C355" s="66" t="s">
        <v>4509</v>
      </c>
      <c r="D355" s="67">
        <v>3</v>
      </c>
      <c r="E355" s="68"/>
      <c r="F355" s="69">
        <v>40</v>
      </c>
      <c r="G355" s="66"/>
      <c r="H355" s="70"/>
      <c r="I355" s="71"/>
      <c r="J355" s="71"/>
      <c r="K355" s="35" t="s">
        <v>65</v>
      </c>
      <c r="L355" s="79">
        <v>355</v>
      </c>
      <c r="M355" s="79"/>
      <c r="N355" s="73"/>
      <c r="O355" s="81" t="s">
        <v>788</v>
      </c>
      <c r="P355" s="81" t="s">
        <v>325</v>
      </c>
      <c r="Q355" s="84" t="s">
        <v>1143</v>
      </c>
      <c r="R355" s="81" t="s">
        <v>580</v>
      </c>
      <c r="S355" s="81" t="s">
        <v>1648</v>
      </c>
      <c r="T355" s="86" t="str">
        <f>HYPERLINK("http://www.youtube.com/channel/UCBw-qDr64vSqguezFJKPORQ")</f>
        <v>http://www.youtube.com/channel/UCBw-qDr64vSqguezFJKPORQ</v>
      </c>
      <c r="U355" s="81"/>
      <c r="V355" s="81" t="s">
        <v>1885</v>
      </c>
      <c r="W355" s="86" t="str">
        <f>HYPERLINK("https://www.youtube.com/watch?v=wadBvDPeE4E")</f>
        <v>https://www.youtube.com/watch?v=wadBvDPeE4E</v>
      </c>
      <c r="X355" s="81" t="s">
        <v>1886</v>
      </c>
      <c r="Y355" s="81">
        <v>0</v>
      </c>
      <c r="Z355" s="88">
        <v>41703.85167824074</v>
      </c>
      <c r="AA355" s="88">
        <v>41703.85167824074</v>
      </c>
      <c r="AB355" s="81"/>
      <c r="AC355" s="81"/>
      <c r="AD355" s="84" t="s">
        <v>1927</v>
      </c>
      <c r="AE355" s="82">
        <v>1</v>
      </c>
      <c r="AF355" s="83" t="str">
        <f>REPLACE(INDEX(GroupVertices[Group],MATCH(Edges[[#This Row],[Vertex 1]],GroupVertices[Vertex],0)),1,1,"")</f>
        <v>2</v>
      </c>
      <c r="AG355" s="83" t="str">
        <f>REPLACE(INDEX(GroupVertices[Group],MATCH(Edges[[#This Row],[Vertex 2]],GroupVertices[Vertex],0)),1,1,"")</f>
        <v>1</v>
      </c>
      <c r="AH355" s="111">
        <v>2</v>
      </c>
      <c r="AI355" s="112">
        <v>5.714285714285714</v>
      </c>
      <c r="AJ355" s="111">
        <v>1</v>
      </c>
      <c r="AK355" s="112">
        <v>2.857142857142857</v>
      </c>
      <c r="AL355" s="111">
        <v>0</v>
      </c>
      <c r="AM355" s="112">
        <v>0</v>
      </c>
      <c r="AN355" s="111">
        <v>32</v>
      </c>
      <c r="AO355" s="112">
        <v>91.42857142857143</v>
      </c>
      <c r="AP355" s="111">
        <v>35</v>
      </c>
    </row>
    <row r="356" spans="1:42" ht="15">
      <c r="A356" s="65" t="s">
        <v>581</v>
      </c>
      <c r="B356" s="65" t="s">
        <v>582</v>
      </c>
      <c r="C356" s="66" t="s">
        <v>4509</v>
      </c>
      <c r="D356" s="67">
        <v>3</v>
      </c>
      <c r="E356" s="68"/>
      <c r="F356" s="69">
        <v>40</v>
      </c>
      <c r="G356" s="66"/>
      <c r="H356" s="70"/>
      <c r="I356" s="71"/>
      <c r="J356" s="71"/>
      <c r="K356" s="35" t="s">
        <v>65</v>
      </c>
      <c r="L356" s="79">
        <v>356</v>
      </c>
      <c r="M356" s="79"/>
      <c r="N356" s="73"/>
      <c r="O356" s="81" t="s">
        <v>789</v>
      </c>
      <c r="P356" s="81" t="s">
        <v>791</v>
      </c>
      <c r="Q356" s="84" t="s">
        <v>1144</v>
      </c>
      <c r="R356" s="81" t="s">
        <v>581</v>
      </c>
      <c r="S356" s="81" t="s">
        <v>1649</v>
      </c>
      <c r="T356" s="86" t="str">
        <f>HYPERLINK("http://www.youtube.com/channel/UCpS3hbN61-1NW7Ey_ZclMGA")</f>
        <v>http://www.youtube.com/channel/UCpS3hbN61-1NW7Ey_ZclMGA</v>
      </c>
      <c r="U356" s="81" t="s">
        <v>1861</v>
      </c>
      <c r="V356" s="81" t="s">
        <v>1885</v>
      </c>
      <c r="W356" s="86" t="str">
        <f>HYPERLINK("https://www.youtube.com/watch?v=wadBvDPeE4E")</f>
        <v>https://www.youtube.com/watch?v=wadBvDPeE4E</v>
      </c>
      <c r="X356" s="81" t="s">
        <v>1886</v>
      </c>
      <c r="Y356" s="81">
        <v>0</v>
      </c>
      <c r="Z356" s="88">
        <v>41725.051712962966</v>
      </c>
      <c r="AA356" s="88">
        <v>41725.051712962966</v>
      </c>
      <c r="AB356" s="81"/>
      <c r="AC356" s="81"/>
      <c r="AD356" s="84" t="s">
        <v>1927</v>
      </c>
      <c r="AE356" s="82">
        <v>1</v>
      </c>
      <c r="AF356" s="83" t="str">
        <f>REPLACE(INDEX(GroupVertices[Group],MATCH(Edges[[#This Row],[Vertex 1]],GroupVertices[Vertex],0)),1,1,"")</f>
        <v>12</v>
      </c>
      <c r="AG356" s="83" t="str">
        <f>REPLACE(INDEX(GroupVertices[Group],MATCH(Edges[[#This Row],[Vertex 2]],GroupVertices[Vertex],0)),1,1,"")</f>
        <v>12</v>
      </c>
      <c r="AH356" s="111">
        <v>0</v>
      </c>
      <c r="AI356" s="112">
        <v>0</v>
      </c>
      <c r="AJ356" s="111">
        <v>1</v>
      </c>
      <c r="AK356" s="112">
        <v>4.545454545454546</v>
      </c>
      <c r="AL356" s="111">
        <v>0</v>
      </c>
      <c r="AM356" s="112">
        <v>0</v>
      </c>
      <c r="AN356" s="111">
        <v>21</v>
      </c>
      <c r="AO356" s="112">
        <v>95.45454545454545</v>
      </c>
      <c r="AP356" s="111">
        <v>22</v>
      </c>
    </row>
    <row r="357" spans="1:42" ht="15">
      <c r="A357" s="65" t="s">
        <v>582</v>
      </c>
      <c r="B357" s="65" t="s">
        <v>786</v>
      </c>
      <c r="C357" s="66" t="s">
        <v>4509</v>
      </c>
      <c r="D357" s="67">
        <v>3</v>
      </c>
      <c r="E357" s="68"/>
      <c r="F357" s="69">
        <v>40</v>
      </c>
      <c r="G357" s="66"/>
      <c r="H357" s="70"/>
      <c r="I357" s="71"/>
      <c r="J357" s="71"/>
      <c r="K357" s="35" t="s">
        <v>65</v>
      </c>
      <c r="L357" s="79">
        <v>357</v>
      </c>
      <c r="M357" s="79"/>
      <c r="N357" s="73"/>
      <c r="O357" s="81" t="s">
        <v>788</v>
      </c>
      <c r="P357" s="81" t="s">
        <v>325</v>
      </c>
      <c r="Q357" s="84" t="s">
        <v>1145</v>
      </c>
      <c r="R357" s="81" t="s">
        <v>582</v>
      </c>
      <c r="S357" s="81" t="s">
        <v>1650</v>
      </c>
      <c r="T357" s="86" t="str">
        <f>HYPERLINK("http://www.youtube.com/channel/UCLTrGhNFCcd-bxGMfo82ldA")</f>
        <v>http://www.youtube.com/channel/UCLTrGhNFCcd-bxGMfo82ldA</v>
      </c>
      <c r="U357" s="81"/>
      <c r="V357" s="81" t="s">
        <v>1885</v>
      </c>
      <c r="W357" s="86" t="str">
        <f>HYPERLINK("https://www.youtube.com/watch?v=wadBvDPeE4E")</f>
        <v>https://www.youtube.com/watch?v=wadBvDPeE4E</v>
      </c>
      <c r="X357" s="81" t="s">
        <v>1886</v>
      </c>
      <c r="Y357" s="81">
        <v>1</v>
      </c>
      <c r="Z357" s="88">
        <v>41713.083969907406</v>
      </c>
      <c r="AA357" s="88">
        <v>41713.083969907406</v>
      </c>
      <c r="AB357" s="81" t="s">
        <v>1888</v>
      </c>
      <c r="AC357" s="81" t="s">
        <v>1922</v>
      </c>
      <c r="AD357" s="84" t="s">
        <v>1927</v>
      </c>
      <c r="AE357" s="82">
        <v>1</v>
      </c>
      <c r="AF357" s="83" t="str">
        <f>REPLACE(INDEX(GroupVertices[Group],MATCH(Edges[[#This Row],[Vertex 1]],GroupVertices[Vertex],0)),1,1,"")</f>
        <v>12</v>
      </c>
      <c r="AG357" s="83" t="str">
        <f>REPLACE(INDEX(GroupVertices[Group],MATCH(Edges[[#This Row],[Vertex 2]],GroupVertices[Vertex],0)),1,1,"")</f>
        <v>1</v>
      </c>
      <c r="AH357" s="111">
        <v>0</v>
      </c>
      <c r="AI357" s="112">
        <v>0</v>
      </c>
      <c r="AJ357" s="111">
        <v>0</v>
      </c>
      <c r="AK357" s="112">
        <v>0</v>
      </c>
      <c r="AL357" s="111">
        <v>0</v>
      </c>
      <c r="AM357" s="112">
        <v>0</v>
      </c>
      <c r="AN357" s="111">
        <v>19</v>
      </c>
      <c r="AO357" s="112">
        <v>100</v>
      </c>
      <c r="AP357" s="111">
        <v>19</v>
      </c>
    </row>
    <row r="358" spans="1:42" ht="15">
      <c r="A358" s="65" t="s">
        <v>581</v>
      </c>
      <c r="B358" s="65" t="s">
        <v>583</v>
      </c>
      <c r="C358" s="66" t="s">
        <v>4510</v>
      </c>
      <c r="D358" s="67">
        <v>5.333333333333334</v>
      </c>
      <c r="E358" s="68"/>
      <c r="F358" s="69">
        <v>31.666666666666664</v>
      </c>
      <c r="G358" s="66"/>
      <c r="H358" s="70"/>
      <c r="I358" s="71"/>
      <c r="J358" s="71"/>
      <c r="K358" s="35" t="s">
        <v>65</v>
      </c>
      <c r="L358" s="79">
        <v>358</v>
      </c>
      <c r="M358" s="79"/>
      <c r="N358" s="73"/>
      <c r="O358" s="81" t="s">
        <v>789</v>
      </c>
      <c r="P358" s="81" t="s">
        <v>791</v>
      </c>
      <c r="Q358" s="84" t="s">
        <v>1146</v>
      </c>
      <c r="R358" s="81" t="s">
        <v>581</v>
      </c>
      <c r="S358" s="81" t="s">
        <v>1649</v>
      </c>
      <c r="T358" s="86" t="str">
        <f>HYPERLINK("http://www.youtube.com/channel/UCpS3hbN61-1NW7Ey_ZclMGA")</f>
        <v>http://www.youtube.com/channel/UCpS3hbN61-1NW7Ey_ZclMGA</v>
      </c>
      <c r="U358" s="81" t="s">
        <v>1862</v>
      </c>
      <c r="V358" s="81" t="s">
        <v>1885</v>
      </c>
      <c r="W358" s="86" t="str">
        <f>HYPERLINK("https://www.youtube.com/watch?v=wadBvDPeE4E")</f>
        <v>https://www.youtube.com/watch?v=wadBvDPeE4E</v>
      </c>
      <c r="X358" s="81" t="s">
        <v>1886</v>
      </c>
      <c r="Y358" s="81">
        <v>0</v>
      </c>
      <c r="Z358" s="88">
        <v>41725.04820601852</v>
      </c>
      <c r="AA358" s="88">
        <v>41725.04820601852</v>
      </c>
      <c r="AB358" s="81"/>
      <c r="AC358" s="81"/>
      <c r="AD358" s="84" t="s">
        <v>1927</v>
      </c>
      <c r="AE358" s="82">
        <v>2</v>
      </c>
      <c r="AF358" s="83" t="str">
        <f>REPLACE(INDEX(GroupVertices[Group],MATCH(Edges[[#This Row],[Vertex 1]],GroupVertices[Vertex],0)),1,1,"")</f>
        <v>12</v>
      </c>
      <c r="AG358" s="83" t="str">
        <f>REPLACE(INDEX(GroupVertices[Group],MATCH(Edges[[#This Row],[Vertex 2]],GroupVertices[Vertex],0)),1,1,"")</f>
        <v>12</v>
      </c>
      <c r="AH358" s="111">
        <v>2</v>
      </c>
      <c r="AI358" s="112">
        <v>12.5</v>
      </c>
      <c r="AJ358" s="111">
        <v>0</v>
      </c>
      <c r="AK358" s="112">
        <v>0</v>
      </c>
      <c r="AL358" s="111">
        <v>0</v>
      </c>
      <c r="AM358" s="112">
        <v>0</v>
      </c>
      <c r="AN358" s="111">
        <v>14</v>
      </c>
      <c r="AO358" s="112">
        <v>87.5</v>
      </c>
      <c r="AP358" s="111">
        <v>16</v>
      </c>
    </row>
    <row r="359" spans="1:42" ht="15">
      <c r="A359" s="65" t="s">
        <v>581</v>
      </c>
      <c r="B359" s="65" t="s">
        <v>583</v>
      </c>
      <c r="C359" s="66" t="s">
        <v>4510</v>
      </c>
      <c r="D359" s="67">
        <v>5.333333333333334</v>
      </c>
      <c r="E359" s="68"/>
      <c r="F359" s="69">
        <v>31.666666666666664</v>
      </c>
      <c r="G359" s="66"/>
      <c r="H359" s="70"/>
      <c r="I359" s="71"/>
      <c r="J359" s="71"/>
      <c r="K359" s="35" t="s">
        <v>65</v>
      </c>
      <c r="L359" s="79">
        <v>359</v>
      </c>
      <c r="M359" s="79"/>
      <c r="N359" s="73"/>
      <c r="O359" s="81" t="s">
        <v>789</v>
      </c>
      <c r="P359" s="81" t="s">
        <v>791</v>
      </c>
      <c r="Q359" s="84" t="s">
        <v>1147</v>
      </c>
      <c r="R359" s="81" t="s">
        <v>581</v>
      </c>
      <c r="S359" s="81" t="s">
        <v>1649</v>
      </c>
      <c r="T359" s="86" t="str">
        <f>HYPERLINK("http://www.youtube.com/channel/UCpS3hbN61-1NW7Ey_ZclMGA")</f>
        <v>http://www.youtube.com/channel/UCpS3hbN61-1NW7Ey_ZclMGA</v>
      </c>
      <c r="U359" s="81" t="s">
        <v>1862</v>
      </c>
      <c r="V359" s="81" t="s">
        <v>1885</v>
      </c>
      <c r="W359" s="86" t="str">
        <f>HYPERLINK("https://www.youtube.com/watch?v=wadBvDPeE4E")</f>
        <v>https://www.youtube.com/watch?v=wadBvDPeE4E</v>
      </c>
      <c r="X359" s="81" t="s">
        <v>1886</v>
      </c>
      <c r="Y359" s="81">
        <v>0</v>
      </c>
      <c r="Z359" s="88">
        <v>41725.176400462966</v>
      </c>
      <c r="AA359" s="88">
        <v>41725.176400462966</v>
      </c>
      <c r="AB359" s="81"/>
      <c r="AC359" s="81"/>
      <c r="AD359" s="84" t="s">
        <v>1927</v>
      </c>
      <c r="AE359" s="82">
        <v>2</v>
      </c>
      <c r="AF359" s="83" t="str">
        <f>REPLACE(INDEX(GroupVertices[Group],MATCH(Edges[[#This Row],[Vertex 1]],GroupVertices[Vertex],0)),1,1,"")</f>
        <v>12</v>
      </c>
      <c r="AG359" s="83" t="str">
        <f>REPLACE(INDEX(GroupVertices[Group],MATCH(Edges[[#This Row],[Vertex 2]],GroupVertices[Vertex],0)),1,1,"")</f>
        <v>12</v>
      </c>
      <c r="AH359" s="111">
        <v>0</v>
      </c>
      <c r="AI359" s="112">
        <v>0</v>
      </c>
      <c r="AJ359" s="111">
        <v>0</v>
      </c>
      <c r="AK359" s="112">
        <v>0</v>
      </c>
      <c r="AL359" s="111">
        <v>0</v>
      </c>
      <c r="AM359" s="112">
        <v>0</v>
      </c>
      <c r="AN359" s="111">
        <v>3</v>
      </c>
      <c r="AO359" s="112">
        <v>100</v>
      </c>
      <c r="AP359" s="111">
        <v>3</v>
      </c>
    </row>
    <row r="360" spans="1:42" ht="15">
      <c r="A360" s="65" t="s">
        <v>583</v>
      </c>
      <c r="B360" s="65" t="s">
        <v>583</v>
      </c>
      <c r="C360" s="66" t="s">
        <v>4509</v>
      </c>
      <c r="D360" s="67">
        <v>3</v>
      </c>
      <c r="E360" s="68"/>
      <c r="F360" s="69">
        <v>40</v>
      </c>
      <c r="G360" s="66"/>
      <c r="H360" s="70"/>
      <c r="I360" s="71"/>
      <c r="J360" s="71"/>
      <c r="K360" s="35" t="s">
        <v>65</v>
      </c>
      <c r="L360" s="79">
        <v>360</v>
      </c>
      <c r="M360" s="79"/>
      <c r="N360" s="73"/>
      <c r="O360" s="81" t="s">
        <v>789</v>
      </c>
      <c r="P360" s="81" t="s">
        <v>791</v>
      </c>
      <c r="Q360" s="84" t="s">
        <v>1148</v>
      </c>
      <c r="R360" s="81" t="s">
        <v>583</v>
      </c>
      <c r="S360" s="81" t="s">
        <v>1651</v>
      </c>
      <c r="T360" s="86" t="str">
        <f>HYPERLINK("http://www.youtube.com/channel/UCO5IoBzpZ2jyd_Iw2GVgnig")</f>
        <v>http://www.youtube.com/channel/UCO5IoBzpZ2jyd_Iw2GVgnig</v>
      </c>
      <c r="U360" s="81" t="s">
        <v>1862</v>
      </c>
      <c r="V360" s="81" t="s">
        <v>1885</v>
      </c>
      <c r="W360" s="86" t="str">
        <f>HYPERLINK("https://www.youtube.com/watch?v=wadBvDPeE4E")</f>
        <v>https://www.youtube.com/watch?v=wadBvDPeE4E</v>
      </c>
      <c r="X360" s="81" t="s">
        <v>1886</v>
      </c>
      <c r="Y360" s="81">
        <v>1</v>
      </c>
      <c r="Z360" s="88">
        <v>41725.14314814815</v>
      </c>
      <c r="AA360" s="88">
        <v>41725.14314814815</v>
      </c>
      <c r="AB360" s="81"/>
      <c r="AC360" s="81"/>
      <c r="AD360" s="84" t="s">
        <v>1927</v>
      </c>
      <c r="AE360" s="82">
        <v>1</v>
      </c>
      <c r="AF360" s="83" t="str">
        <f>REPLACE(INDEX(GroupVertices[Group],MATCH(Edges[[#This Row],[Vertex 1]],GroupVertices[Vertex],0)),1,1,"")</f>
        <v>12</v>
      </c>
      <c r="AG360" s="83" t="str">
        <f>REPLACE(INDEX(GroupVertices[Group],MATCH(Edges[[#This Row],[Vertex 2]],GroupVertices[Vertex],0)),1,1,"")</f>
        <v>12</v>
      </c>
      <c r="AH360" s="111">
        <v>9</v>
      </c>
      <c r="AI360" s="112">
        <v>13.636363636363637</v>
      </c>
      <c r="AJ360" s="111">
        <v>1</v>
      </c>
      <c r="AK360" s="112">
        <v>1.5151515151515151</v>
      </c>
      <c r="AL360" s="111">
        <v>0</v>
      </c>
      <c r="AM360" s="112">
        <v>0</v>
      </c>
      <c r="AN360" s="111">
        <v>56</v>
      </c>
      <c r="AO360" s="112">
        <v>84.84848484848484</v>
      </c>
      <c r="AP360" s="111">
        <v>66</v>
      </c>
    </row>
    <row r="361" spans="1:42" ht="15">
      <c r="A361" s="65" t="s">
        <v>583</v>
      </c>
      <c r="B361" s="65" t="s">
        <v>786</v>
      </c>
      <c r="C361" s="66" t="s">
        <v>4509</v>
      </c>
      <c r="D361" s="67">
        <v>3</v>
      </c>
      <c r="E361" s="68"/>
      <c r="F361" s="69">
        <v>40</v>
      </c>
      <c r="G361" s="66"/>
      <c r="H361" s="70"/>
      <c r="I361" s="71"/>
      <c r="J361" s="71"/>
      <c r="K361" s="35" t="s">
        <v>65</v>
      </c>
      <c r="L361" s="79">
        <v>361</v>
      </c>
      <c r="M361" s="79"/>
      <c r="N361" s="73"/>
      <c r="O361" s="81" t="s">
        <v>788</v>
      </c>
      <c r="P361" s="81" t="s">
        <v>325</v>
      </c>
      <c r="Q361" s="84" t="s">
        <v>1149</v>
      </c>
      <c r="R361" s="81" t="s">
        <v>583</v>
      </c>
      <c r="S361" s="81" t="s">
        <v>1651</v>
      </c>
      <c r="T361" s="86" t="str">
        <f>HYPERLINK("http://www.youtube.com/channel/UCO5IoBzpZ2jyd_Iw2GVgnig")</f>
        <v>http://www.youtube.com/channel/UCO5IoBzpZ2jyd_Iw2GVgnig</v>
      </c>
      <c r="U361" s="81"/>
      <c r="V361" s="81" t="s">
        <v>1885</v>
      </c>
      <c r="W361" s="86" t="str">
        <f>HYPERLINK("https://www.youtube.com/watch?v=wadBvDPeE4E")</f>
        <v>https://www.youtube.com/watch?v=wadBvDPeE4E</v>
      </c>
      <c r="X361" s="81" t="s">
        <v>1886</v>
      </c>
      <c r="Y361" s="81">
        <v>0</v>
      </c>
      <c r="Z361" s="88">
        <v>41717.031493055554</v>
      </c>
      <c r="AA361" s="88">
        <v>41717.031493055554</v>
      </c>
      <c r="AB361" s="81"/>
      <c r="AC361" s="81"/>
      <c r="AD361" s="84" t="s">
        <v>1927</v>
      </c>
      <c r="AE361" s="82">
        <v>1</v>
      </c>
      <c r="AF361" s="83" t="str">
        <f>REPLACE(INDEX(GroupVertices[Group],MATCH(Edges[[#This Row],[Vertex 1]],GroupVertices[Vertex],0)),1,1,"")</f>
        <v>12</v>
      </c>
      <c r="AG361" s="83" t="str">
        <f>REPLACE(INDEX(GroupVertices[Group],MATCH(Edges[[#This Row],[Vertex 2]],GroupVertices[Vertex],0)),1,1,"")</f>
        <v>1</v>
      </c>
      <c r="AH361" s="111">
        <v>3</v>
      </c>
      <c r="AI361" s="112">
        <v>11.538461538461538</v>
      </c>
      <c r="AJ361" s="111">
        <v>1</v>
      </c>
      <c r="AK361" s="112">
        <v>3.8461538461538463</v>
      </c>
      <c r="AL361" s="111">
        <v>0</v>
      </c>
      <c r="AM361" s="112">
        <v>0</v>
      </c>
      <c r="AN361" s="111">
        <v>22</v>
      </c>
      <c r="AO361" s="112">
        <v>84.61538461538461</v>
      </c>
      <c r="AP361" s="111">
        <v>26</v>
      </c>
    </row>
    <row r="362" spans="1:42" ht="15">
      <c r="A362" s="65" t="s">
        <v>584</v>
      </c>
      <c r="B362" s="65" t="s">
        <v>786</v>
      </c>
      <c r="C362" s="66" t="s">
        <v>4509</v>
      </c>
      <c r="D362" s="67">
        <v>3</v>
      </c>
      <c r="E362" s="68"/>
      <c r="F362" s="69">
        <v>40</v>
      </c>
      <c r="G362" s="66"/>
      <c r="H362" s="70"/>
      <c r="I362" s="71"/>
      <c r="J362" s="71"/>
      <c r="K362" s="35" t="s">
        <v>65</v>
      </c>
      <c r="L362" s="79">
        <v>362</v>
      </c>
      <c r="M362" s="79"/>
      <c r="N362" s="73"/>
      <c r="O362" s="81" t="s">
        <v>788</v>
      </c>
      <c r="P362" s="81" t="s">
        <v>325</v>
      </c>
      <c r="Q362" s="84" t="s">
        <v>1150</v>
      </c>
      <c r="R362" s="81" t="s">
        <v>584</v>
      </c>
      <c r="S362" s="81" t="s">
        <v>1652</v>
      </c>
      <c r="T362" s="86" t="str">
        <f>HYPERLINK("http://www.youtube.com/channel/UCupd9jNzWenTOu81RsEgcsQ")</f>
        <v>http://www.youtube.com/channel/UCupd9jNzWenTOu81RsEgcsQ</v>
      </c>
      <c r="U362" s="81"/>
      <c r="V362" s="81" t="s">
        <v>1885</v>
      </c>
      <c r="W362" s="86" t="str">
        <f>HYPERLINK("https://www.youtube.com/watch?v=wadBvDPeE4E")</f>
        <v>https://www.youtube.com/watch?v=wadBvDPeE4E</v>
      </c>
      <c r="X362" s="81" t="s">
        <v>1886</v>
      </c>
      <c r="Y362" s="81">
        <v>0</v>
      </c>
      <c r="Z362" s="88">
        <v>41727.34049768518</v>
      </c>
      <c r="AA362" s="88">
        <v>41727.34049768518</v>
      </c>
      <c r="AB362" s="81"/>
      <c r="AC362" s="81"/>
      <c r="AD362" s="84" t="s">
        <v>1927</v>
      </c>
      <c r="AE362" s="82">
        <v>1</v>
      </c>
      <c r="AF362" s="83" t="str">
        <f>REPLACE(INDEX(GroupVertices[Group],MATCH(Edges[[#This Row],[Vertex 1]],GroupVertices[Vertex],0)),1,1,"")</f>
        <v>1</v>
      </c>
      <c r="AG362" s="83" t="str">
        <f>REPLACE(INDEX(GroupVertices[Group],MATCH(Edges[[#This Row],[Vertex 2]],GroupVertices[Vertex],0)),1,1,"")</f>
        <v>1</v>
      </c>
      <c r="AH362" s="111">
        <v>0</v>
      </c>
      <c r="AI362" s="112">
        <v>0</v>
      </c>
      <c r="AJ362" s="111">
        <v>0</v>
      </c>
      <c r="AK362" s="112">
        <v>0</v>
      </c>
      <c r="AL362" s="111">
        <v>0</v>
      </c>
      <c r="AM362" s="112">
        <v>0</v>
      </c>
      <c r="AN362" s="111">
        <v>8</v>
      </c>
      <c r="AO362" s="112">
        <v>100</v>
      </c>
      <c r="AP362" s="111">
        <v>8</v>
      </c>
    </row>
    <row r="363" spans="1:42" ht="15">
      <c r="A363" s="65" t="s">
        <v>585</v>
      </c>
      <c r="B363" s="65" t="s">
        <v>786</v>
      </c>
      <c r="C363" s="66" t="s">
        <v>4509</v>
      </c>
      <c r="D363" s="67">
        <v>3</v>
      </c>
      <c r="E363" s="68"/>
      <c r="F363" s="69">
        <v>40</v>
      </c>
      <c r="G363" s="66"/>
      <c r="H363" s="70"/>
      <c r="I363" s="71"/>
      <c r="J363" s="71"/>
      <c r="K363" s="35" t="s">
        <v>65</v>
      </c>
      <c r="L363" s="79">
        <v>363</v>
      </c>
      <c r="M363" s="79"/>
      <c r="N363" s="73"/>
      <c r="O363" s="81" t="s">
        <v>788</v>
      </c>
      <c r="P363" s="81" t="s">
        <v>325</v>
      </c>
      <c r="Q363" s="84" t="s">
        <v>1151</v>
      </c>
      <c r="R363" s="81" t="s">
        <v>585</v>
      </c>
      <c r="S363" s="81" t="s">
        <v>1653</v>
      </c>
      <c r="T363" s="86" t="str">
        <f>HYPERLINK("http://www.youtube.com/channel/UCVh7SYDU1dpR9WyBJ89RQ3w")</f>
        <v>http://www.youtube.com/channel/UCVh7SYDU1dpR9WyBJ89RQ3w</v>
      </c>
      <c r="U363" s="81"/>
      <c r="V363" s="81" t="s">
        <v>1885</v>
      </c>
      <c r="W363" s="86" t="str">
        <f>HYPERLINK("https://www.youtube.com/watch?v=wadBvDPeE4E")</f>
        <v>https://www.youtube.com/watch?v=wadBvDPeE4E</v>
      </c>
      <c r="X363" s="81" t="s">
        <v>1886</v>
      </c>
      <c r="Y363" s="81">
        <v>3</v>
      </c>
      <c r="Z363" s="88">
        <v>41781.62211805556</v>
      </c>
      <c r="AA363" s="88">
        <v>41781.62211805556</v>
      </c>
      <c r="AB363" s="81"/>
      <c r="AC363" s="81"/>
      <c r="AD363" s="84" t="s">
        <v>1927</v>
      </c>
      <c r="AE363" s="82">
        <v>1</v>
      </c>
      <c r="AF363" s="83" t="str">
        <f>REPLACE(INDEX(GroupVertices[Group],MATCH(Edges[[#This Row],[Vertex 1]],GroupVertices[Vertex],0)),1,1,"")</f>
        <v>1</v>
      </c>
      <c r="AG363" s="83" t="str">
        <f>REPLACE(INDEX(GroupVertices[Group],MATCH(Edges[[#This Row],[Vertex 2]],GroupVertices[Vertex],0)),1,1,"")</f>
        <v>1</v>
      </c>
      <c r="AH363" s="111">
        <v>2</v>
      </c>
      <c r="AI363" s="112">
        <v>3.508771929824561</v>
      </c>
      <c r="AJ363" s="111">
        <v>0</v>
      </c>
      <c r="AK363" s="112">
        <v>0</v>
      </c>
      <c r="AL363" s="111">
        <v>0</v>
      </c>
      <c r="AM363" s="112">
        <v>0</v>
      </c>
      <c r="AN363" s="111">
        <v>55</v>
      </c>
      <c r="AO363" s="112">
        <v>96.49122807017544</v>
      </c>
      <c r="AP363" s="111">
        <v>57</v>
      </c>
    </row>
    <row r="364" spans="1:42" ht="15">
      <c r="A364" s="65" t="s">
        <v>586</v>
      </c>
      <c r="B364" s="65" t="s">
        <v>786</v>
      </c>
      <c r="C364" s="66" t="s">
        <v>4509</v>
      </c>
      <c r="D364" s="67">
        <v>3</v>
      </c>
      <c r="E364" s="68"/>
      <c r="F364" s="69">
        <v>40</v>
      </c>
      <c r="G364" s="66"/>
      <c r="H364" s="70"/>
      <c r="I364" s="71"/>
      <c r="J364" s="71"/>
      <c r="K364" s="35" t="s">
        <v>65</v>
      </c>
      <c r="L364" s="79">
        <v>364</v>
      </c>
      <c r="M364" s="79"/>
      <c r="N364" s="73"/>
      <c r="O364" s="81" t="s">
        <v>788</v>
      </c>
      <c r="P364" s="81" t="s">
        <v>325</v>
      </c>
      <c r="Q364" s="84" t="s">
        <v>1152</v>
      </c>
      <c r="R364" s="81" t="s">
        <v>586</v>
      </c>
      <c r="S364" s="81" t="s">
        <v>1654</v>
      </c>
      <c r="T364" s="86" t="str">
        <f>HYPERLINK("http://www.youtube.com/channel/UCxUstdY9AJBUwEgbZq2_LZA")</f>
        <v>http://www.youtube.com/channel/UCxUstdY9AJBUwEgbZq2_LZA</v>
      </c>
      <c r="U364" s="81"/>
      <c r="V364" s="81" t="s">
        <v>1885</v>
      </c>
      <c r="W364" s="86" t="str">
        <f>HYPERLINK("https://www.youtube.com/watch?v=wadBvDPeE4E")</f>
        <v>https://www.youtube.com/watch?v=wadBvDPeE4E</v>
      </c>
      <c r="X364" s="81" t="s">
        <v>1886</v>
      </c>
      <c r="Y364" s="81">
        <v>0</v>
      </c>
      <c r="Z364" s="88">
        <v>41806.25494212963</v>
      </c>
      <c r="AA364" s="88">
        <v>41806.25494212963</v>
      </c>
      <c r="AB364" s="81"/>
      <c r="AC364" s="81"/>
      <c r="AD364" s="84" t="s">
        <v>1927</v>
      </c>
      <c r="AE364" s="82">
        <v>1</v>
      </c>
      <c r="AF364" s="83" t="str">
        <f>REPLACE(INDEX(GroupVertices[Group],MATCH(Edges[[#This Row],[Vertex 1]],GroupVertices[Vertex],0)),1,1,"")</f>
        <v>1</v>
      </c>
      <c r="AG364" s="83" t="str">
        <f>REPLACE(INDEX(GroupVertices[Group],MATCH(Edges[[#This Row],[Vertex 2]],GroupVertices[Vertex],0)),1,1,"")</f>
        <v>1</v>
      </c>
      <c r="AH364" s="111">
        <v>0</v>
      </c>
      <c r="AI364" s="112">
        <v>0</v>
      </c>
      <c r="AJ364" s="111">
        <v>0</v>
      </c>
      <c r="AK364" s="112">
        <v>0</v>
      </c>
      <c r="AL364" s="111">
        <v>0</v>
      </c>
      <c r="AM364" s="112">
        <v>0</v>
      </c>
      <c r="AN364" s="111">
        <v>6</v>
      </c>
      <c r="AO364" s="112">
        <v>100</v>
      </c>
      <c r="AP364" s="111">
        <v>6</v>
      </c>
    </row>
    <row r="365" spans="1:42" ht="15">
      <c r="A365" s="65" t="s">
        <v>587</v>
      </c>
      <c r="B365" s="65" t="s">
        <v>786</v>
      </c>
      <c r="C365" s="66" t="s">
        <v>4509</v>
      </c>
      <c r="D365" s="67">
        <v>3</v>
      </c>
      <c r="E365" s="68"/>
      <c r="F365" s="69">
        <v>40</v>
      </c>
      <c r="G365" s="66"/>
      <c r="H365" s="70"/>
      <c r="I365" s="71"/>
      <c r="J365" s="71"/>
      <c r="K365" s="35" t="s">
        <v>65</v>
      </c>
      <c r="L365" s="79">
        <v>365</v>
      </c>
      <c r="M365" s="79"/>
      <c r="N365" s="73"/>
      <c r="O365" s="81" t="s">
        <v>788</v>
      </c>
      <c r="P365" s="81" t="s">
        <v>325</v>
      </c>
      <c r="Q365" s="84" t="s">
        <v>1153</v>
      </c>
      <c r="R365" s="81" t="s">
        <v>587</v>
      </c>
      <c r="S365" s="81" t="s">
        <v>1655</v>
      </c>
      <c r="T365" s="86" t="str">
        <f>HYPERLINK("http://www.youtube.com/channel/UCikRXGtV-s_i21BTIeG35xw")</f>
        <v>http://www.youtube.com/channel/UCikRXGtV-s_i21BTIeG35xw</v>
      </c>
      <c r="U365" s="81"/>
      <c r="V365" s="81" t="s">
        <v>1885</v>
      </c>
      <c r="W365" s="86" t="str">
        <f>HYPERLINK("https://www.youtube.com/watch?v=wadBvDPeE4E")</f>
        <v>https://www.youtube.com/watch?v=wadBvDPeE4E</v>
      </c>
      <c r="X365" s="81" t="s">
        <v>1886</v>
      </c>
      <c r="Y365" s="81">
        <v>0</v>
      </c>
      <c r="Z365" s="88">
        <v>41810.13898148148</v>
      </c>
      <c r="AA365" s="88">
        <v>41810.13898148148</v>
      </c>
      <c r="AB365" s="81"/>
      <c r="AC365" s="81"/>
      <c r="AD365" s="84" t="s">
        <v>1927</v>
      </c>
      <c r="AE365" s="82">
        <v>1</v>
      </c>
      <c r="AF365" s="83" t="str">
        <f>REPLACE(INDEX(GroupVertices[Group],MATCH(Edges[[#This Row],[Vertex 1]],GroupVertices[Vertex],0)),1,1,"")</f>
        <v>1</v>
      </c>
      <c r="AG365" s="83" t="str">
        <f>REPLACE(INDEX(GroupVertices[Group],MATCH(Edges[[#This Row],[Vertex 2]],GroupVertices[Vertex],0)),1,1,"")</f>
        <v>1</v>
      </c>
      <c r="AH365" s="111">
        <v>0</v>
      </c>
      <c r="AI365" s="112">
        <v>0</v>
      </c>
      <c r="AJ365" s="111">
        <v>0</v>
      </c>
      <c r="AK365" s="112">
        <v>0</v>
      </c>
      <c r="AL365" s="111">
        <v>0</v>
      </c>
      <c r="AM365" s="112">
        <v>0</v>
      </c>
      <c r="AN365" s="111">
        <v>65</v>
      </c>
      <c r="AO365" s="112">
        <v>100</v>
      </c>
      <c r="AP365" s="111">
        <v>65</v>
      </c>
    </row>
    <row r="366" spans="1:42" ht="15">
      <c r="A366" s="65" t="s">
        <v>588</v>
      </c>
      <c r="B366" s="65" t="s">
        <v>589</v>
      </c>
      <c r="C366" s="66" t="s">
        <v>4509</v>
      </c>
      <c r="D366" s="67">
        <v>3</v>
      </c>
      <c r="E366" s="68"/>
      <c r="F366" s="69">
        <v>40</v>
      </c>
      <c r="G366" s="66"/>
      <c r="H366" s="70"/>
      <c r="I366" s="71"/>
      <c r="J366" s="71"/>
      <c r="K366" s="35" t="s">
        <v>65</v>
      </c>
      <c r="L366" s="79">
        <v>366</v>
      </c>
      <c r="M366" s="79"/>
      <c r="N366" s="73"/>
      <c r="O366" s="81" t="s">
        <v>789</v>
      </c>
      <c r="P366" s="81" t="s">
        <v>791</v>
      </c>
      <c r="Q366" s="84" t="s">
        <v>1154</v>
      </c>
      <c r="R366" s="81" t="s">
        <v>588</v>
      </c>
      <c r="S366" s="81" t="s">
        <v>1656</v>
      </c>
      <c r="T366" s="86" t="str">
        <f>HYPERLINK("http://www.youtube.com/channel/UCgUhHwLepU37Cq-ragKIpNQ")</f>
        <v>http://www.youtube.com/channel/UCgUhHwLepU37Cq-ragKIpNQ</v>
      </c>
      <c r="U366" s="81" t="s">
        <v>1863</v>
      </c>
      <c r="V366" s="81" t="s">
        <v>1885</v>
      </c>
      <c r="W366" s="86" t="str">
        <f>HYPERLINK("https://www.youtube.com/watch?v=wadBvDPeE4E")</f>
        <v>https://www.youtube.com/watch?v=wadBvDPeE4E</v>
      </c>
      <c r="X366" s="81" t="s">
        <v>1886</v>
      </c>
      <c r="Y366" s="81">
        <v>1</v>
      </c>
      <c r="Z366" s="88">
        <v>42516.64695601852</v>
      </c>
      <c r="AA366" s="88">
        <v>42516.64695601852</v>
      </c>
      <c r="AB366" s="81"/>
      <c r="AC366" s="81"/>
      <c r="AD366" s="84" t="s">
        <v>1927</v>
      </c>
      <c r="AE366" s="82">
        <v>1</v>
      </c>
      <c r="AF366" s="83" t="str">
        <f>REPLACE(INDEX(GroupVertices[Group],MATCH(Edges[[#This Row],[Vertex 1]],GroupVertices[Vertex],0)),1,1,"")</f>
        <v>10</v>
      </c>
      <c r="AG366" s="83" t="str">
        <f>REPLACE(INDEX(GroupVertices[Group],MATCH(Edges[[#This Row],[Vertex 2]],GroupVertices[Vertex],0)),1,1,"")</f>
        <v>10</v>
      </c>
      <c r="AH366" s="111">
        <v>0</v>
      </c>
      <c r="AI366" s="112">
        <v>0</v>
      </c>
      <c r="AJ366" s="111">
        <v>1</v>
      </c>
      <c r="AK366" s="112">
        <v>3.225806451612903</v>
      </c>
      <c r="AL366" s="111">
        <v>0</v>
      </c>
      <c r="AM366" s="112">
        <v>0</v>
      </c>
      <c r="AN366" s="111">
        <v>30</v>
      </c>
      <c r="AO366" s="112">
        <v>96.7741935483871</v>
      </c>
      <c r="AP366" s="111">
        <v>31</v>
      </c>
    </row>
    <row r="367" spans="1:42" ht="15">
      <c r="A367" s="65" t="s">
        <v>589</v>
      </c>
      <c r="B367" s="65" t="s">
        <v>786</v>
      </c>
      <c r="C367" s="66" t="s">
        <v>4509</v>
      </c>
      <c r="D367" s="67">
        <v>3</v>
      </c>
      <c r="E367" s="68"/>
      <c r="F367" s="69">
        <v>40</v>
      </c>
      <c r="G367" s="66"/>
      <c r="H367" s="70"/>
      <c r="I367" s="71"/>
      <c r="J367" s="71"/>
      <c r="K367" s="35" t="s">
        <v>65</v>
      </c>
      <c r="L367" s="79">
        <v>367</v>
      </c>
      <c r="M367" s="79"/>
      <c r="N367" s="73"/>
      <c r="O367" s="81" t="s">
        <v>788</v>
      </c>
      <c r="P367" s="81" t="s">
        <v>325</v>
      </c>
      <c r="Q367" s="84" t="s">
        <v>1155</v>
      </c>
      <c r="R367" s="81" t="s">
        <v>589</v>
      </c>
      <c r="S367" s="81" t="s">
        <v>1657</v>
      </c>
      <c r="T367" s="86" t="str">
        <f>HYPERLINK("http://www.youtube.com/channel/UCyiHi26uybfcmq0--6DbWqQ")</f>
        <v>http://www.youtube.com/channel/UCyiHi26uybfcmq0--6DbWqQ</v>
      </c>
      <c r="U367" s="81"/>
      <c r="V367" s="81" t="s">
        <v>1885</v>
      </c>
      <c r="W367" s="86" t="str">
        <f>HYPERLINK("https://www.youtube.com/watch?v=wadBvDPeE4E")</f>
        <v>https://www.youtube.com/watch?v=wadBvDPeE4E</v>
      </c>
      <c r="X367" s="81" t="s">
        <v>1886</v>
      </c>
      <c r="Y367" s="81">
        <v>0</v>
      </c>
      <c r="Z367" s="88">
        <v>41814.41045138889</v>
      </c>
      <c r="AA367" s="88">
        <v>41814.41045138889</v>
      </c>
      <c r="AB367" s="81"/>
      <c r="AC367" s="81"/>
      <c r="AD367" s="84" t="s">
        <v>1927</v>
      </c>
      <c r="AE367" s="82">
        <v>1</v>
      </c>
      <c r="AF367" s="83" t="str">
        <f>REPLACE(INDEX(GroupVertices[Group],MATCH(Edges[[#This Row],[Vertex 1]],GroupVertices[Vertex],0)),1,1,"")</f>
        <v>10</v>
      </c>
      <c r="AG367" s="83" t="str">
        <f>REPLACE(INDEX(GroupVertices[Group],MATCH(Edges[[#This Row],[Vertex 2]],GroupVertices[Vertex],0)),1,1,"")</f>
        <v>1</v>
      </c>
      <c r="AH367" s="111">
        <v>1</v>
      </c>
      <c r="AI367" s="112">
        <v>1.492537313432836</v>
      </c>
      <c r="AJ367" s="111">
        <v>2</v>
      </c>
      <c r="AK367" s="112">
        <v>2.985074626865672</v>
      </c>
      <c r="AL367" s="111">
        <v>0</v>
      </c>
      <c r="AM367" s="112">
        <v>0</v>
      </c>
      <c r="AN367" s="111">
        <v>64</v>
      </c>
      <c r="AO367" s="112">
        <v>95.5223880597015</v>
      </c>
      <c r="AP367" s="111">
        <v>67</v>
      </c>
    </row>
    <row r="368" spans="1:42" ht="15">
      <c r="A368" s="65" t="s">
        <v>590</v>
      </c>
      <c r="B368" s="65" t="s">
        <v>786</v>
      </c>
      <c r="C368" s="66" t="s">
        <v>4509</v>
      </c>
      <c r="D368" s="67">
        <v>3</v>
      </c>
      <c r="E368" s="68"/>
      <c r="F368" s="69">
        <v>40</v>
      </c>
      <c r="G368" s="66"/>
      <c r="H368" s="70"/>
      <c r="I368" s="71"/>
      <c r="J368" s="71"/>
      <c r="K368" s="35" t="s">
        <v>65</v>
      </c>
      <c r="L368" s="79">
        <v>368</v>
      </c>
      <c r="M368" s="79"/>
      <c r="N368" s="73"/>
      <c r="O368" s="81" t="s">
        <v>788</v>
      </c>
      <c r="P368" s="81" t="s">
        <v>325</v>
      </c>
      <c r="Q368" s="84" t="s">
        <v>1156</v>
      </c>
      <c r="R368" s="81" t="s">
        <v>590</v>
      </c>
      <c r="S368" s="81" t="s">
        <v>1658</v>
      </c>
      <c r="T368" s="86" t="str">
        <f>HYPERLINK("http://www.youtube.com/channel/UCw0xhJL77u6VehiAEOKq6kg")</f>
        <v>http://www.youtube.com/channel/UCw0xhJL77u6VehiAEOKq6kg</v>
      </c>
      <c r="U368" s="81"/>
      <c r="V368" s="81" t="s">
        <v>1885</v>
      </c>
      <c r="W368" s="86" t="str">
        <f>HYPERLINK("https://www.youtube.com/watch?v=wadBvDPeE4E")</f>
        <v>https://www.youtube.com/watch?v=wadBvDPeE4E</v>
      </c>
      <c r="X368" s="81" t="s">
        <v>1886</v>
      </c>
      <c r="Y368" s="81">
        <v>0</v>
      </c>
      <c r="Z368" s="88">
        <v>41829.91638888889</v>
      </c>
      <c r="AA368" s="88">
        <v>41829.91638888889</v>
      </c>
      <c r="AB368" s="81" t="s">
        <v>1889</v>
      </c>
      <c r="AC368" s="81" t="s">
        <v>1922</v>
      </c>
      <c r="AD368" s="84" t="s">
        <v>1927</v>
      </c>
      <c r="AE368" s="82">
        <v>1</v>
      </c>
      <c r="AF368" s="83" t="str">
        <f>REPLACE(INDEX(GroupVertices[Group],MATCH(Edges[[#This Row],[Vertex 1]],GroupVertices[Vertex],0)),1,1,"")</f>
        <v>1</v>
      </c>
      <c r="AG368" s="83" t="str">
        <f>REPLACE(INDEX(GroupVertices[Group],MATCH(Edges[[#This Row],[Vertex 2]],GroupVertices[Vertex],0)),1,1,"")</f>
        <v>1</v>
      </c>
      <c r="AH368" s="111">
        <v>19</v>
      </c>
      <c r="AI368" s="112">
        <v>2.878787878787879</v>
      </c>
      <c r="AJ368" s="111">
        <v>33</v>
      </c>
      <c r="AK368" s="112">
        <v>5</v>
      </c>
      <c r="AL368" s="111">
        <v>0</v>
      </c>
      <c r="AM368" s="112">
        <v>0</v>
      </c>
      <c r="AN368" s="111">
        <v>608</v>
      </c>
      <c r="AO368" s="112">
        <v>92.12121212121212</v>
      </c>
      <c r="AP368" s="111">
        <v>660</v>
      </c>
    </row>
    <row r="369" spans="1:42" ht="15">
      <c r="A369" s="65" t="s">
        <v>591</v>
      </c>
      <c r="B369" s="65" t="s">
        <v>786</v>
      </c>
      <c r="C369" s="66" t="s">
        <v>4509</v>
      </c>
      <c r="D369" s="67">
        <v>3</v>
      </c>
      <c r="E369" s="68"/>
      <c r="F369" s="69">
        <v>40</v>
      </c>
      <c r="G369" s="66"/>
      <c r="H369" s="70"/>
      <c r="I369" s="71"/>
      <c r="J369" s="71"/>
      <c r="K369" s="35" t="s">
        <v>65</v>
      </c>
      <c r="L369" s="79">
        <v>369</v>
      </c>
      <c r="M369" s="79"/>
      <c r="N369" s="73"/>
      <c r="O369" s="81" t="s">
        <v>788</v>
      </c>
      <c r="P369" s="81" t="s">
        <v>325</v>
      </c>
      <c r="Q369" s="84" t="s">
        <v>1157</v>
      </c>
      <c r="R369" s="81" t="s">
        <v>591</v>
      </c>
      <c r="S369" s="81" t="s">
        <v>1631</v>
      </c>
      <c r="T369" s="86" t="str">
        <f>HYPERLINK("http://www.youtube.com/channel/UCv2Nf0LggXxUtPqmYWGjF2Q")</f>
        <v>http://www.youtube.com/channel/UCv2Nf0LggXxUtPqmYWGjF2Q</v>
      </c>
      <c r="U369" s="81"/>
      <c r="V369" s="81" t="s">
        <v>1885</v>
      </c>
      <c r="W369" s="86" t="str">
        <f>HYPERLINK("https://www.youtube.com/watch?v=wadBvDPeE4E")</f>
        <v>https://www.youtube.com/watch?v=wadBvDPeE4E</v>
      </c>
      <c r="X369" s="81" t="s">
        <v>1886</v>
      </c>
      <c r="Y369" s="81">
        <v>0</v>
      </c>
      <c r="Z369" s="88">
        <v>41834.748819444445</v>
      </c>
      <c r="AA369" s="88">
        <v>41834.748819444445</v>
      </c>
      <c r="AB369" s="81"/>
      <c r="AC369" s="81"/>
      <c r="AD369" s="84" t="s">
        <v>1927</v>
      </c>
      <c r="AE369" s="82">
        <v>1</v>
      </c>
      <c r="AF369" s="83" t="str">
        <f>REPLACE(INDEX(GroupVertices[Group],MATCH(Edges[[#This Row],[Vertex 1]],GroupVertices[Vertex],0)),1,1,"")</f>
        <v>1</v>
      </c>
      <c r="AG369" s="83" t="str">
        <f>REPLACE(INDEX(GroupVertices[Group],MATCH(Edges[[#This Row],[Vertex 2]],GroupVertices[Vertex],0)),1,1,"")</f>
        <v>1</v>
      </c>
      <c r="AH369" s="111">
        <v>2</v>
      </c>
      <c r="AI369" s="112">
        <v>3.5714285714285716</v>
      </c>
      <c r="AJ369" s="111">
        <v>0</v>
      </c>
      <c r="AK369" s="112">
        <v>0</v>
      </c>
      <c r="AL369" s="111">
        <v>0</v>
      </c>
      <c r="AM369" s="112">
        <v>0</v>
      </c>
      <c r="AN369" s="111">
        <v>54</v>
      </c>
      <c r="AO369" s="112">
        <v>96.42857142857143</v>
      </c>
      <c r="AP369" s="111">
        <v>56</v>
      </c>
    </row>
    <row r="370" spans="1:42" ht="15">
      <c r="A370" s="65" t="s">
        <v>503</v>
      </c>
      <c r="B370" s="65" t="s">
        <v>592</v>
      </c>
      <c r="C370" s="66" t="s">
        <v>4509</v>
      </c>
      <c r="D370" s="67">
        <v>3</v>
      </c>
      <c r="E370" s="68"/>
      <c r="F370" s="69">
        <v>40</v>
      </c>
      <c r="G370" s="66"/>
      <c r="H370" s="70"/>
      <c r="I370" s="71"/>
      <c r="J370" s="71"/>
      <c r="K370" s="35" t="s">
        <v>65</v>
      </c>
      <c r="L370" s="79">
        <v>370</v>
      </c>
      <c r="M370" s="79"/>
      <c r="N370" s="73"/>
      <c r="O370" s="81" t="s">
        <v>789</v>
      </c>
      <c r="P370" s="81" t="s">
        <v>791</v>
      </c>
      <c r="Q370" s="84" t="s">
        <v>1158</v>
      </c>
      <c r="R370" s="81" t="s">
        <v>503</v>
      </c>
      <c r="S370" s="81" t="s">
        <v>1571</v>
      </c>
      <c r="T370" s="86" t="str">
        <f>HYPERLINK("http://www.youtube.com/channel/UCcL0PxIXOU5-C1ckvdTiI1Q")</f>
        <v>http://www.youtube.com/channel/UCcL0PxIXOU5-C1ckvdTiI1Q</v>
      </c>
      <c r="U370" s="81" t="s">
        <v>1864</v>
      </c>
      <c r="V370" s="81" t="s">
        <v>1885</v>
      </c>
      <c r="W370" s="86" t="str">
        <f>HYPERLINK("https://www.youtube.com/watch?v=wadBvDPeE4E")</f>
        <v>https://www.youtube.com/watch?v=wadBvDPeE4E</v>
      </c>
      <c r="X370" s="81" t="s">
        <v>1886</v>
      </c>
      <c r="Y370" s="81">
        <v>1</v>
      </c>
      <c r="Z370" s="88">
        <v>44415.40966435185</v>
      </c>
      <c r="AA370" s="88">
        <v>44415.40966435185</v>
      </c>
      <c r="AB370" s="81"/>
      <c r="AC370" s="81"/>
      <c r="AD370" s="84" t="s">
        <v>1927</v>
      </c>
      <c r="AE370" s="82">
        <v>1</v>
      </c>
      <c r="AF370" s="83" t="str">
        <f>REPLACE(INDEX(GroupVertices[Group],MATCH(Edges[[#This Row],[Vertex 1]],GroupVertices[Vertex],0)),1,1,"")</f>
        <v>3</v>
      </c>
      <c r="AG370" s="83" t="str">
        <f>REPLACE(INDEX(GroupVertices[Group],MATCH(Edges[[#This Row],[Vertex 2]],GroupVertices[Vertex],0)),1,1,"")</f>
        <v>3</v>
      </c>
      <c r="AH370" s="111">
        <v>1</v>
      </c>
      <c r="AI370" s="112">
        <v>6.666666666666667</v>
      </c>
      <c r="AJ370" s="111">
        <v>0</v>
      </c>
      <c r="AK370" s="112">
        <v>0</v>
      </c>
      <c r="AL370" s="111">
        <v>0</v>
      </c>
      <c r="AM370" s="112">
        <v>0</v>
      </c>
      <c r="AN370" s="111">
        <v>14</v>
      </c>
      <c r="AO370" s="112">
        <v>93.33333333333333</v>
      </c>
      <c r="AP370" s="111">
        <v>15</v>
      </c>
    </row>
    <row r="371" spans="1:42" ht="15">
      <c r="A371" s="65" t="s">
        <v>438</v>
      </c>
      <c r="B371" s="65" t="s">
        <v>592</v>
      </c>
      <c r="C371" s="66" t="s">
        <v>4509</v>
      </c>
      <c r="D371" s="67">
        <v>3</v>
      </c>
      <c r="E371" s="68"/>
      <c r="F371" s="69">
        <v>40</v>
      </c>
      <c r="G371" s="66"/>
      <c r="H371" s="70"/>
      <c r="I371" s="71"/>
      <c r="J371" s="71"/>
      <c r="K371" s="35" t="s">
        <v>65</v>
      </c>
      <c r="L371" s="79">
        <v>371</v>
      </c>
      <c r="M371" s="79"/>
      <c r="N371" s="73"/>
      <c r="O371" s="81" t="s">
        <v>789</v>
      </c>
      <c r="P371" s="81" t="s">
        <v>791</v>
      </c>
      <c r="Q371" s="84" t="s">
        <v>1159</v>
      </c>
      <c r="R371" s="81" t="s">
        <v>438</v>
      </c>
      <c r="S371" s="81" t="s">
        <v>1506</v>
      </c>
      <c r="T371" s="86" t="str">
        <f>HYPERLINK("http://www.youtube.com/channel/UCyqRPzzVpb3nxouv8ngDnrA")</f>
        <v>http://www.youtube.com/channel/UCyqRPzzVpb3nxouv8ngDnrA</v>
      </c>
      <c r="U371" s="81" t="s">
        <v>1864</v>
      </c>
      <c r="V371" s="81" t="s">
        <v>1885</v>
      </c>
      <c r="W371" s="86" t="str">
        <f>HYPERLINK("https://www.youtube.com/watch?v=wadBvDPeE4E")</f>
        <v>https://www.youtube.com/watch?v=wadBvDPeE4E</v>
      </c>
      <c r="X371" s="81" t="s">
        <v>1886</v>
      </c>
      <c r="Y371" s="81">
        <v>1</v>
      </c>
      <c r="Z371" s="88">
        <v>44439.93461805556</v>
      </c>
      <c r="AA371" s="88">
        <v>44439.93461805556</v>
      </c>
      <c r="AB371" s="81"/>
      <c r="AC371" s="81"/>
      <c r="AD371" s="84" t="s">
        <v>1927</v>
      </c>
      <c r="AE371" s="82">
        <v>1</v>
      </c>
      <c r="AF371" s="83" t="str">
        <f>REPLACE(INDEX(GroupVertices[Group],MATCH(Edges[[#This Row],[Vertex 1]],GroupVertices[Vertex],0)),1,1,"")</f>
        <v>3</v>
      </c>
      <c r="AG371" s="83" t="str">
        <f>REPLACE(INDEX(GroupVertices[Group],MATCH(Edges[[#This Row],[Vertex 2]],GroupVertices[Vertex],0)),1,1,"")</f>
        <v>3</v>
      </c>
      <c r="AH371" s="111">
        <v>2</v>
      </c>
      <c r="AI371" s="112">
        <v>0.9302325581395349</v>
      </c>
      <c r="AJ371" s="111">
        <v>5</v>
      </c>
      <c r="AK371" s="112">
        <v>2.3255813953488373</v>
      </c>
      <c r="AL371" s="111">
        <v>0</v>
      </c>
      <c r="AM371" s="112">
        <v>0</v>
      </c>
      <c r="AN371" s="111">
        <v>208</v>
      </c>
      <c r="AO371" s="112">
        <v>96.74418604651163</v>
      </c>
      <c r="AP371" s="111">
        <v>215</v>
      </c>
    </row>
    <row r="372" spans="1:42" ht="15">
      <c r="A372" s="65" t="s">
        <v>592</v>
      </c>
      <c r="B372" s="65" t="s">
        <v>786</v>
      </c>
      <c r="C372" s="66" t="s">
        <v>4509</v>
      </c>
      <c r="D372" s="67">
        <v>3</v>
      </c>
      <c r="E372" s="68"/>
      <c r="F372" s="69">
        <v>40</v>
      </c>
      <c r="G372" s="66"/>
      <c r="H372" s="70"/>
      <c r="I372" s="71"/>
      <c r="J372" s="71"/>
      <c r="K372" s="35" t="s">
        <v>65</v>
      </c>
      <c r="L372" s="79">
        <v>372</v>
      </c>
      <c r="M372" s="79"/>
      <c r="N372" s="73"/>
      <c r="O372" s="81" t="s">
        <v>788</v>
      </c>
      <c r="P372" s="81" t="s">
        <v>325</v>
      </c>
      <c r="Q372" s="84" t="s">
        <v>1160</v>
      </c>
      <c r="R372" s="81" t="s">
        <v>592</v>
      </c>
      <c r="S372" s="81" t="s">
        <v>1659</v>
      </c>
      <c r="T372" s="86" t="str">
        <f>HYPERLINK("http://www.youtube.com/channel/UCfvHLuZ-MqM2aQEFk0pwU5Q")</f>
        <v>http://www.youtube.com/channel/UCfvHLuZ-MqM2aQEFk0pwU5Q</v>
      </c>
      <c r="U372" s="81"/>
      <c r="V372" s="81" t="s">
        <v>1885</v>
      </c>
      <c r="W372" s="86" t="str">
        <f>HYPERLINK("https://www.youtube.com/watch?v=wadBvDPeE4E")</f>
        <v>https://www.youtube.com/watch?v=wadBvDPeE4E</v>
      </c>
      <c r="X372" s="81" t="s">
        <v>1886</v>
      </c>
      <c r="Y372" s="81">
        <v>6</v>
      </c>
      <c r="Z372" s="88">
        <v>41852.15399305556</v>
      </c>
      <c r="AA372" s="88">
        <v>41852.15399305556</v>
      </c>
      <c r="AB372" s="81"/>
      <c r="AC372" s="81"/>
      <c r="AD372" s="84" t="s">
        <v>1927</v>
      </c>
      <c r="AE372" s="82">
        <v>1</v>
      </c>
      <c r="AF372" s="83" t="str">
        <f>REPLACE(INDEX(GroupVertices[Group],MATCH(Edges[[#This Row],[Vertex 1]],GroupVertices[Vertex],0)),1,1,"")</f>
        <v>3</v>
      </c>
      <c r="AG372" s="83" t="str">
        <f>REPLACE(INDEX(GroupVertices[Group],MATCH(Edges[[#This Row],[Vertex 2]],GroupVertices[Vertex],0)),1,1,"")</f>
        <v>1</v>
      </c>
      <c r="AH372" s="111">
        <v>1</v>
      </c>
      <c r="AI372" s="112">
        <v>11.11111111111111</v>
      </c>
      <c r="AJ372" s="111">
        <v>0</v>
      </c>
      <c r="AK372" s="112">
        <v>0</v>
      </c>
      <c r="AL372" s="111">
        <v>0</v>
      </c>
      <c r="AM372" s="112">
        <v>0</v>
      </c>
      <c r="AN372" s="111">
        <v>8</v>
      </c>
      <c r="AO372" s="112">
        <v>88.88888888888889</v>
      </c>
      <c r="AP372" s="111">
        <v>9</v>
      </c>
    </row>
    <row r="373" spans="1:42" ht="15">
      <c r="A373" s="65" t="s">
        <v>593</v>
      </c>
      <c r="B373" s="65" t="s">
        <v>786</v>
      </c>
      <c r="C373" s="66" t="s">
        <v>4509</v>
      </c>
      <c r="D373" s="67">
        <v>3</v>
      </c>
      <c r="E373" s="68"/>
      <c r="F373" s="69">
        <v>40</v>
      </c>
      <c r="G373" s="66"/>
      <c r="H373" s="70"/>
      <c r="I373" s="71"/>
      <c r="J373" s="71"/>
      <c r="K373" s="35" t="s">
        <v>65</v>
      </c>
      <c r="L373" s="79">
        <v>373</v>
      </c>
      <c r="M373" s="79"/>
      <c r="N373" s="73"/>
      <c r="O373" s="81" t="s">
        <v>788</v>
      </c>
      <c r="P373" s="81" t="s">
        <v>325</v>
      </c>
      <c r="Q373" s="84" t="s">
        <v>1161</v>
      </c>
      <c r="R373" s="81" t="s">
        <v>593</v>
      </c>
      <c r="S373" s="81" t="s">
        <v>1660</v>
      </c>
      <c r="T373" s="86" t="str">
        <f>HYPERLINK("http://www.youtube.com/channel/UCvBIiV2A1cPQImosZ4OS3eA")</f>
        <v>http://www.youtube.com/channel/UCvBIiV2A1cPQImosZ4OS3eA</v>
      </c>
      <c r="U373" s="81"/>
      <c r="V373" s="81" t="s">
        <v>1885</v>
      </c>
      <c r="W373" s="86" t="str">
        <f>HYPERLINK("https://www.youtube.com/watch?v=wadBvDPeE4E")</f>
        <v>https://www.youtube.com/watch?v=wadBvDPeE4E</v>
      </c>
      <c r="X373" s="81" t="s">
        <v>1886</v>
      </c>
      <c r="Y373" s="81">
        <v>0</v>
      </c>
      <c r="Z373" s="88">
        <v>41881.205243055556</v>
      </c>
      <c r="AA373" s="88">
        <v>41881.205243055556</v>
      </c>
      <c r="AB373" s="81"/>
      <c r="AC373" s="81"/>
      <c r="AD373" s="84" t="s">
        <v>1927</v>
      </c>
      <c r="AE373" s="82">
        <v>1</v>
      </c>
      <c r="AF373" s="83" t="str">
        <f>REPLACE(INDEX(GroupVertices[Group],MATCH(Edges[[#This Row],[Vertex 1]],GroupVertices[Vertex],0)),1,1,"")</f>
        <v>1</v>
      </c>
      <c r="AG373" s="83" t="str">
        <f>REPLACE(INDEX(GroupVertices[Group],MATCH(Edges[[#This Row],[Vertex 2]],GroupVertices[Vertex],0)),1,1,"")</f>
        <v>1</v>
      </c>
      <c r="AH373" s="111">
        <v>3</v>
      </c>
      <c r="AI373" s="112">
        <v>3.658536585365854</v>
      </c>
      <c r="AJ373" s="111">
        <v>0</v>
      </c>
      <c r="AK373" s="112">
        <v>0</v>
      </c>
      <c r="AL373" s="111">
        <v>0</v>
      </c>
      <c r="AM373" s="112">
        <v>0</v>
      </c>
      <c r="AN373" s="111">
        <v>79</v>
      </c>
      <c r="AO373" s="112">
        <v>96.34146341463415</v>
      </c>
      <c r="AP373" s="111">
        <v>82</v>
      </c>
    </row>
    <row r="374" spans="1:42" ht="15">
      <c r="A374" s="65" t="s">
        <v>594</v>
      </c>
      <c r="B374" s="65" t="s">
        <v>786</v>
      </c>
      <c r="C374" s="66" t="s">
        <v>4509</v>
      </c>
      <c r="D374" s="67">
        <v>3</v>
      </c>
      <c r="E374" s="68"/>
      <c r="F374" s="69">
        <v>40</v>
      </c>
      <c r="G374" s="66"/>
      <c r="H374" s="70"/>
      <c r="I374" s="71"/>
      <c r="J374" s="71"/>
      <c r="K374" s="35" t="s">
        <v>65</v>
      </c>
      <c r="L374" s="79">
        <v>374</v>
      </c>
      <c r="M374" s="79"/>
      <c r="N374" s="73"/>
      <c r="O374" s="81" t="s">
        <v>788</v>
      </c>
      <c r="P374" s="81" t="s">
        <v>325</v>
      </c>
      <c r="Q374" s="84" t="s">
        <v>1162</v>
      </c>
      <c r="R374" s="81" t="s">
        <v>594</v>
      </c>
      <c r="S374" s="81" t="s">
        <v>1661</v>
      </c>
      <c r="T374" s="86" t="str">
        <f>HYPERLINK("http://www.youtube.com/channel/UCsC1IN_InJGyZK8k0JWQpgQ")</f>
        <v>http://www.youtube.com/channel/UCsC1IN_InJGyZK8k0JWQpgQ</v>
      </c>
      <c r="U374" s="81"/>
      <c r="V374" s="81" t="s">
        <v>1885</v>
      </c>
      <c r="W374" s="86" t="str">
        <f>HYPERLINK("https://www.youtube.com/watch?v=wadBvDPeE4E")</f>
        <v>https://www.youtube.com/watch?v=wadBvDPeE4E</v>
      </c>
      <c r="X374" s="81" t="s">
        <v>1886</v>
      </c>
      <c r="Y374" s="81">
        <v>0</v>
      </c>
      <c r="Z374" s="88">
        <v>41920.11686342592</v>
      </c>
      <c r="AA374" s="88">
        <v>41920.11686342592</v>
      </c>
      <c r="AB374" s="81"/>
      <c r="AC374" s="81"/>
      <c r="AD374" s="84" t="s">
        <v>1927</v>
      </c>
      <c r="AE374" s="82">
        <v>1</v>
      </c>
      <c r="AF374" s="83" t="str">
        <f>REPLACE(INDEX(GroupVertices[Group],MATCH(Edges[[#This Row],[Vertex 1]],GroupVertices[Vertex],0)),1,1,"")</f>
        <v>1</v>
      </c>
      <c r="AG374" s="83" t="str">
        <f>REPLACE(INDEX(GroupVertices[Group],MATCH(Edges[[#This Row],[Vertex 2]],GroupVertices[Vertex],0)),1,1,"")</f>
        <v>1</v>
      </c>
      <c r="AH374" s="111">
        <v>0</v>
      </c>
      <c r="AI374" s="112">
        <v>0</v>
      </c>
      <c r="AJ374" s="111">
        <v>2</v>
      </c>
      <c r="AK374" s="112">
        <v>5.405405405405405</v>
      </c>
      <c r="AL374" s="111">
        <v>0</v>
      </c>
      <c r="AM374" s="112">
        <v>0</v>
      </c>
      <c r="AN374" s="111">
        <v>35</v>
      </c>
      <c r="AO374" s="112">
        <v>94.5945945945946</v>
      </c>
      <c r="AP374" s="111">
        <v>37</v>
      </c>
    </row>
    <row r="375" spans="1:42" ht="15">
      <c r="A375" s="65" t="s">
        <v>595</v>
      </c>
      <c r="B375" s="65" t="s">
        <v>786</v>
      </c>
      <c r="C375" s="66" t="s">
        <v>4509</v>
      </c>
      <c r="D375" s="67">
        <v>3</v>
      </c>
      <c r="E375" s="68"/>
      <c r="F375" s="69">
        <v>40</v>
      </c>
      <c r="G375" s="66"/>
      <c r="H375" s="70"/>
      <c r="I375" s="71"/>
      <c r="J375" s="71"/>
      <c r="K375" s="35" t="s">
        <v>65</v>
      </c>
      <c r="L375" s="79">
        <v>375</v>
      </c>
      <c r="M375" s="79"/>
      <c r="N375" s="73"/>
      <c r="O375" s="81" t="s">
        <v>788</v>
      </c>
      <c r="P375" s="81" t="s">
        <v>325</v>
      </c>
      <c r="Q375" s="84" t="s">
        <v>1163</v>
      </c>
      <c r="R375" s="81" t="s">
        <v>595</v>
      </c>
      <c r="S375" s="81" t="s">
        <v>1662</v>
      </c>
      <c r="T375" s="86" t="str">
        <f>HYPERLINK("http://www.youtube.com/channel/UC5qGdXO5DJnU6w-vU4hpOxQ")</f>
        <v>http://www.youtube.com/channel/UC5qGdXO5DJnU6w-vU4hpOxQ</v>
      </c>
      <c r="U375" s="81"/>
      <c r="V375" s="81" t="s">
        <v>1885</v>
      </c>
      <c r="W375" s="86" t="str">
        <f>HYPERLINK("https://www.youtube.com/watch?v=wadBvDPeE4E")</f>
        <v>https://www.youtube.com/watch?v=wadBvDPeE4E</v>
      </c>
      <c r="X375" s="81" t="s">
        <v>1886</v>
      </c>
      <c r="Y375" s="81">
        <v>1</v>
      </c>
      <c r="Z375" s="88">
        <v>41929.669328703705</v>
      </c>
      <c r="AA375" s="88">
        <v>41929.669328703705</v>
      </c>
      <c r="AB375" s="81"/>
      <c r="AC375" s="81"/>
      <c r="AD375" s="84" t="s">
        <v>1927</v>
      </c>
      <c r="AE375" s="82">
        <v>1</v>
      </c>
      <c r="AF375" s="83" t="str">
        <f>REPLACE(INDEX(GroupVertices[Group],MATCH(Edges[[#This Row],[Vertex 1]],GroupVertices[Vertex],0)),1,1,"")</f>
        <v>1</v>
      </c>
      <c r="AG375" s="83" t="str">
        <f>REPLACE(INDEX(GroupVertices[Group],MATCH(Edges[[#This Row],[Vertex 2]],GroupVertices[Vertex],0)),1,1,"")</f>
        <v>1</v>
      </c>
      <c r="AH375" s="111">
        <v>0</v>
      </c>
      <c r="AI375" s="112">
        <v>0</v>
      </c>
      <c r="AJ375" s="111">
        <v>0</v>
      </c>
      <c r="AK375" s="112">
        <v>0</v>
      </c>
      <c r="AL375" s="111">
        <v>0</v>
      </c>
      <c r="AM375" s="112">
        <v>0</v>
      </c>
      <c r="AN375" s="111">
        <v>13</v>
      </c>
      <c r="AO375" s="112">
        <v>100</v>
      </c>
      <c r="AP375" s="111">
        <v>13</v>
      </c>
    </row>
    <row r="376" spans="1:42" ht="15">
      <c r="A376" s="65" t="s">
        <v>596</v>
      </c>
      <c r="B376" s="65" t="s">
        <v>598</v>
      </c>
      <c r="C376" s="66" t="s">
        <v>4509</v>
      </c>
      <c r="D376" s="67">
        <v>3</v>
      </c>
      <c r="E376" s="68"/>
      <c r="F376" s="69">
        <v>40</v>
      </c>
      <c r="G376" s="66"/>
      <c r="H376" s="70"/>
      <c r="I376" s="71"/>
      <c r="J376" s="71"/>
      <c r="K376" s="35" t="s">
        <v>65</v>
      </c>
      <c r="L376" s="79">
        <v>376</v>
      </c>
      <c r="M376" s="79"/>
      <c r="N376" s="73"/>
      <c r="O376" s="81" t="s">
        <v>789</v>
      </c>
      <c r="P376" s="81" t="s">
        <v>791</v>
      </c>
      <c r="Q376" s="84" t="s">
        <v>1164</v>
      </c>
      <c r="R376" s="81" t="s">
        <v>596</v>
      </c>
      <c r="S376" s="81" t="s">
        <v>1663</v>
      </c>
      <c r="T376" s="86" t="str">
        <f>HYPERLINK("http://www.youtube.com/channel/UCsTFw-jeJdJDi20LmiK9Lnw")</f>
        <v>http://www.youtube.com/channel/UCsTFw-jeJdJDi20LmiK9Lnw</v>
      </c>
      <c r="U376" s="81" t="s">
        <v>1865</v>
      </c>
      <c r="V376" s="81" t="s">
        <v>1885</v>
      </c>
      <c r="W376" s="86" t="str">
        <f>HYPERLINK("https://www.youtube.com/watch?v=wadBvDPeE4E")</f>
        <v>https://www.youtube.com/watch?v=wadBvDPeE4E</v>
      </c>
      <c r="X376" s="81" t="s">
        <v>1886</v>
      </c>
      <c r="Y376" s="81">
        <v>1</v>
      </c>
      <c r="Z376" s="88">
        <v>41973.11924768519</v>
      </c>
      <c r="AA376" s="88">
        <v>41973.11924768519</v>
      </c>
      <c r="AB376" s="81"/>
      <c r="AC376" s="81"/>
      <c r="AD376" s="84" t="s">
        <v>1927</v>
      </c>
      <c r="AE376" s="82">
        <v>1</v>
      </c>
      <c r="AF376" s="83" t="str">
        <f>REPLACE(INDEX(GroupVertices[Group],MATCH(Edges[[#This Row],[Vertex 1]],GroupVertices[Vertex],0)),1,1,"")</f>
        <v>11</v>
      </c>
      <c r="AG376" s="83" t="str">
        <f>REPLACE(INDEX(GroupVertices[Group],MATCH(Edges[[#This Row],[Vertex 2]],GroupVertices[Vertex],0)),1,1,"")</f>
        <v>11</v>
      </c>
      <c r="AH376" s="111">
        <v>1</v>
      </c>
      <c r="AI376" s="112">
        <v>6.25</v>
      </c>
      <c r="AJ376" s="111">
        <v>2</v>
      </c>
      <c r="AK376" s="112">
        <v>12.5</v>
      </c>
      <c r="AL376" s="111">
        <v>0</v>
      </c>
      <c r="AM376" s="112">
        <v>0</v>
      </c>
      <c r="AN376" s="111">
        <v>13</v>
      </c>
      <c r="AO376" s="112">
        <v>81.25</v>
      </c>
      <c r="AP376" s="111">
        <v>16</v>
      </c>
    </row>
    <row r="377" spans="1:42" ht="15">
      <c r="A377" s="65" t="s">
        <v>597</v>
      </c>
      <c r="B377" s="65" t="s">
        <v>598</v>
      </c>
      <c r="C377" s="66" t="s">
        <v>4509</v>
      </c>
      <c r="D377" s="67">
        <v>3</v>
      </c>
      <c r="E377" s="68"/>
      <c r="F377" s="69">
        <v>40</v>
      </c>
      <c r="G377" s="66"/>
      <c r="H377" s="70"/>
      <c r="I377" s="71"/>
      <c r="J377" s="71"/>
      <c r="K377" s="35" t="s">
        <v>65</v>
      </c>
      <c r="L377" s="79">
        <v>377</v>
      </c>
      <c r="M377" s="79"/>
      <c r="N377" s="73"/>
      <c r="O377" s="81" t="s">
        <v>789</v>
      </c>
      <c r="P377" s="81" t="s">
        <v>791</v>
      </c>
      <c r="Q377" s="84" t="s">
        <v>1165</v>
      </c>
      <c r="R377" s="81" t="s">
        <v>597</v>
      </c>
      <c r="S377" s="81" t="s">
        <v>1664</v>
      </c>
      <c r="T377" s="86" t="str">
        <f>HYPERLINK("http://www.youtube.com/channel/UC8QwXSKYXkFbEP1uhMrOq4A")</f>
        <v>http://www.youtube.com/channel/UC8QwXSKYXkFbEP1uhMrOq4A</v>
      </c>
      <c r="U377" s="81" t="s">
        <v>1865</v>
      </c>
      <c r="V377" s="81" t="s">
        <v>1885</v>
      </c>
      <c r="W377" s="86" t="str">
        <f>HYPERLINK("https://www.youtube.com/watch?v=wadBvDPeE4E")</f>
        <v>https://www.youtube.com/watch?v=wadBvDPeE4E</v>
      </c>
      <c r="X377" s="81" t="s">
        <v>1886</v>
      </c>
      <c r="Y377" s="81">
        <v>0</v>
      </c>
      <c r="Z377" s="88">
        <v>42160.9366087963</v>
      </c>
      <c r="AA377" s="88">
        <v>42160.9366087963</v>
      </c>
      <c r="AB377" s="81"/>
      <c r="AC377" s="81"/>
      <c r="AD377" s="84" t="s">
        <v>1927</v>
      </c>
      <c r="AE377" s="82">
        <v>1</v>
      </c>
      <c r="AF377" s="83" t="str">
        <f>REPLACE(INDEX(GroupVertices[Group],MATCH(Edges[[#This Row],[Vertex 1]],GroupVertices[Vertex],0)),1,1,"")</f>
        <v>11</v>
      </c>
      <c r="AG377" s="83" t="str">
        <f>REPLACE(INDEX(GroupVertices[Group],MATCH(Edges[[#This Row],[Vertex 2]],GroupVertices[Vertex],0)),1,1,"")</f>
        <v>11</v>
      </c>
      <c r="AH377" s="111">
        <v>0</v>
      </c>
      <c r="AI377" s="112">
        <v>0</v>
      </c>
      <c r="AJ377" s="111">
        <v>0</v>
      </c>
      <c r="AK377" s="112">
        <v>0</v>
      </c>
      <c r="AL377" s="111">
        <v>0</v>
      </c>
      <c r="AM377" s="112">
        <v>0</v>
      </c>
      <c r="AN377" s="111">
        <v>16</v>
      </c>
      <c r="AO377" s="112">
        <v>100</v>
      </c>
      <c r="AP377" s="111">
        <v>16</v>
      </c>
    </row>
    <row r="378" spans="1:42" ht="15">
      <c r="A378" s="65" t="s">
        <v>598</v>
      </c>
      <c r="B378" s="65" t="s">
        <v>786</v>
      </c>
      <c r="C378" s="66" t="s">
        <v>4509</v>
      </c>
      <c r="D378" s="67">
        <v>3</v>
      </c>
      <c r="E378" s="68"/>
      <c r="F378" s="69">
        <v>40</v>
      </c>
      <c r="G378" s="66"/>
      <c r="H378" s="70"/>
      <c r="I378" s="71"/>
      <c r="J378" s="71"/>
      <c r="K378" s="35" t="s">
        <v>65</v>
      </c>
      <c r="L378" s="79">
        <v>378</v>
      </c>
      <c r="M378" s="79"/>
      <c r="N378" s="73"/>
      <c r="O378" s="81" t="s">
        <v>788</v>
      </c>
      <c r="P378" s="81" t="s">
        <v>325</v>
      </c>
      <c r="Q378" s="84" t="s">
        <v>1166</v>
      </c>
      <c r="R378" s="81" t="s">
        <v>598</v>
      </c>
      <c r="S378" s="81" t="s">
        <v>1665</v>
      </c>
      <c r="T378" s="86" t="str">
        <f>HYPERLINK("http://www.youtube.com/channel/UCGJtAsDX_qIPZcsNufRV5ow")</f>
        <v>http://www.youtube.com/channel/UCGJtAsDX_qIPZcsNufRV5ow</v>
      </c>
      <c r="U378" s="81"/>
      <c r="V378" s="81" t="s">
        <v>1885</v>
      </c>
      <c r="W378" s="86" t="str">
        <f>HYPERLINK("https://www.youtube.com/watch?v=wadBvDPeE4E")</f>
        <v>https://www.youtube.com/watch?v=wadBvDPeE4E</v>
      </c>
      <c r="X378" s="81" t="s">
        <v>1886</v>
      </c>
      <c r="Y378" s="81">
        <v>0</v>
      </c>
      <c r="Z378" s="88">
        <v>41956.31520833333</v>
      </c>
      <c r="AA378" s="88">
        <v>41956.31520833333</v>
      </c>
      <c r="AB378" s="81"/>
      <c r="AC378" s="81"/>
      <c r="AD378" s="84" t="s">
        <v>1927</v>
      </c>
      <c r="AE378" s="82">
        <v>1</v>
      </c>
      <c r="AF378" s="83" t="str">
        <f>REPLACE(INDEX(GroupVertices[Group],MATCH(Edges[[#This Row],[Vertex 1]],GroupVertices[Vertex],0)),1,1,"")</f>
        <v>11</v>
      </c>
      <c r="AG378" s="83" t="str">
        <f>REPLACE(INDEX(GroupVertices[Group],MATCH(Edges[[#This Row],[Vertex 2]],GroupVertices[Vertex],0)),1,1,"")</f>
        <v>1</v>
      </c>
      <c r="AH378" s="111">
        <v>0</v>
      </c>
      <c r="AI378" s="112">
        <v>0</v>
      </c>
      <c r="AJ378" s="111">
        <v>0</v>
      </c>
      <c r="AK378" s="112">
        <v>0</v>
      </c>
      <c r="AL378" s="111">
        <v>0</v>
      </c>
      <c r="AM378" s="112">
        <v>0</v>
      </c>
      <c r="AN378" s="111">
        <v>9</v>
      </c>
      <c r="AO378" s="112">
        <v>100</v>
      </c>
      <c r="AP378" s="111">
        <v>9</v>
      </c>
    </row>
    <row r="379" spans="1:42" ht="15">
      <c r="A379" s="65" t="s">
        <v>599</v>
      </c>
      <c r="B379" s="65" t="s">
        <v>786</v>
      </c>
      <c r="C379" s="66" t="s">
        <v>4509</v>
      </c>
      <c r="D379" s="67">
        <v>3</v>
      </c>
      <c r="E379" s="68"/>
      <c r="F379" s="69">
        <v>40</v>
      </c>
      <c r="G379" s="66"/>
      <c r="H379" s="70"/>
      <c r="I379" s="71"/>
      <c r="J379" s="71"/>
      <c r="K379" s="35" t="s">
        <v>65</v>
      </c>
      <c r="L379" s="79">
        <v>379</v>
      </c>
      <c r="M379" s="79"/>
      <c r="N379" s="73"/>
      <c r="O379" s="81" t="s">
        <v>788</v>
      </c>
      <c r="P379" s="81" t="s">
        <v>325</v>
      </c>
      <c r="Q379" s="84" t="s">
        <v>1167</v>
      </c>
      <c r="R379" s="81" t="s">
        <v>599</v>
      </c>
      <c r="S379" s="81" t="s">
        <v>1666</v>
      </c>
      <c r="T379" s="86" t="str">
        <f>HYPERLINK("http://www.youtube.com/channel/UCjASN7Tc7IhwB8O8Kup0ZMQ")</f>
        <v>http://www.youtube.com/channel/UCjASN7Tc7IhwB8O8Kup0ZMQ</v>
      </c>
      <c r="U379" s="81"/>
      <c r="V379" s="81" t="s">
        <v>1885</v>
      </c>
      <c r="W379" s="86" t="str">
        <f>HYPERLINK("https://www.youtube.com/watch?v=wadBvDPeE4E")</f>
        <v>https://www.youtube.com/watch?v=wadBvDPeE4E</v>
      </c>
      <c r="X379" s="81" t="s">
        <v>1886</v>
      </c>
      <c r="Y379" s="81">
        <v>0</v>
      </c>
      <c r="Z379" s="88">
        <v>41959.274097222224</v>
      </c>
      <c r="AA379" s="88">
        <v>41959.274097222224</v>
      </c>
      <c r="AB379" s="81"/>
      <c r="AC379" s="81"/>
      <c r="AD379" s="84" t="s">
        <v>1927</v>
      </c>
      <c r="AE379" s="82">
        <v>1</v>
      </c>
      <c r="AF379" s="83" t="str">
        <f>REPLACE(INDEX(GroupVertices[Group],MATCH(Edges[[#This Row],[Vertex 1]],GroupVertices[Vertex],0)),1,1,"")</f>
        <v>1</v>
      </c>
      <c r="AG379" s="83" t="str">
        <f>REPLACE(INDEX(GroupVertices[Group],MATCH(Edges[[#This Row],[Vertex 2]],GroupVertices[Vertex],0)),1,1,"")</f>
        <v>1</v>
      </c>
      <c r="AH379" s="111">
        <v>4</v>
      </c>
      <c r="AI379" s="112">
        <v>21.05263157894737</v>
      </c>
      <c r="AJ379" s="111">
        <v>0</v>
      </c>
      <c r="AK379" s="112">
        <v>0</v>
      </c>
      <c r="AL379" s="111">
        <v>0</v>
      </c>
      <c r="AM379" s="112">
        <v>0</v>
      </c>
      <c r="AN379" s="111">
        <v>15</v>
      </c>
      <c r="AO379" s="112">
        <v>78.94736842105263</v>
      </c>
      <c r="AP379" s="111">
        <v>19</v>
      </c>
    </row>
    <row r="380" spans="1:42" ht="15">
      <c r="A380" s="65" t="s">
        <v>600</v>
      </c>
      <c r="B380" s="65" t="s">
        <v>602</v>
      </c>
      <c r="C380" s="66" t="s">
        <v>4510</v>
      </c>
      <c r="D380" s="67">
        <v>5.333333333333334</v>
      </c>
      <c r="E380" s="68"/>
      <c r="F380" s="69">
        <v>31.666666666666664</v>
      </c>
      <c r="G380" s="66"/>
      <c r="H380" s="70"/>
      <c r="I380" s="71"/>
      <c r="J380" s="71"/>
      <c r="K380" s="35" t="s">
        <v>65</v>
      </c>
      <c r="L380" s="79">
        <v>380</v>
      </c>
      <c r="M380" s="79"/>
      <c r="N380" s="73"/>
      <c r="O380" s="81" t="s">
        <v>789</v>
      </c>
      <c r="P380" s="81" t="s">
        <v>791</v>
      </c>
      <c r="Q380" s="84" t="s">
        <v>1168</v>
      </c>
      <c r="R380" s="81" t="s">
        <v>600</v>
      </c>
      <c r="S380" s="81" t="s">
        <v>1667</v>
      </c>
      <c r="T380" s="86" t="str">
        <f>HYPERLINK("http://www.youtube.com/channel/UCpr8GKAHg30fNzBtOVwjAnQ")</f>
        <v>http://www.youtube.com/channel/UCpr8GKAHg30fNzBtOVwjAnQ</v>
      </c>
      <c r="U380" s="81" t="s">
        <v>1866</v>
      </c>
      <c r="V380" s="81" t="s">
        <v>1885</v>
      </c>
      <c r="W380" s="86" t="str">
        <f>HYPERLINK("https://www.youtube.com/watch?v=")</f>
        <v>https://www.youtube.com/watch?v=</v>
      </c>
      <c r="X380" s="81" t="s">
        <v>1886</v>
      </c>
      <c r="Y380" s="81">
        <v>12</v>
      </c>
      <c r="Z380" s="88">
        <v>41992.65859953704</v>
      </c>
      <c r="AA380" s="88">
        <v>41992.65859953704</v>
      </c>
      <c r="AB380" s="81"/>
      <c r="AC380" s="81"/>
      <c r="AD380" s="84" t="s">
        <v>1927</v>
      </c>
      <c r="AE380" s="82">
        <v>2</v>
      </c>
      <c r="AF380" s="83" t="str">
        <f>REPLACE(INDEX(GroupVertices[Group],MATCH(Edges[[#This Row],[Vertex 1]],GroupVertices[Vertex],0)),1,1,"")</f>
        <v>2</v>
      </c>
      <c r="AG380" s="83" t="str">
        <f>REPLACE(INDEX(GroupVertices[Group],MATCH(Edges[[#This Row],[Vertex 2]],GroupVertices[Vertex],0)),1,1,"")</f>
        <v>2</v>
      </c>
      <c r="AH380" s="111">
        <v>8</v>
      </c>
      <c r="AI380" s="112">
        <v>4.790419161676646</v>
      </c>
      <c r="AJ380" s="111">
        <v>0</v>
      </c>
      <c r="AK380" s="112">
        <v>0</v>
      </c>
      <c r="AL380" s="111">
        <v>0</v>
      </c>
      <c r="AM380" s="112">
        <v>0</v>
      </c>
      <c r="AN380" s="111">
        <v>159</v>
      </c>
      <c r="AO380" s="112">
        <v>95.20958083832335</v>
      </c>
      <c r="AP380" s="111">
        <v>167</v>
      </c>
    </row>
    <row r="381" spans="1:42" ht="15">
      <c r="A381" s="65" t="s">
        <v>600</v>
      </c>
      <c r="B381" s="65" t="s">
        <v>602</v>
      </c>
      <c r="C381" s="66" t="s">
        <v>4510</v>
      </c>
      <c r="D381" s="67">
        <v>5.333333333333334</v>
      </c>
      <c r="E381" s="68"/>
      <c r="F381" s="69">
        <v>31.666666666666664</v>
      </c>
      <c r="G381" s="66"/>
      <c r="H381" s="70"/>
      <c r="I381" s="71"/>
      <c r="J381" s="71"/>
      <c r="K381" s="35" t="s">
        <v>65</v>
      </c>
      <c r="L381" s="79">
        <v>381</v>
      </c>
      <c r="M381" s="79"/>
      <c r="N381" s="73"/>
      <c r="O381" s="81" t="s">
        <v>789</v>
      </c>
      <c r="P381" s="81" t="s">
        <v>791</v>
      </c>
      <c r="Q381" s="84" t="s">
        <v>1169</v>
      </c>
      <c r="R381" s="81" t="s">
        <v>600</v>
      </c>
      <c r="S381" s="81" t="s">
        <v>1667</v>
      </c>
      <c r="T381" s="86" t="str">
        <f>HYPERLINK("http://www.youtube.com/channel/UCpr8GKAHg30fNzBtOVwjAnQ")</f>
        <v>http://www.youtube.com/channel/UCpr8GKAHg30fNzBtOVwjAnQ</v>
      </c>
      <c r="U381" s="81" t="s">
        <v>1866</v>
      </c>
      <c r="V381" s="81" t="s">
        <v>1885</v>
      </c>
      <c r="W381" s="86" t="str">
        <f>HYPERLINK("https://www.youtube.com/watch?v=")</f>
        <v>https://www.youtube.com/watch?v=</v>
      </c>
      <c r="X381" s="81" t="s">
        <v>1886</v>
      </c>
      <c r="Y381" s="81">
        <v>0</v>
      </c>
      <c r="Z381" s="88">
        <v>42060.100069444445</v>
      </c>
      <c r="AA381" s="88">
        <v>42060.100069444445</v>
      </c>
      <c r="AB381" s="81"/>
      <c r="AC381" s="81"/>
      <c r="AD381" s="84" t="s">
        <v>1927</v>
      </c>
      <c r="AE381" s="82">
        <v>2</v>
      </c>
      <c r="AF381" s="83" t="str">
        <f>REPLACE(INDEX(GroupVertices[Group],MATCH(Edges[[#This Row],[Vertex 1]],GroupVertices[Vertex],0)),1,1,"")</f>
        <v>2</v>
      </c>
      <c r="AG381" s="83" t="str">
        <f>REPLACE(INDEX(GroupVertices[Group],MATCH(Edges[[#This Row],[Vertex 2]],GroupVertices[Vertex],0)),1,1,"")</f>
        <v>2</v>
      </c>
      <c r="AH381" s="111">
        <v>2</v>
      </c>
      <c r="AI381" s="112">
        <v>2.4390243902439024</v>
      </c>
      <c r="AJ381" s="111">
        <v>3</v>
      </c>
      <c r="AK381" s="112">
        <v>3.658536585365854</v>
      </c>
      <c r="AL381" s="111">
        <v>0</v>
      </c>
      <c r="AM381" s="112">
        <v>0</v>
      </c>
      <c r="AN381" s="111">
        <v>77</v>
      </c>
      <c r="AO381" s="112">
        <v>93.90243902439025</v>
      </c>
      <c r="AP381" s="111">
        <v>82</v>
      </c>
    </row>
    <row r="382" spans="1:42" ht="15">
      <c r="A382" s="65" t="s">
        <v>601</v>
      </c>
      <c r="B382" s="65" t="s">
        <v>602</v>
      </c>
      <c r="C382" s="66" t="s">
        <v>4509</v>
      </c>
      <c r="D382" s="67">
        <v>3</v>
      </c>
      <c r="E382" s="68"/>
      <c r="F382" s="69">
        <v>40</v>
      </c>
      <c r="G382" s="66"/>
      <c r="H382" s="70"/>
      <c r="I382" s="71"/>
      <c r="J382" s="71"/>
      <c r="K382" s="35" t="s">
        <v>65</v>
      </c>
      <c r="L382" s="79">
        <v>382</v>
      </c>
      <c r="M382" s="79"/>
      <c r="N382" s="73"/>
      <c r="O382" s="81" t="s">
        <v>789</v>
      </c>
      <c r="P382" s="81" t="s">
        <v>791</v>
      </c>
      <c r="Q382" s="84" t="s">
        <v>1170</v>
      </c>
      <c r="R382" s="81" t="s">
        <v>601</v>
      </c>
      <c r="S382" s="81" t="s">
        <v>1668</v>
      </c>
      <c r="T382" s="86" t="str">
        <f>HYPERLINK("http://www.youtube.com/channel/UCMqbg4VD080ce23L2g5S7Ng")</f>
        <v>http://www.youtube.com/channel/UCMqbg4VD080ce23L2g5S7Ng</v>
      </c>
      <c r="U382" s="81" t="s">
        <v>1866</v>
      </c>
      <c r="V382" s="81" t="s">
        <v>1885</v>
      </c>
      <c r="W382" s="86" t="str">
        <f>HYPERLINK("https://www.youtube.com/watch?v=")</f>
        <v>https://www.youtube.com/watch?v=</v>
      </c>
      <c r="X382" s="81" t="s">
        <v>1886</v>
      </c>
      <c r="Y382" s="81">
        <v>0</v>
      </c>
      <c r="Z382" s="88">
        <v>42072.49857638889</v>
      </c>
      <c r="AA382" s="88">
        <v>42072.49857638889</v>
      </c>
      <c r="AB382" s="81"/>
      <c r="AC382" s="81"/>
      <c r="AD382" s="84" t="s">
        <v>1927</v>
      </c>
      <c r="AE382" s="82">
        <v>1</v>
      </c>
      <c r="AF382" s="83" t="str">
        <f>REPLACE(INDEX(GroupVertices[Group],MATCH(Edges[[#This Row],[Vertex 1]],GroupVertices[Vertex],0)),1,1,"")</f>
        <v>2</v>
      </c>
      <c r="AG382" s="83" t="str">
        <f>REPLACE(INDEX(GroupVertices[Group],MATCH(Edges[[#This Row],[Vertex 2]],GroupVertices[Vertex],0)),1,1,"")</f>
        <v>2</v>
      </c>
      <c r="AH382" s="111">
        <v>3</v>
      </c>
      <c r="AI382" s="112">
        <v>7.5</v>
      </c>
      <c r="AJ382" s="111">
        <v>0</v>
      </c>
      <c r="AK382" s="112">
        <v>0</v>
      </c>
      <c r="AL382" s="111">
        <v>0</v>
      </c>
      <c r="AM382" s="112">
        <v>0</v>
      </c>
      <c r="AN382" s="111">
        <v>37</v>
      </c>
      <c r="AO382" s="112">
        <v>92.5</v>
      </c>
      <c r="AP382" s="111">
        <v>40</v>
      </c>
    </row>
    <row r="383" spans="1:42" ht="15">
      <c r="A383" s="65" t="s">
        <v>578</v>
      </c>
      <c r="B383" s="65" t="s">
        <v>602</v>
      </c>
      <c r="C383" s="66" t="s">
        <v>4509</v>
      </c>
      <c r="D383" s="67">
        <v>3</v>
      </c>
      <c r="E383" s="68"/>
      <c r="F383" s="69">
        <v>40</v>
      </c>
      <c r="G383" s="66"/>
      <c r="H383" s="70"/>
      <c r="I383" s="71"/>
      <c r="J383" s="71"/>
      <c r="K383" s="35" t="s">
        <v>65</v>
      </c>
      <c r="L383" s="79">
        <v>383</v>
      </c>
      <c r="M383" s="79"/>
      <c r="N383" s="73"/>
      <c r="O383" s="81" t="s">
        <v>789</v>
      </c>
      <c r="P383" s="81" t="s">
        <v>791</v>
      </c>
      <c r="Q383" s="84" t="s">
        <v>1171</v>
      </c>
      <c r="R383" s="81" t="s">
        <v>578</v>
      </c>
      <c r="S383" s="81" t="s">
        <v>1646</v>
      </c>
      <c r="T383" s="86" t="str">
        <f>HYPERLINK("http://www.youtube.com/channel/UC6nw5WxAUuhh1Cb45G0_k6A")</f>
        <v>http://www.youtube.com/channel/UC6nw5WxAUuhh1Cb45G0_k6A</v>
      </c>
      <c r="U383" s="81" t="s">
        <v>1866</v>
      </c>
      <c r="V383" s="81" t="s">
        <v>1885</v>
      </c>
      <c r="W383" s="86" t="str">
        <f>HYPERLINK("https://www.youtube.com/watch?v=")</f>
        <v>https://www.youtube.com/watch?v=</v>
      </c>
      <c r="X383" s="81" t="s">
        <v>1886</v>
      </c>
      <c r="Y383" s="81">
        <v>0</v>
      </c>
      <c r="Z383" s="88">
        <v>42320.15162037037</v>
      </c>
      <c r="AA383" s="88">
        <v>42320.15162037037</v>
      </c>
      <c r="AB383" s="81"/>
      <c r="AC383" s="81"/>
      <c r="AD383" s="84" t="s">
        <v>1927</v>
      </c>
      <c r="AE383" s="82">
        <v>1</v>
      </c>
      <c r="AF383" s="83" t="str">
        <f>REPLACE(INDEX(GroupVertices[Group],MATCH(Edges[[#This Row],[Vertex 1]],GroupVertices[Vertex],0)),1,1,"")</f>
        <v>2</v>
      </c>
      <c r="AG383" s="83" t="str">
        <f>REPLACE(INDEX(GroupVertices[Group],MATCH(Edges[[#This Row],[Vertex 2]],GroupVertices[Vertex],0)),1,1,"")</f>
        <v>2</v>
      </c>
      <c r="AH383" s="111">
        <v>1</v>
      </c>
      <c r="AI383" s="112">
        <v>9.090909090909092</v>
      </c>
      <c r="AJ383" s="111">
        <v>0</v>
      </c>
      <c r="AK383" s="112">
        <v>0</v>
      </c>
      <c r="AL383" s="111">
        <v>0</v>
      </c>
      <c r="AM383" s="112">
        <v>0</v>
      </c>
      <c r="AN383" s="111">
        <v>10</v>
      </c>
      <c r="AO383" s="112">
        <v>90.9090909090909</v>
      </c>
      <c r="AP383" s="111">
        <v>11</v>
      </c>
    </row>
    <row r="384" spans="1:42" ht="15">
      <c r="A384" s="65" t="s">
        <v>602</v>
      </c>
      <c r="B384" s="65" t="s">
        <v>602</v>
      </c>
      <c r="C384" s="66" t="s">
        <v>4511</v>
      </c>
      <c r="D384" s="67">
        <v>7.666666666666667</v>
      </c>
      <c r="E384" s="68"/>
      <c r="F384" s="69">
        <v>23.333333333333332</v>
      </c>
      <c r="G384" s="66"/>
      <c r="H384" s="70"/>
      <c r="I384" s="71"/>
      <c r="J384" s="71"/>
      <c r="K384" s="35" t="s">
        <v>65</v>
      </c>
      <c r="L384" s="79">
        <v>384</v>
      </c>
      <c r="M384" s="79"/>
      <c r="N384" s="73"/>
      <c r="O384" s="81" t="s">
        <v>789</v>
      </c>
      <c r="P384" s="81" t="s">
        <v>791</v>
      </c>
      <c r="Q384" s="84" t="s">
        <v>1172</v>
      </c>
      <c r="R384" s="81" t="s">
        <v>602</v>
      </c>
      <c r="S384" s="81" t="s">
        <v>1669</v>
      </c>
      <c r="T384" s="86" t="str">
        <f>HYPERLINK("http://www.youtube.com/channel/UCWl8H-hlO4LEjFirQvOyY1A")</f>
        <v>http://www.youtube.com/channel/UCWl8H-hlO4LEjFirQvOyY1A</v>
      </c>
      <c r="U384" s="81" t="s">
        <v>1866</v>
      </c>
      <c r="V384" s="81" t="s">
        <v>1885</v>
      </c>
      <c r="W384" s="86" t="str">
        <f>HYPERLINK("https://www.youtube.com/watch?v=")</f>
        <v>https://www.youtube.com/watch?v=</v>
      </c>
      <c r="X384" s="81" t="s">
        <v>1886</v>
      </c>
      <c r="Y384" s="81">
        <v>0</v>
      </c>
      <c r="Z384" s="88">
        <v>42059.899247685185</v>
      </c>
      <c r="AA384" s="88">
        <v>42059.899247685185</v>
      </c>
      <c r="AB384" s="81"/>
      <c r="AC384" s="81"/>
      <c r="AD384" s="84" t="s">
        <v>1927</v>
      </c>
      <c r="AE384" s="82">
        <v>3</v>
      </c>
      <c r="AF384" s="83" t="str">
        <f>REPLACE(INDEX(GroupVertices[Group],MATCH(Edges[[#This Row],[Vertex 1]],GroupVertices[Vertex],0)),1,1,"")</f>
        <v>2</v>
      </c>
      <c r="AG384" s="83" t="str">
        <f>REPLACE(INDEX(GroupVertices[Group],MATCH(Edges[[#This Row],[Vertex 2]],GroupVertices[Vertex],0)),1,1,"")</f>
        <v>2</v>
      </c>
      <c r="AH384" s="111">
        <v>2</v>
      </c>
      <c r="AI384" s="112">
        <v>3.3333333333333335</v>
      </c>
      <c r="AJ384" s="111">
        <v>4</v>
      </c>
      <c r="AK384" s="112">
        <v>6.666666666666667</v>
      </c>
      <c r="AL384" s="111">
        <v>0</v>
      </c>
      <c r="AM384" s="112">
        <v>0</v>
      </c>
      <c r="AN384" s="111">
        <v>54</v>
      </c>
      <c r="AO384" s="112">
        <v>90</v>
      </c>
      <c r="AP384" s="111">
        <v>60</v>
      </c>
    </row>
    <row r="385" spans="1:42" ht="15">
      <c r="A385" s="65" t="s">
        <v>602</v>
      </c>
      <c r="B385" s="65" t="s">
        <v>602</v>
      </c>
      <c r="C385" s="66" t="s">
        <v>4511</v>
      </c>
      <c r="D385" s="67">
        <v>7.666666666666667</v>
      </c>
      <c r="E385" s="68"/>
      <c r="F385" s="69">
        <v>23.333333333333332</v>
      </c>
      <c r="G385" s="66"/>
      <c r="H385" s="70"/>
      <c r="I385" s="71"/>
      <c r="J385" s="71"/>
      <c r="K385" s="35" t="s">
        <v>65</v>
      </c>
      <c r="L385" s="79">
        <v>385</v>
      </c>
      <c r="M385" s="79"/>
      <c r="N385" s="73"/>
      <c r="O385" s="81" t="s">
        <v>789</v>
      </c>
      <c r="P385" s="81" t="s">
        <v>791</v>
      </c>
      <c r="Q385" s="84" t="s">
        <v>1173</v>
      </c>
      <c r="R385" s="81" t="s">
        <v>602</v>
      </c>
      <c r="S385" s="81" t="s">
        <v>1669</v>
      </c>
      <c r="T385" s="86" t="str">
        <f>HYPERLINK("http://www.youtube.com/channel/UCWl8H-hlO4LEjFirQvOyY1A")</f>
        <v>http://www.youtube.com/channel/UCWl8H-hlO4LEjFirQvOyY1A</v>
      </c>
      <c r="U385" s="81" t="s">
        <v>1866</v>
      </c>
      <c r="V385" s="81" t="s">
        <v>1885</v>
      </c>
      <c r="W385" s="86" t="str">
        <f>HYPERLINK("https://www.youtube.com/watch?v=")</f>
        <v>https://www.youtube.com/watch?v=</v>
      </c>
      <c r="X385" s="81" t="s">
        <v>1886</v>
      </c>
      <c r="Y385" s="81">
        <v>0</v>
      </c>
      <c r="Z385" s="88">
        <v>42283.6462962963</v>
      </c>
      <c r="AA385" s="88">
        <v>42283.6462962963</v>
      </c>
      <c r="AB385" s="81"/>
      <c r="AC385" s="81"/>
      <c r="AD385" s="84" t="s">
        <v>1927</v>
      </c>
      <c r="AE385" s="82">
        <v>3</v>
      </c>
      <c r="AF385" s="83" t="str">
        <f>REPLACE(INDEX(GroupVertices[Group],MATCH(Edges[[#This Row],[Vertex 1]],GroupVertices[Vertex],0)),1,1,"")</f>
        <v>2</v>
      </c>
      <c r="AG385" s="83" t="str">
        <f>REPLACE(INDEX(GroupVertices[Group],MATCH(Edges[[#This Row],[Vertex 2]],GroupVertices[Vertex],0)),1,1,"")</f>
        <v>2</v>
      </c>
      <c r="AH385" s="111">
        <v>2</v>
      </c>
      <c r="AI385" s="112">
        <v>2.1052631578947367</v>
      </c>
      <c r="AJ385" s="111">
        <v>1</v>
      </c>
      <c r="AK385" s="112">
        <v>1.0526315789473684</v>
      </c>
      <c r="AL385" s="111">
        <v>0</v>
      </c>
      <c r="AM385" s="112">
        <v>0</v>
      </c>
      <c r="AN385" s="111">
        <v>92</v>
      </c>
      <c r="AO385" s="112">
        <v>96.84210526315789</v>
      </c>
      <c r="AP385" s="111">
        <v>95</v>
      </c>
    </row>
    <row r="386" spans="1:42" ht="15">
      <c r="A386" s="65" t="s">
        <v>602</v>
      </c>
      <c r="B386" s="65" t="s">
        <v>602</v>
      </c>
      <c r="C386" s="66" t="s">
        <v>4511</v>
      </c>
      <c r="D386" s="67">
        <v>7.666666666666667</v>
      </c>
      <c r="E386" s="68"/>
      <c r="F386" s="69">
        <v>23.333333333333332</v>
      </c>
      <c r="G386" s="66"/>
      <c r="H386" s="70"/>
      <c r="I386" s="71"/>
      <c r="J386" s="71"/>
      <c r="K386" s="35" t="s">
        <v>65</v>
      </c>
      <c r="L386" s="79">
        <v>386</v>
      </c>
      <c r="M386" s="79"/>
      <c r="N386" s="73"/>
      <c r="O386" s="81" t="s">
        <v>789</v>
      </c>
      <c r="P386" s="81" t="s">
        <v>791</v>
      </c>
      <c r="Q386" s="84" t="s">
        <v>1174</v>
      </c>
      <c r="R386" s="81" t="s">
        <v>602</v>
      </c>
      <c r="S386" s="81" t="s">
        <v>1669</v>
      </c>
      <c r="T386" s="86" t="str">
        <f>HYPERLINK("http://www.youtube.com/channel/UCWl8H-hlO4LEjFirQvOyY1A")</f>
        <v>http://www.youtube.com/channel/UCWl8H-hlO4LEjFirQvOyY1A</v>
      </c>
      <c r="U386" s="81" t="s">
        <v>1866</v>
      </c>
      <c r="V386" s="81" t="s">
        <v>1885</v>
      </c>
      <c r="W386" s="86" t="str">
        <f>HYPERLINK("https://www.youtube.com/watch?v=")</f>
        <v>https://www.youtube.com/watch?v=</v>
      </c>
      <c r="X386" s="81" t="s">
        <v>1886</v>
      </c>
      <c r="Y386" s="81">
        <v>0</v>
      </c>
      <c r="Z386" s="88">
        <v>42320.766226851854</v>
      </c>
      <c r="AA386" s="88">
        <v>42320.766226851854</v>
      </c>
      <c r="AB386" s="81"/>
      <c r="AC386" s="81"/>
      <c r="AD386" s="84" t="s">
        <v>1927</v>
      </c>
      <c r="AE386" s="82">
        <v>3</v>
      </c>
      <c r="AF386" s="83" t="str">
        <f>REPLACE(INDEX(GroupVertices[Group],MATCH(Edges[[#This Row],[Vertex 1]],GroupVertices[Vertex],0)),1,1,"")</f>
        <v>2</v>
      </c>
      <c r="AG386" s="83" t="str">
        <f>REPLACE(INDEX(GroupVertices[Group],MATCH(Edges[[#This Row],[Vertex 2]],GroupVertices[Vertex],0)),1,1,"")</f>
        <v>2</v>
      </c>
      <c r="AH386" s="111">
        <v>1</v>
      </c>
      <c r="AI386" s="112">
        <v>2.5641025641025643</v>
      </c>
      <c r="AJ386" s="111">
        <v>0</v>
      </c>
      <c r="AK386" s="112">
        <v>0</v>
      </c>
      <c r="AL386" s="111">
        <v>0</v>
      </c>
      <c r="AM386" s="112">
        <v>0</v>
      </c>
      <c r="AN386" s="111">
        <v>38</v>
      </c>
      <c r="AO386" s="112">
        <v>97.43589743589743</v>
      </c>
      <c r="AP386" s="111">
        <v>39</v>
      </c>
    </row>
    <row r="387" spans="1:42" ht="15">
      <c r="A387" s="65" t="s">
        <v>603</v>
      </c>
      <c r="B387" s="65" t="s">
        <v>602</v>
      </c>
      <c r="C387" s="66" t="s">
        <v>4509</v>
      </c>
      <c r="D387" s="67">
        <v>3</v>
      </c>
      <c r="E387" s="68"/>
      <c r="F387" s="69">
        <v>40</v>
      </c>
      <c r="G387" s="66"/>
      <c r="H387" s="70"/>
      <c r="I387" s="71"/>
      <c r="J387" s="71"/>
      <c r="K387" s="35" t="s">
        <v>65</v>
      </c>
      <c r="L387" s="79">
        <v>387</v>
      </c>
      <c r="M387" s="79"/>
      <c r="N387" s="73"/>
      <c r="O387" s="81" t="s">
        <v>789</v>
      </c>
      <c r="P387" s="81" t="s">
        <v>791</v>
      </c>
      <c r="Q387" s="84" t="s">
        <v>1175</v>
      </c>
      <c r="R387" s="81" t="s">
        <v>603</v>
      </c>
      <c r="S387" s="81" t="s">
        <v>1670</v>
      </c>
      <c r="T387" s="86" t="str">
        <f>HYPERLINK("http://www.youtube.com/channel/UCRkgxOcNAD-ttZMxrrN5GYQ")</f>
        <v>http://www.youtube.com/channel/UCRkgxOcNAD-ttZMxrrN5GYQ</v>
      </c>
      <c r="U387" s="81" t="s">
        <v>1866</v>
      </c>
      <c r="V387" s="81" t="s">
        <v>1885</v>
      </c>
      <c r="W387" s="86" t="str">
        <f>HYPERLINK("https://www.youtube.com/watch?v=")</f>
        <v>https://www.youtube.com/watch?v=</v>
      </c>
      <c r="X387" s="81" t="s">
        <v>1886</v>
      </c>
      <c r="Y387" s="81">
        <v>0</v>
      </c>
      <c r="Z387" s="88">
        <v>43199.734502314815</v>
      </c>
      <c r="AA387" s="88">
        <v>43199.734502314815</v>
      </c>
      <c r="AB387" s="81"/>
      <c r="AC387" s="81"/>
      <c r="AD387" s="84" t="s">
        <v>1927</v>
      </c>
      <c r="AE387" s="82">
        <v>1</v>
      </c>
      <c r="AF387" s="83" t="str">
        <f>REPLACE(INDEX(GroupVertices[Group],MATCH(Edges[[#This Row],[Vertex 1]],GroupVertices[Vertex],0)),1,1,"")</f>
        <v>2</v>
      </c>
      <c r="AG387" s="83" t="str">
        <f>REPLACE(INDEX(GroupVertices[Group],MATCH(Edges[[#This Row],[Vertex 2]],GroupVertices[Vertex],0)),1,1,"")</f>
        <v>2</v>
      </c>
      <c r="AH387" s="111">
        <v>0</v>
      </c>
      <c r="AI387" s="112">
        <v>0</v>
      </c>
      <c r="AJ387" s="111">
        <v>0</v>
      </c>
      <c r="AK387" s="112">
        <v>0</v>
      </c>
      <c r="AL387" s="111">
        <v>0</v>
      </c>
      <c r="AM387" s="112">
        <v>0</v>
      </c>
      <c r="AN387" s="111">
        <v>28</v>
      </c>
      <c r="AO387" s="112">
        <v>100</v>
      </c>
      <c r="AP387" s="111">
        <v>28</v>
      </c>
    </row>
    <row r="388" spans="1:42" ht="15">
      <c r="A388" s="65" t="s">
        <v>602</v>
      </c>
      <c r="B388" s="65" t="s">
        <v>786</v>
      </c>
      <c r="C388" s="66" t="s">
        <v>4509</v>
      </c>
      <c r="D388" s="67">
        <v>3</v>
      </c>
      <c r="E388" s="68"/>
      <c r="F388" s="69">
        <v>40</v>
      </c>
      <c r="G388" s="66"/>
      <c r="H388" s="70"/>
      <c r="I388" s="71"/>
      <c r="J388" s="71"/>
      <c r="K388" s="35" t="s">
        <v>65</v>
      </c>
      <c r="L388" s="79">
        <v>388</v>
      </c>
      <c r="M388" s="79"/>
      <c r="N388" s="73"/>
      <c r="O388" s="81" t="s">
        <v>788</v>
      </c>
      <c r="P388" s="81" t="s">
        <v>325</v>
      </c>
      <c r="Q388" s="84" t="s">
        <v>1176</v>
      </c>
      <c r="R388" s="81" t="s">
        <v>602</v>
      </c>
      <c r="S388" s="81" t="s">
        <v>1669</v>
      </c>
      <c r="T388" s="86" t="str">
        <f>HYPERLINK("http://www.youtube.com/channel/UCWl8H-hlO4LEjFirQvOyY1A")</f>
        <v>http://www.youtube.com/channel/UCWl8H-hlO4LEjFirQvOyY1A</v>
      </c>
      <c r="U388" s="81"/>
      <c r="V388" s="81" t="s">
        <v>1885</v>
      </c>
      <c r="W388" s="86" t="str">
        <f>HYPERLINK("https://www.youtube.com/watch?v=wadBvDPeE4E")</f>
        <v>https://www.youtube.com/watch?v=wadBvDPeE4E</v>
      </c>
      <c r="X388" s="81" t="s">
        <v>1886</v>
      </c>
      <c r="Y388" s="81">
        <v>4</v>
      </c>
      <c r="Z388" s="88">
        <v>41971.06054398148</v>
      </c>
      <c r="AA388" s="88">
        <v>41971.06054398148</v>
      </c>
      <c r="AB388" s="81"/>
      <c r="AC388" s="81"/>
      <c r="AD388" s="84" t="s">
        <v>1927</v>
      </c>
      <c r="AE388" s="82">
        <v>1</v>
      </c>
      <c r="AF388" s="83" t="str">
        <f>REPLACE(INDEX(GroupVertices[Group],MATCH(Edges[[#This Row],[Vertex 1]],GroupVertices[Vertex],0)),1,1,"")</f>
        <v>2</v>
      </c>
      <c r="AG388" s="83" t="str">
        <f>REPLACE(INDEX(GroupVertices[Group],MATCH(Edges[[#This Row],[Vertex 2]],GroupVertices[Vertex],0)),1,1,"")</f>
        <v>1</v>
      </c>
      <c r="AH388" s="111">
        <v>2</v>
      </c>
      <c r="AI388" s="112">
        <v>1.3793103448275863</v>
      </c>
      <c r="AJ388" s="111">
        <v>3</v>
      </c>
      <c r="AK388" s="112">
        <v>2.0689655172413794</v>
      </c>
      <c r="AL388" s="111">
        <v>0</v>
      </c>
      <c r="AM388" s="112">
        <v>0</v>
      </c>
      <c r="AN388" s="111">
        <v>140</v>
      </c>
      <c r="AO388" s="112">
        <v>96.55172413793103</v>
      </c>
      <c r="AP388" s="111">
        <v>145</v>
      </c>
    </row>
    <row r="389" spans="1:42" ht="15">
      <c r="A389" s="65" t="s">
        <v>604</v>
      </c>
      <c r="B389" s="65" t="s">
        <v>608</v>
      </c>
      <c r="C389" s="66" t="s">
        <v>4509</v>
      </c>
      <c r="D389" s="67">
        <v>3</v>
      </c>
      <c r="E389" s="68"/>
      <c r="F389" s="69">
        <v>40</v>
      </c>
      <c r="G389" s="66"/>
      <c r="H389" s="70"/>
      <c r="I389" s="71"/>
      <c r="J389" s="71"/>
      <c r="K389" s="35" t="s">
        <v>65</v>
      </c>
      <c r="L389" s="79">
        <v>389</v>
      </c>
      <c r="M389" s="79"/>
      <c r="N389" s="73"/>
      <c r="O389" s="81" t="s">
        <v>789</v>
      </c>
      <c r="P389" s="81" t="s">
        <v>791</v>
      </c>
      <c r="Q389" s="84" t="s">
        <v>1177</v>
      </c>
      <c r="R389" s="81" t="s">
        <v>604</v>
      </c>
      <c r="S389" s="81" t="s">
        <v>1671</v>
      </c>
      <c r="T389" s="86" t="str">
        <f>HYPERLINK("http://www.youtube.com/channel/UCjqFKcsJGF-eg_BLtUIDweg")</f>
        <v>http://www.youtube.com/channel/UCjqFKcsJGF-eg_BLtUIDweg</v>
      </c>
      <c r="U389" s="81" t="s">
        <v>1867</v>
      </c>
      <c r="V389" s="81" t="s">
        <v>1885</v>
      </c>
      <c r="W389" s="86" t="str">
        <f>HYPERLINK("https://www.youtube.com/watch?v=wadBvDPeE4E")</f>
        <v>https://www.youtube.com/watch?v=wadBvDPeE4E</v>
      </c>
      <c r="X389" s="81" t="s">
        <v>1886</v>
      </c>
      <c r="Y389" s="81">
        <v>1</v>
      </c>
      <c r="Z389" s="88">
        <v>42090.61094907407</v>
      </c>
      <c r="AA389" s="88">
        <v>42090.61094907407</v>
      </c>
      <c r="AB389" s="81"/>
      <c r="AC389" s="81"/>
      <c r="AD389" s="84" t="s">
        <v>1927</v>
      </c>
      <c r="AE389" s="82">
        <v>1</v>
      </c>
      <c r="AF389" s="83" t="str">
        <f>REPLACE(INDEX(GroupVertices[Group],MATCH(Edges[[#This Row],[Vertex 1]],GroupVertices[Vertex],0)),1,1,"")</f>
        <v>6</v>
      </c>
      <c r="AG389" s="83" t="str">
        <f>REPLACE(INDEX(GroupVertices[Group],MATCH(Edges[[#This Row],[Vertex 2]],GroupVertices[Vertex],0)),1,1,"")</f>
        <v>6</v>
      </c>
      <c r="AH389" s="111">
        <v>4</v>
      </c>
      <c r="AI389" s="112">
        <v>5.797101449275362</v>
      </c>
      <c r="AJ389" s="111">
        <v>3</v>
      </c>
      <c r="AK389" s="112">
        <v>4.3478260869565215</v>
      </c>
      <c r="AL389" s="111">
        <v>0</v>
      </c>
      <c r="AM389" s="112">
        <v>0</v>
      </c>
      <c r="AN389" s="111">
        <v>62</v>
      </c>
      <c r="AO389" s="112">
        <v>89.85507246376811</v>
      </c>
      <c r="AP389" s="111">
        <v>69</v>
      </c>
    </row>
    <row r="390" spans="1:42" ht="15">
      <c r="A390" s="65" t="s">
        <v>605</v>
      </c>
      <c r="B390" s="65" t="s">
        <v>608</v>
      </c>
      <c r="C390" s="66" t="s">
        <v>4509</v>
      </c>
      <c r="D390" s="67">
        <v>3</v>
      </c>
      <c r="E390" s="68"/>
      <c r="F390" s="69">
        <v>40</v>
      </c>
      <c r="G390" s="66"/>
      <c r="H390" s="70"/>
      <c r="I390" s="71"/>
      <c r="J390" s="71"/>
      <c r="K390" s="35" t="s">
        <v>65</v>
      </c>
      <c r="L390" s="79">
        <v>390</v>
      </c>
      <c r="M390" s="79"/>
      <c r="N390" s="73"/>
      <c r="O390" s="81" t="s">
        <v>789</v>
      </c>
      <c r="P390" s="81" t="s">
        <v>791</v>
      </c>
      <c r="Q390" s="84" t="s">
        <v>1178</v>
      </c>
      <c r="R390" s="81" t="s">
        <v>605</v>
      </c>
      <c r="S390" s="81" t="s">
        <v>1672</v>
      </c>
      <c r="T390" s="86" t="str">
        <f>HYPERLINK("http://www.youtube.com/channel/UCXniDDq1ZnKNti-tVqJWCyg")</f>
        <v>http://www.youtube.com/channel/UCXniDDq1ZnKNti-tVqJWCyg</v>
      </c>
      <c r="U390" s="81" t="s">
        <v>1867</v>
      </c>
      <c r="V390" s="81" t="s">
        <v>1885</v>
      </c>
      <c r="W390" s="86" t="str">
        <f>HYPERLINK("https://www.youtube.com/watch?v=wadBvDPeE4E")</f>
        <v>https://www.youtube.com/watch?v=wadBvDPeE4E</v>
      </c>
      <c r="X390" s="81" t="s">
        <v>1886</v>
      </c>
      <c r="Y390" s="81">
        <v>0</v>
      </c>
      <c r="Z390" s="88">
        <v>42094.94645833333</v>
      </c>
      <c r="AA390" s="88">
        <v>42094.94645833333</v>
      </c>
      <c r="AB390" s="81"/>
      <c r="AC390" s="81"/>
      <c r="AD390" s="84" t="s">
        <v>1927</v>
      </c>
      <c r="AE390" s="82">
        <v>1</v>
      </c>
      <c r="AF390" s="83" t="str">
        <f>REPLACE(INDEX(GroupVertices[Group],MATCH(Edges[[#This Row],[Vertex 1]],GroupVertices[Vertex],0)),1,1,"")</f>
        <v>6</v>
      </c>
      <c r="AG390" s="83" t="str">
        <f>REPLACE(INDEX(GroupVertices[Group],MATCH(Edges[[#This Row],[Vertex 2]],GroupVertices[Vertex],0)),1,1,"")</f>
        <v>6</v>
      </c>
      <c r="AH390" s="111">
        <v>4</v>
      </c>
      <c r="AI390" s="112">
        <v>4.395604395604396</v>
      </c>
      <c r="AJ390" s="111">
        <v>1</v>
      </c>
      <c r="AK390" s="112">
        <v>1.098901098901099</v>
      </c>
      <c r="AL390" s="111">
        <v>0</v>
      </c>
      <c r="AM390" s="112">
        <v>0</v>
      </c>
      <c r="AN390" s="111">
        <v>86</v>
      </c>
      <c r="AO390" s="112">
        <v>94.50549450549451</v>
      </c>
      <c r="AP390" s="111">
        <v>91</v>
      </c>
    </row>
    <row r="391" spans="1:42" ht="15">
      <c r="A391" s="65" t="s">
        <v>606</v>
      </c>
      <c r="B391" s="65" t="s">
        <v>608</v>
      </c>
      <c r="C391" s="66" t="s">
        <v>4509</v>
      </c>
      <c r="D391" s="67">
        <v>3</v>
      </c>
      <c r="E391" s="68"/>
      <c r="F391" s="69">
        <v>40</v>
      </c>
      <c r="G391" s="66"/>
      <c r="H391" s="70"/>
      <c r="I391" s="71"/>
      <c r="J391" s="71"/>
      <c r="K391" s="35" t="s">
        <v>65</v>
      </c>
      <c r="L391" s="79">
        <v>391</v>
      </c>
      <c r="M391" s="79"/>
      <c r="N391" s="73"/>
      <c r="O391" s="81" t="s">
        <v>789</v>
      </c>
      <c r="P391" s="81" t="s">
        <v>791</v>
      </c>
      <c r="Q391" s="84" t="s">
        <v>1179</v>
      </c>
      <c r="R391" s="81" t="s">
        <v>606</v>
      </c>
      <c r="S391" s="81" t="s">
        <v>1673</v>
      </c>
      <c r="T391" s="86" t="str">
        <f>HYPERLINK("http://www.youtube.com/channel/UCPgF4J1NC2JsZObxxoPvTAA")</f>
        <v>http://www.youtube.com/channel/UCPgF4J1NC2JsZObxxoPvTAA</v>
      </c>
      <c r="U391" s="81" t="s">
        <v>1867</v>
      </c>
      <c r="V391" s="81" t="s">
        <v>1885</v>
      </c>
      <c r="W391" s="86" t="str">
        <f>HYPERLINK("https://www.youtube.com/watch?v=wadBvDPeE4E")</f>
        <v>https://www.youtube.com/watch?v=wadBvDPeE4E</v>
      </c>
      <c r="X391" s="81" t="s">
        <v>1886</v>
      </c>
      <c r="Y391" s="81">
        <v>1</v>
      </c>
      <c r="Z391" s="88">
        <v>43252.77868055556</v>
      </c>
      <c r="AA391" s="88">
        <v>43252.77868055556</v>
      </c>
      <c r="AB391" s="81"/>
      <c r="AC391" s="81"/>
      <c r="AD391" s="84" t="s">
        <v>1927</v>
      </c>
      <c r="AE391" s="82">
        <v>1</v>
      </c>
      <c r="AF391" s="83" t="str">
        <f>REPLACE(INDEX(GroupVertices[Group],MATCH(Edges[[#This Row],[Vertex 1]],GroupVertices[Vertex],0)),1,1,"")</f>
        <v>6</v>
      </c>
      <c r="AG391" s="83" t="str">
        <f>REPLACE(INDEX(GroupVertices[Group],MATCH(Edges[[#This Row],[Vertex 2]],GroupVertices[Vertex],0)),1,1,"")</f>
        <v>6</v>
      </c>
      <c r="AH391" s="111">
        <v>0</v>
      </c>
      <c r="AI391" s="112">
        <v>0</v>
      </c>
      <c r="AJ391" s="111">
        <v>0</v>
      </c>
      <c r="AK391" s="112">
        <v>0</v>
      </c>
      <c r="AL391" s="111">
        <v>0</v>
      </c>
      <c r="AM391" s="112">
        <v>0</v>
      </c>
      <c r="AN391" s="111">
        <v>5</v>
      </c>
      <c r="AO391" s="112">
        <v>100</v>
      </c>
      <c r="AP391" s="111">
        <v>5</v>
      </c>
    </row>
    <row r="392" spans="1:42" ht="15">
      <c r="A392" s="65" t="s">
        <v>607</v>
      </c>
      <c r="B392" s="65" t="s">
        <v>608</v>
      </c>
      <c r="C392" s="66" t="s">
        <v>4509</v>
      </c>
      <c r="D392" s="67">
        <v>3</v>
      </c>
      <c r="E392" s="68"/>
      <c r="F392" s="69">
        <v>40</v>
      </c>
      <c r="G392" s="66"/>
      <c r="H392" s="70"/>
      <c r="I392" s="71"/>
      <c r="J392" s="71"/>
      <c r="K392" s="35" t="s">
        <v>65</v>
      </c>
      <c r="L392" s="79">
        <v>392</v>
      </c>
      <c r="M392" s="79"/>
      <c r="N392" s="73"/>
      <c r="O392" s="81" t="s">
        <v>789</v>
      </c>
      <c r="P392" s="81" t="s">
        <v>791</v>
      </c>
      <c r="Q392" s="84" t="s">
        <v>1180</v>
      </c>
      <c r="R392" s="81" t="s">
        <v>607</v>
      </c>
      <c r="S392" s="81" t="s">
        <v>1674</v>
      </c>
      <c r="T392" s="86" t="str">
        <f>HYPERLINK("http://www.youtube.com/channel/UCGV97-KkEM1mOk2s-iDCXtw")</f>
        <v>http://www.youtube.com/channel/UCGV97-KkEM1mOk2s-iDCXtw</v>
      </c>
      <c r="U392" s="81" t="s">
        <v>1867</v>
      </c>
      <c r="V392" s="81" t="s">
        <v>1885</v>
      </c>
      <c r="W392" s="86" t="str">
        <f>HYPERLINK("https://www.youtube.com/watch?v=wadBvDPeE4E")</f>
        <v>https://www.youtube.com/watch?v=wadBvDPeE4E</v>
      </c>
      <c r="X392" s="81" t="s">
        <v>1886</v>
      </c>
      <c r="Y392" s="81">
        <v>0</v>
      </c>
      <c r="Z392" s="88">
        <v>44401.56219907408</v>
      </c>
      <c r="AA392" s="88">
        <v>44401.56219907408</v>
      </c>
      <c r="AB392" s="81"/>
      <c r="AC392" s="81"/>
      <c r="AD392" s="84" t="s">
        <v>1927</v>
      </c>
      <c r="AE392" s="82">
        <v>1</v>
      </c>
      <c r="AF392" s="83" t="str">
        <f>REPLACE(INDEX(GroupVertices[Group],MATCH(Edges[[#This Row],[Vertex 1]],GroupVertices[Vertex],0)),1,1,"")</f>
        <v>6</v>
      </c>
      <c r="AG392" s="83" t="str">
        <f>REPLACE(INDEX(GroupVertices[Group],MATCH(Edges[[#This Row],[Vertex 2]],GroupVertices[Vertex],0)),1,1,"")</f>
        <v>6</v>
      </c>
      <c r="AH392" s="111">
        <v>1</v>
      </c>
      <c r="AI392" s="112">
        <v>4.761904761904762</v>
      </c>
      <c r="AJ392" s="111">
        <v>2</v>
      </c>
      <c r="AK392" s="112">
        <v>9.523809523809524</v>
      </c>
      <c r="AL392" s="111">
        <v>0</v>
      </c>
      <c r="AM392" s="112">
        <v>0</v>
      </c>
      <c r="AN392" s="111">
        <v>18</v>
      </c>
      <c r="AO392" s="112">
        <v>85.71428571428571</v>
      </c>
      <c r="AP392" s="111">
        <v>21</v>
      </c>
    </row>
    <row r="393" spans="1:42" ht="15">
      <c r="A393" s="65" t="s">
        <v>608</v>
      </c>
      <c r="B393" s="65" t="s">
        <v>786</v>
      </c>
      <c r="C393" s="66" t="s">
        <v>4509</v>
      </c>
      <c r="D393" s="67">
        <v>3</v>
      </c>
      <c r="E393" s="68"/>
      <c r="F393" s="69">
        <v>40</v>
      </c>
      <c r="G393" s="66"/>
      <c r="H393" s="70"/>
      <c r="I393" s="71"/>
      <c r="J393" s="71"/>
      <c r="K393" s="35" t="s">
        <v>65</v>
      </c>
      <c r="L393" s="79">
        <v>393</v>
      </c>
      <c r="M393" s="79"/>
      <c r="N393" s="73"/>
      <c r="O393" s="81" t="s">
        <v>788</v>
      </c>
      <c r="P393" s="81" t="s">
        <v>325</v>
      </c>
      <c r="Q393" s="84" t="s">
        <v>1181</v>
      </c>
      <c r="R393" s="81" t="s">
        <v>608</v>
      </c>
      <c r="S393" s="81" t="s">
        <v>1675</v>
      </c>
      <c r="T393" s="86" t="str">
        <f>HYPERLINK("http://www.youtube.com/channel/UCzXy1TbnogkjVRHMjQr3_GA")</f>
        <v>http://www.youtube.com/channel/UCzXy1TbnogkjVRHMjQr3_GA</v>
      </c>
      <c r="U393" s="81"/>
      <c r="V393" s="81" t="s">
        <v>1885</v>
      </c>
      <c r="W393" s="86" t="str">
        <f>HYPERLINK("https://www.youtube.com/watch?v=wadBvDPeE4E")</f>
        <v>https://www.youtube.com/watch?v=wadBvDPeE4E</v>
      </c>
      <c r="X393" s="81" t="s">
        <v>1886</v>
      </c>
      <c r="Y393" s="81">
        <v>12</v>
      </c>
      <c r="Z393" s="88">
        <v>42087.3903587963</v>
      </c>
      <c r="AA393" s="88">
        <v>42087.3903587963</v>
      </c>
      <c r="AB393" s="81"/>
      <c r="AC393" s="81"/>
      <c r="AD393" s="84" t="s">
        <v>1927</v>
      </c>
      <c r="AE393" s="82">
        <v>1</v>
      </c>
      <c r="AF393" s="83" t="str">
        <f>REPLACE(INDEX(GroupVertices[Group],MATCH(Edges[[#This Row],[Vertex 1]],GroupVertices[Vertex],0)),1,1,"")</f>
        <v>6</v>
      </c>
      <c r="AG393" s="83" t="str">
        <f>REPLACE(INDEX(GroupVertices[Group],MATCH(Edges[[#This Row],[Vertex 2]],GroupVertices[Vertex],0)),1,1,"")</f>
        <v>1</v>
      </c>
      <c r="AH393" s="111">
        <v>5</v>
      </c>
      <c r="AI393" s="112">
        <v>6.756756756756757</v>
      </c>
      <c r="AJ393" s="111">
        <v>3</v>
      </c>
      <c r="AK393" s="112">
        <v>4.054054054054054</v>
      </c>
      <c r="AL393" s="111">
        <v>0</v>
      </c>
      <c r="AM393" s="112">
        <v>0</v>
      </c>
      <c r="AN393" s="111">
        <v>66</v>
      </c>
      <c r="AO393" s="112">
        <v>89.1891891891892</v>
      </c>
      <c r="AP393" s="111">
        <v>74</v>
      </c>
    </row>
    <row r="394" spans="1:42" ht="15">
      <c r="A394" s="65" t="s">
        <v>609</v>
      </c>
      <c r="B394" s="65" t="s">
        <v>610</v>
      </c>
      <c r="C394" s="66" t="s">
        <v>4509</v>
      </c>
      <c r="D394" s="67">
        <v>3</v>
      </c>
      <c r="E394" s="68"/>
      <c r="F394" s="69">
        <v>40</v>
      </c>
      <c r="G394" s="66"/>
      <c r="H394" s="70"/>
      <c r="I394" s="71"/>
      <c r="J394" s="71"/>
      <c r="K394" s="35" t="s">
        <v>65</v>
      </c>
      <c r="L394" s="79">
        <v>394</v>
      </c>
      <c r="M394" s="79"/>
      <c r="N394" s="73"/>
      <c r="O394" s="81" t="s">
        <v>789</v>
      </c>
      <c r="P394" s="81" t="s">
        <v>791</v>
      </c>
      <c r="Q394" s="84" t="s">
        <v>1182</v>
      </c>
      <c r="R394" s="81" t="s">
        <v>609</v>
      </c>
      <c r="S394" s="81" t="s">
        <v>1676</v>
      </c>
      <c r="T394" s="86" t="str">
        <f>HYPERLINK("http://www.youtube.com/channel/UCH8JhGysUFU4lt7FcATVRWg")</f>
        <v>http://www.youtube.com/channel/UCH8JhGysUFU4lt7FcATVRWg</v>
      </c>
      <c r="U394" s="81" t="s">
        <v>1868</v>
      </c>
      <c r="V394" s="81" t="s">
        <v>1885</v>
      </c>
      <c r="W394" s="86" t="str">
        <f>HYPERLINK("https://www.youtube.com/watch?v=wadBvDPeE4E")</f>
        <v>https://www.youtube.com/watch?v=wadBvDPeE4E</v>
      </c>
      <c r="X394" s="81" t="s">
        <v>1886</v>
      </c>
      <c r="Y394" s="81">
        <v>3</v>
      </c>
      <c r="Z394" s="88">
        <v>43335.334282407406</v>
      </c>
      <c r="AA394" s="88">
        <v>43335.334282407406</v>
      </c>
      <c r="AB394" s="81"/>
      <c r="AC394" s="81"/>
      <c r="AD394" s="84" t="s">
        <v>1927</v>
      </c>
      <c r="AE394" s="82">
        <v>1</v>
      </c>
      <c r="AF394" s="83" t="str">
        <f>REPLACE(INDEX(GroupVertices[Group],MATCH(Edges[[#This Row],[Vertex 1]],GroupVertices[Vertex],0)),1,1,"")</f>
        <v>3</v>
      </c>
      <c r="AG394" s="83" t="str">
        <f>REPLACE(INDEX(GroupVertices[Group],MATCH(Edges[[#This Row],[Vertex 2]],GroupVertices[Vertex],0)),1,1,"")</f>
        <v>3</v>
      </c>
      <c r="AH394" s="111">
        <v>0</v>
      </c>
      <c r="AI394" s="112">
        <v>0</v>
      </c>
      <c r="AJ394" s="111">
        <v>0</v>
      </c>
      <c r="AK394" s="112">
        <v>0</v>
      </c>
      <c r="AL394" s="111">
        <v>0</v>
      </c>
      <c r="AM394" s="112">
        <v>0</v>
      </c>
      <c r="AN394" s="111">
        <v>14</v>
      </c>
      <c r="AO394" s="112">
        <v>100</v>
      </c>
      <c r="AP394" s="111">
        <v>14</v>
      </c>
    </row>
    <row r="395" spans="1:42" ht="15">
      <c r="A395" s="65" t="s">
        <v>503</v>
      </c>
      <c r="B395" s="65" t="s">
        <v>610</v>
      </c>
      <c r="C395" s="66" t="s">
        <v>4509</v>
      </c>
      <c r="D395" s="67">
        <v>3</v>
      </c>
      <c r="E395" s="68"/>
      <c r="F395" s="69">
        <v>40</v>
      </c>
      <c r="G395" s="66"/>
      <c r="H395" s="70"/>
      <c r="I395" s="71"/>
      <c r="J395" s="71"/>
      <c r="K395" s="35" t="s">
        <v>65</v>
      </c>
      <c r="L395" s="79">
        <v>395</v>
      </c>
      <c r="M395" s="79"/>
      <c r="N395" s="73"/>
      <c r="O395" s="81" t="s">
        <v>789</v>
      </c>
      <c r="P395" s="81" t="s">
        <v>791</v>
      </c>
      <c r="Q395" s="84" t="s">
        <v>1183</v>
      </c>
      <c r="R395" s="81" t="s">
        <v>503</v>
      </c>
      <c r="S395" s="81" t="s">
        <v>1571</v>
      </c>
      <c r="T395" s="86" t="str">
        <f>HYPERLINK("http://www.youtube.com/channel/UCcL0PxIXOU5-C1ckvdTiI1Q")</f>
        <v>http://www.youtube.com/channel/UCcL0PxIXOU5-C1ckvdTiI1Q</v>
      </c>
      <c r="U395" s="81" t="s">
        <v>1868</v>
      </c>
      <c r="V395" s="81" t="s">
        <v>1885</v>
      </c>
      <c r="W395" s="86" t="str">
        <f>HYPERLINK("https://www.youtube.com/watch?v=wadBvDPeE4E")</f>
        <v>https://www.youtube.com/watch?v=wadBvDPeE4E</v>
      </c>
      <c r="X395" s="81" t="s">
        <v>1886</v>
      </c>
      <c r="Y395" s="81">
        <v>1</v>
      </c>
      <c r="Z395" s="88">
        <v>44515.54451388889</v>
      </c>
      <c r="AA395" s="88">
        <v>44515.54451388889</v>
      </c>
      <c r="AB395" s="81"/>
      <c r="AC395" s="81"/>
      <c r="AD395" s="84" t="s">
        <v>1927</v>
      </c>
      <c r="AE395" s="82">
        <v>1</v>
      </c>
      <c r="AF395" s="83" t="str">
        <f>REPLACE(INDEX(GroupVertices[Group],MATCH(Edges[[#This Row],[Vertex 1]],GroupVertices[Vertex],0)),1,1,"")</f>
        <v>3</v>
      </c>
      <c r="AG395" s="83" t="str">
        <f>REPLACE(INDEX(GroupVertices[Group],MATCH(Edges[[#This Row],[Vertex 2]],GroupVertices[Vertex],0)),1,1,"")</f>
        <v>3</v>
      </c>
      <c r="AH395" s="111">
        <v>0</v>
      </c>
      <c r="AI395" s="112">
        <v>0</v>
      </c>
      <c r="AJ395" s="111">
        <v>1</v>
      </c>
      <c r="AK395" s="112">
        <v>3.7037037037037037</v>
      </c>
      <c r="AL395" s="111">
        <v>0</v>
      </c>
      <c r="AM395" s="112">
        <v>0</v>
      </c>
      <c r="AN395" s="111">
        <v>26</v>
      </c>
      <c r="AO395" s="112">
        <v>96.29629629629629</v>
      </c>
      <c r="AP395" s="111">
        <v>27</v>
      </c>
    </row>
    <row r="396" spans="1:42" ht="15">
      <c r="A396" s="65" t="s">
        <v>610</v>
      </c>
      <c r="B396" s="65" t="s">
        <v>786</v>
      </c>
      <c r="C396" s="66" t="s">
        <v>4509</v>
      </c>
      <c r="D396" s="67">
        <v>3</v>
      </c>
      <c r="E396" s="68"/>
      <c r="F396" s="69">
        <v>40</v>
      </c>
      <c r="G396" s="66"/>
      <c r="H396" s="70"/>
      <c r="I396" s="71"/>
      <c r="J396" s="71"/>
      <c r="K396" s="35" t="s">
        <v>65</v>
      </c>
      <c r="L396" s="79">
        <v>396</v>
      </c>
      <c r="M396" s="79"/>
      <c r="N396" s="73"/>
      <c r="O396" s="81" t="s">
        <v>788</v>
      </c>
      <c r="P396" s="81" t="s">
        <v>325</v>
      </c>
      <c r="Q396" s="84" t="s">
        <v>1184</v>
      </c>
      <c r="R396" s="81" t="s">
        <v>610</v>
      </c>
      <c r="S396" s="81" t="s">
        <v>1677</v>
      </c>
      <c r="T396" s="86" t="str">
        <f>HYPERLINK("http://www.youtube.com/channel/UCY2CDTmdxQXgPITxr3JcrRA")</f>
        <v>http://www.youtube.com/channel/UCY2CDTmdxQXgPITxr3JcrRA</v>
      </c>
      <c r="U396" s="81"/>
      <c r="V396" s="81" t="s">
        <v>1885</v>
      </c>
      <c r="W396" s="86" t="str">
        <f>HYPERLINK("https://www.youtube.com/watch?v=wadBvDPeE4E")</f>
        <v>https://www.youtube.com/watch?v=wadBvDPeE4E</v>
      </c>
      <c r="X396" s="81" t="s">
        <v>1886</v>
      </c>
      <c r="Y396" s="81">
        <v>82</v>
      </c>
      <c r="Z396" s="88">
        <v>42114.079884259256</v>
      </c>
      <c r="AA396" s="88">
        <v>42114.079884259256</v>
      </c>
      <c r="AB396" s="81"/>
      <c r="AC396" s="81"/>
      <c r="AD396" s="84" t="s">
        <v>1927</v>
      </c>
      <c r="AE396" s="82">
        <v>1</v>
      </c>
      <c r="AF396" s="83" t="str">
        <f>REPLACE(INDEX(GroupVertices[Group],MATCH(Edges[[#This Row],[Vertex 1]],GroupVertices[Vertex],0)),1,1,"")</f>
        <v>3</v>
      </c>
      <c r="AG396" s="83" t="str">
        <f>REPLACE(INDEX(GroupVertices[Group],MATCH(Edges[[#This Row],[Vertex 2]],GroupVertices[Vertex],0)),1,1,"")</f>
        <v>1</v>
      </c>
      <c r="AH396" s="111">
        <v>2</v>
      </c>
      <c r="AI396" s="112">
        <v>3.5714285714285716</v>
      </c>
      <c r="AJ396" s="111">
        <v>1</v>
      </c>
      <c r="AK396" s="112">
        <v>1.7857142857142858</v>
      </c>
      <c r="AL396" s="111">
        <v>0</v>
      </c>
      <c r="AM396" s="112">
        <v>0</v>
      </c>
      <c r="AN396" s="111">
        <v>53</v>
      </c>
      <c r="AO396" s="112">
        <v>94.64285714285714</v>
      </c>
      <c r="AP396" s="111">
        <v>56</v>
      </c>
    </row>
    <row r="397" spans="1:42" ht="15">
      <c r="A397" s="65" t="s">
        <v>611</v>
      </c>
      <c r="B397" s="65" t="s">
        <v>620</v>
      </c>
      <c r="C397" s="66" t="s">
        <v>4509</v>
      </c>
      <c r="D397" s="67">
        <v>3</v>
      </c>
      <c r="E397" s="68"/>
      <c r="F397" s="69">
        <v>40</v>
      </c>
      <c r="G397" s="66"/>
      <c r="H397" s="70"/>
      <c r="I397" s="71"/>
      <c r="J397" s="71"/>
      <c r="K397" s="35" t="s">
        <v>65</v>
      </c>
      <c r="L397" s="79">
        <v>397</v>
      </c>
      <c r="M397" s="79"/>
      <c r="N397" s="73"/>
      <c r="O397" s="81" t="s">
        <v>789</v>
      </c>
      <c r="P397" s="81" t="s">
        <v>791</v>
      </c>
      <c r="Q397" s="84" t="s">
        <v>1185</v>
      </c>
      <c r="R397" s="81" t="s">
        <v>611</v>
      </c>
      <c r="S397" s="81" t="s">
        <v>1678</v>
      </c>
      <c r="T397" s="86" t="str">
        <f>HYPERLINK("http://www.youtube.com/channel/UC45Xsn4MOqKUCE56OEMtqGw")</f>
        <v>http://www.youtube.com/channel/UC45Xsn4MOqKUCE56OEMtqGw</v>
      </c>
      <c r="U397" s="81" t="s">
        <v>1869</v>
      </c>
      <c r="V397" s="81" t="s">
        <v>1885</v>
      </c>
      <c r="W397" s="86" t="str">
        <f>HYPERLINK("https://www.youtube.com/watch?v=")</f>
        <v>https://www.youtube.com/watch?v=</v>
      </c>
      <c r="X397" s="81" t="s">
        <v>1886</v>
      </c>
      <c r="Y397" s="81">
        <v>0</v>
      </c>
      <c r="Z397" s="88">
        <v>44459.57266203704</v>
      </c>
      <c r="AA397" s="88">
        <v>44459.57266203704</v>
      </c>
      <c r="AB397" s="81"/>
      <c r="AC397" s="81"/>
      <c r="AD397" s="84" t="s">
        <v>1927</v>
      </c>
      <c r="AE397" s="82">
        <v>1</v>
      </c>
      <c r="AF397" s="83" t="str">
        <f>REPLACE(INDEX(GroupVertices[Group],MATCH(Edges[[#This Row],[Vertex 1]],GroupVertices[Vertex],0)),1,1,"")</f>
        <v>4</v>
      </c>
      <c r="AG397" s="83" t="str">
        <f>REPLACE(INDEX(GroupVertices[Group],MATCH(Edges[[#This Row],[Vertex 2]],GroupVertices[Vertex],0)),1,1,"")</f>
        <v>4</v>
      </c>
      <c r="AH397" s="111">
        <v>0</v>
      </c>
      <c r="AI397" s="112">
        <v>0</v>
      </c>
      <c r="AJ397" s="111">
        <v>0</v>
      </c>
      <c r="AK397" s="112">
        <v>0</v>
      </c>
      <c r="AL397" s="111">
        <v>0</v>
      </c>
      <c r="AM397" s="112">
        <v>0</v>
      </c>
      <c r="AN397" s="111">
        <v>3</v>
      </c>
      <c r="AO397" s="112">
        <v>100</v>
      </c>
      <c r="AP397" s="111">
        <v>3</v>
      </c>
    </row>
    <row r="398" spans="1:42" ht="15">
      <c r="A398" s="65" t="s">
        <v>612</v>
      </c>
      <c r="B398" s="65" t="s">
        <v>620</v>
      </c>
      <c r="C398" s="66" t="s">
        <v>4509</v>
      </c>
      <c r="D398" s="67">
        <v>3</v>
      </c>
      <c r="E398" s="68"/>
      <c r="F398" s="69">
        <v>40</v>
      </c>
      <c r="G398" s="66"/>
      <c r="H398" s="70"/>
      <c r="I398" s="71"/>
      <c r="J398" s="71"/>
      <c r="K398" s="35" t="s">
        <v>65</v>
      </c>
      <c r="L398" s="79">
        <v>398</v>
      </c>
      <c r="M398" s="79"/>
      <c r="N398" s="73"/>
      <c r="O398" s="81" t="s">
        <v>789</v>
      </c>
      <c r="P398" s="81" t="s">
        <v>791</v>
      </c>
      <c r="Q398" s="84" t="s">
        <v>1186</v>
      </c>
      <c r="R398" s="81" t="s">
        <v>612</v>
      </c>
      <c r="S398" s="81" t="s">
        <v>1679</v>
      </c>
      <c r="T398" s="86" t="str">
        <f>HYPERLINK("http://www.youtube.com/channel/UC_lJ_6b3_SsPHLlnRMpWNZA")</f>
        <v>http://www.youtube.com/channel/UC_lJ_6b3_SsPHLlnRMpWNZA</v>
      </c>
      <c r="U398" s="81" t="s">
        <v>1869</v>
      </c>
      <c r="V398" s="81" t="s">
        <v>1885</v>
      </c>
      <c r="W398" s="86" t="str">
        <f>HYPERLINK("https://www.youtube.com/watch?v=")</f>
        <v>https://www.youtube.com/watch?v=</v>
      </c>
      <c r="X398" s="81" t="s">
        <v>1886</v>
      </c>
      <c r="Y398" s="81">
        <v>0</v>
      </c>
      <c r="Z398" s="88">
        <v>44546.29207175926</v>
      </c>
      <c r="AA398" s="88">
        <v>44546.29207175926</v>
      </c>
      <c r="AB398" s="81"/>
      <c r="AC398" s="81"/>
      <c r="AD398" s="84" t="s">
        <v>1927</v>
      </c>
      <c r="AE398" s="82">
        <v>1</v>
      </c>
      <c r="AF398" s="83" t="str">
        <f>REPLACE(INDEX(GroupVertices[Group],MATCH(Edges[[#This Row],[Vertex 1]],GroupVertices[Vertex],0)),1,1,"")</f>
        <v>4</v>
      </c>
      <c r="AG398" s="83" t="str">
        <f>REPLACE(INDEX(GroupVertices[Group],MATCH(Edges[[#This Row],[Vertex 2]],GroupVertices[Vertex],0)),1,1,"")</f>
        <v>4</v>
      </c>
      <c r="AH398" s="111">
        <v>0</v>
      </c>
      <c r="AI398" s="112">
        <v>0</v>
      </c>
      <c r="AJ398" s="111">
        <v>0</v>
      </c>
      <c r="AK398" s="112">
        <v>0</v>
      </c>
      <c r="AL398" s="111">
        <v>0</v>
      </c>
      <c r="AM398" s="112">
        <v>0</v>
      </c>
      <c r="AN398" s="111">
        <v>3</v>
      </c>
      <c r="AO398" s="112">
        <v>100</v>
      </c>
      <c r="AP398" s="111">
        <v>3</v>
      </c>
    </row>
    <row r="399" spans="1:42" ht="15">
      <c r="A399" s="65" t="s">
        <v>613</v>
      </c>
      <c r="B399" s="65" t="s">
        <v>620</v>
      </c>
      <c r="C399" s="66" t="s">
        <v>4509</v>
      </c>
      <c r="D399" s="67">
        <v>3</v>
      </c>
      <c r="E399" s="68"/>
      <c r="F399" s="69">
        <v>40</v>
      </c>
      <c r="G399" s="66"/>
      <c r="H399" s="70"/>
      <c r="I399" s="71"/>
      <c r="J399" s="71"/>
      <c r="K399" s="35" t="s">
        <v>65</v>
      </c>
      <c r="L399" s="79">
        <v>399</v>
      </c>
      <c r="M399" s="79"/>
      <c r="N399" s="73"/>
      <c r="O399" s="81" t="s">
        <v>789</v>
      </c>
      <c r="P399" s="81" t="s">
        <v>791</v>
      </c>
      <c r="Q399" s="84" t="s">
        <v>1187</v>
      </c>
      <c r="R399" s="81" t="s">
        <v>613</v>
      </c>
      <c r="S399" s="81" t="s">
        <v>1680</v>
      </c>
      <c r="T399" s="86" t="str">
        <f>HYPERLINK("http://www.youtube.com/channel/UCUBj_5pwQZaoXfBrEQQbADw")</f>
        <v>http://www.youtube.com/channel/UCUBj_5pwQZaoXfBrEQQbADw</v>
      </c>
      <c r="U399" s="81" t="s">
        <v>1869</v>
      </c>
      <c r="V399" s="81" t="s">
        <v>1885</v>
      </c>
      <c r="W399" s="86" t="str">
        <f>HYPERLINK("https://www.youtube.com/watch?v=")</f>
        <v>https://www.youtube.com/watch?v=</v>
      </c>
      <c r="X399" s="81" t="s">
        <v>1886</v>
      </c>
      <c r="Y399" s="81">
        <v>1</v>
      </c>
      <c r="Z399" s="88">
        <v>44577.76106481482</v>
      </c>
      <c r="AA399" s="88">
        <v>44577.76106481482</v>
      </c>
      <c r="AB399" s="81"/>
      <c r="AC399" s="81"/>
      <c r="AD399" s="84" t="s">
        <v>1927</v>
      </c>
      <c r="AE399" s="82">
        <v>1</v>
      </c>
      <c r="AF399" s="83" t="str">
        <f>REPLACE(INDEX(GroupVertices[Group],MATCH(Edges[[#This Row],[Vertex 1]],GroupVertices[Vertex],0)),1,1,"")</f>
        <v>4</v>
      </c>
      <c r="AG399" s="83" t="str">
        <f>REPLACE(INDEX(GroupVertices[Group],MATCH(Edges[[#This Row],[Vertex 2]],GroupVertices[Vertex],0)),1,1,"")</f>
        <v>4</v>
      </c>
      <c r="AH399" s="111">
        <v>1</v>
      </c>
      <c r="AI399" s="112">
        <v>8.333333333333334</v>
      </c>
      <c r="AJ399" s="111">
        <v>2</v>
      </c>
      <c r="AK399" s="112">
        <v>16.666666666666668</v>
      </c>
      <c r="AL399" s="111">
        <v>0</v>
      </c>
      <c r="AM399" s="112">
        <v>0</v>
      </c>
      <c r="AN399" s="111">
        <v>9</v>
      </c>
      <c r="AO399" s="112">
        <v>75</v>
      </c>
      <c r="AP399" s="111">
        <v>12</v>
      </c>
    </row>
    <row r="400" spans="1:42" ht="15">
      <c r="A400" s="65" t="s">
        <v>614</v>
      </c>
      <c r="B400" s="65" t="s">
        <v>620</v>
      </c>
      <c r="C400" s="66" t="s">
        <v>4510</v>
      </c>
      <c r="D400" s="67">
        <v>5.333333333333334</v>
      </c>
      <c r="E400" s="68"/>
      <c r="F400" s="69">
        <v>31.666666666666664</v>
      </c>
      <c r="G400" s="66"/>
      <c r="H400" s="70"/>
      <c r="I400" s="71"/>
      <c r="J400" s="71"/>
      <c r="K400" s="35" t="s">
        <v>65</v>
      </c>
      <c r="L400" s="79">
        <v>400</v>
      </c>
      <c r="M400" s="79"/>
      <c r="N400" s="73"/>
      <c r="O400" s="81" t="s">
        <v>789</v>
      </c>
      <c r="P400" s="81" t="s">
        <v>791</v>
      </c>
      <c r="Q400" s="84" t="s">
        <v>66</v>
      </c>
      <c r="R400" s="81" t="s">
        <v>614</v>
      </c>
      <c r="S400" s="81" t="s">
        <v>1681</v>
      </c>
      <c r="T400" s="86" t="str">
        <f>HYPERLINK("http://www.youtube.com/channel/UC4QXJxB1E0nhsRB_-le2K4w")</f>
        <v>http://www.youtube.com/channel/UC4QXJxB1E0nhsRB_-le2K4w</v>
      </c>
      <c r="U400" s="81" t="s">
        <v>1869</v>
      </c>
      <c r="V400" s="81" t="s">
        <v>1885</v>
      </c>
      <c r="W400" s="86" t="str">
        <f>HYPERLINK("https://www.youtube.com/watch?v=")</f>
        <v>https://www.youtube.com/watch?v=</v>
      </c>
      <c r="X400" s="81" t="s">
        <v>1886</v>
      </c>
      <c r="Y400" s="81">
        <v>0</v>
      </c>
      <c r="Z400" s="88">
        <v>44568.74679398148</v>
      </c>
      <c r="AA400" s="88">
        <v>44568.74679398148</v>
      </c>
      <c r="AB400" s="81"/>
      <c r="AC400" s="81"/>
      <c r="AD400" s="84" t="s">
        <v>1927</v>
      </c>
      <c r="AE400" s="82">
        <v>2</v>
      </c>
      <c r="AF400" s="83" t="str">
        <f>REPLACE(INDEX(GroupVertices[Group],MATCH(Edges[[#This Row],[Vertex 1]],GroupVertices[Vertex],0)),1,1,"")</f>
        <v>4</v>
      </c>
      <c r="AG400" s="83" t="str">
        <f>REPLACE(INDEX(GroupVertices[Group],MATCH(Edges[[#This Row],[Vertex 2]],GroupVertices[Vertex],0)),1,1,"")</f>
        <v>4</v>
      </c>
      <c r="AH400" s="111">
        <v>0</v>
      </c>
      <c r="AI400" s="112">
        <v>0</v>
      </c>
      <c r="AJ400" s="111">
        <v>0</v>
      </c>
      <c r="AK400" s="112">
        <v>0</v>
      </c>
      <c r="AL400" s="111">
        <v>0</v>
      </c>
      <c r="AM400" s="112">
        <v>0</v>
      </c>
      <c r="AN400" s="111">
        <v>1</v>
      </c>
      <c r="AO400" s="112">
        <v>100</v>
      </c>
      <c r="AP400" s="111">
        <v>1</v>
      </c>
    </row>
    <row r="401" spans="1:42" ht="15">
      <c r="A401" s="65" t="s">
        <v>614</v>
      </c>
      <c r="B401" s="65" t="s">
        <v>620</v>
      </c>
      <c r="C401" s="66" t="s">
        <v>4510</v>
      </c>
      <c r="D401" s="67">
        <v>5.333333333333334</v>
      </c>
      <c r="E401" s="68"/>
      <c r="F401" s="69">
        <v>31.666666666666664</v>
      </c>
      <c r="G401" s="66"/>
      <c r="H401" s="70"/>
      <c r="I401" s="71"/>
      <c r="J401" s="71"/>
      <c r="K401" s="35" t="s">
        <v>65</v>
      </c>
      <c r="L401" s="79">
        <v>401</v>
      </c>
      <c r="M401" s="79"/>
      <c r="N401" s="73"/>
      <c r="O401" s="81" t="s">
        <v>789</v>
      </c>
      <c r="P401" s="81" t="s">
        <v>791</v>
      </c>
      <c r="Q401" s="84" t="s">
        <v>1188</v>
      </c>
      <c r="R401" s="81" t="s">
        <v>614</v>
      </c>
      <c r="S401" s="81" t="s">
        <v>1681</v>
      </c>
      <c r="T401" s="86" t="str">
        <f>HYPERLINK("http://www.youtube.com/channel/UC4QXJxB1E0nhsRB_-le2K4w")</f>
        <v>http://www.youtube.com/channel/UC4QXJxB1E0nhsRB_-le2K4w</v>
      </c>
      <c r="U401" s="81" t="s">
        <v>1869</v>
      </c>
      <c r="V401" s="81" t="s">
        <v>1885</v>
      </c>
      <c r="W401" s="86" t="str">
        <f>HYPERLINK("https://www.youtube.com/watch?v=")</f>
        <v>https://www.youtube.com/watch?v=</v>
      </c>
      <c r="X401" s="81" t="s">
        <v>1886</v>
      </c>
      <c r="Y401" s="81">
        <v>0</v>
      </c>
      <c r="Z401" s="88">
        <v>44577.76474537037</v>
      </c>
      <c r="AA401" s="88">
        <v>44577.76474537037</v>
      </c>
      <c r="AB401" s="81"/>
      <c r="AC401" s="81"/>
      <c r="AD401" s="84" t="s">
        <v>1927</v>
      </c>
      <c r="AE401" s="82">
        <v>2</v>
      </c>
      <c r="AF401" s="83" t="str">
        <f>REPLACE(INDEX(GroupVertices[Group],MATCH(Edges[[#This Row],[Vertex 1]],GroupVertices[Vertex],0)),1,1,"")</f>
        <v>4</v>
      </c>
      <c r="AG401" s="83" t="str">
        <f>REPLACE(INDEX(GroupVertices[Group],MATCH(Edges[[#This Row],[Vertex 2]],GroupVertices[Vertex],0)),1,1,"")</f>
        <v>4</v>
      </c>
      <c r="AH401" s="111">
        <v>0</v>
      </c>
      <c r="AI401" s="112">
        <v>0</v>
      </c>
      <c r="AJ401" s="111">
        <v>0</v>
      </c>
      <c r="AK401" s="112">
        <v>0</v>
      </c>
      <c r="AL401" s="111">
        <v>0</v>
      </c>
      <c r="AM401" s="112">
        <v>0</v>
      </c>
      <c r="AN401" s="111">
        <v>2</v>
      </c>
      <c r="AO401" s="112">
        <v>100</v>
      </c>
      <c r="AP401" s="111">
        <v>2</v>
      </c>
    </row>
    <row r="402" spans="1:42" ht="15">
      <c r="A402" s="65" t="s">
        <v>615</v>
      </c>
      <c r="B402" s="65" t="s">
        <v>620</v>
      </c>
      <c r="C402" s="66" t="s">
        <v>4509</v>
      </c>
      <c r="D402" s="67">
        <v>3</v>
      </c>
      <c r="E402" s="68"/>
      <c r="F402" s="69">
        <v>40</v>
      </c>
      <c r="G402" s="66"/>
      <c r="H402" s="70"/>
      <c r="I402" s="71"/>
      <c r="J402" s="71"/>
      <c r="K402" s="35" t="s">
        <v>65</v>
      </c>
      <c r="L402" s="79">
        <v>402</v>
      </c>
      <c r="M402" s="79"/>
      <c r="N402" s="73"/>
      <c r="O402" s="81" t="s">
        <v>789</v>
      </c>
      <c r="P402" s="81" t="s">
        <v>791</v>
      </c>
      <c r="Q402" s="84" t="s">
        <v>1189</v>
      </c>
      <c r="R402" s="81" t="s">
        <v>615</v>
      </c>
      <c r="S402" s="81" t="s">
        <v>1682</v>
      </c>
      <c r="T402" s="86" t="str">
        <f>HYPERLINK("http://www.youtube.com/channel/UCQaK5XxT3ouapC4nahbygOw")</f>
        <v>http://www.youtube.com/channel/UCQaK5XxT3ouapC4nahbygOw</v>
      </c>
      <c r="U402" s="81" t="s">
        <v>1869</v>
      </c>
      <c r="V402" s="81" t="s">
        <v>1885</v>
      </c>
      <c r="W402" s="86" t="str">
        <f>HYPERLINK("https://www.youtube.com/watch?v=")</f>
        <v>https://www.youtube.com/watch?v=</v>
      </c>
      <c r="X402" s="81" t="s">
        <v>1886</v>
      </c>
      <c r="Y402" s="81">
        <v>0</v>
      </c>
      <c r="Z402" s="88">
        <v>44600.13099537037</v>
      </c>
      <c r="AA402" s="88">
        <v>44600.13099537037</v>
      </c>
      <c r="AB402" s="81"/>
      <c r="AC402" s="81"/>
      <c r="AD402" s="84" t="s">
        <v>1927</v>
      </c>
      <c r="AE402" s="82">
        <v>1</v>
      </c>
      <c r="AF402" s="83" t="str">
        <f>REPLACE(INDEX(GroupVertices[Group],MATCH(Edges[[#This Row],[Vertex 1]],GroupVertices[Vertex],0)),1,1,"")</f>
        <v>4</v>
      </c>
      <c r="AG402" s="83" t="str">
        <f>REPLACE(INDEX(GroupVertices[Group],MATCH(Edges[[#This Row],[Vertex 2]],GroupVertices[Vertex],0)),1,1,"")</f>
        <v>4</v>
      </c>
      <c r="AH402" s="111">
        <v>0</v>
      </c>
      <c r="AI402" s="112">
        <v>0</v>
      </c>
      <c r="AJ402" s="111">
        <v>0</v>
      </c>
      <c r="AK402" s="112">
        <v>0</v>
      </c>
      <c r="AL402" s="111">
        <v>0</v>
      </c>
      <c r="AM402" s="112">
        <v>0</v>
      </c>
      <c r="AN402" s="111">
        <v>3</v>
      </c>
      <c r="AO402" s="112">
        <v>100</v>
      </c>
      <c r="AP402" s="111">
        <v>3</v>
      </c>
    </row>
    <row r="403" spans="1:42" ht="15">
      <c r="A403" s="65" t="s">
        <v>616</v>
      </c>
      <c r="B403" s="65" t="s">
        <v>620</v>
      </c>
      <c r="C403" s="66" t="s">
        <v>4509</v>
      </c>
      <c r="D403" s="67">
        <v>3</v>
      </c>
      <c r="E403" s="68"/>
      <c r="F403" s="69">
        <v>40</v>
      </c>
      <c r="G403" s="66"/>
      <c r="H403" s="70"/>
      <c r="I403" s="71"/>
      <c r="J403" s="71"/>
      <c r="K403" s="35" t="s">
        <v>65</v>
      </c>
      <c r="L403" s="79">
        <v>403</v>
      </c>
      <c r="M403" s="79"/>
      <c r="N403" s="73"/>
      <c r="O403" s="81" t="s">
        <v>789</v>
      </c>
      <c r="P403" s="81" t="s">
        <v>791</v>
      </c>
      <c r="Q403" s="84" t="s">
        <v>1190</v>
      </c>
      <c r="R403" s="81" t="s">
        <v>616</v>
      </c>
      <c r="S403" s="81" t="s">
        <v>1683</v>
      </c>
      <c r="T403" s="86" t="str">
        <f>HYPERLINK("http://www.youtube.com/channel/UClef0IgUbUnc5C36mbly74Q")</f>
        <v>http://www.youtube.com/channel/UClef0IgUbUnc5C36mbly74Q</v>
      </c>
      <c r="U403" s="81" t="s">
        <v>1869</v>
      </c>
      <c r="V403" s="81" t="s">
        <v>1885</v>
      </c>
      <c r="W403" s="86" t="str">
        <f>HYPERLINK("https://www.youtube.com/watch?v=")</f>
        <v>https://www.youtube.com/watch?v=</v>
      </c>
      <c r="X403" s="81" t="s">
        <v>1886</v>
      </c>
      <c r="Y403" s="81">
        <v>0</v>
      </c>
      <c r="Z403" s="88">
        <v>44663.176782407405</v>
      </c>
      <c r="AA403" s="88">
        <v>44663.176782407405</v>
      </c>
      <c r="AB403" s="81"/>
      <c r="AC403" s="81"/>
      <c r="AD403" s="84" t="s">
        <v>1927</v>
      </c>
      <c r="AE403" s="82">
        <v>1</v>
      </c>
      <c r="AF403" s="83" t="str">
        <f>REPLACE(INDEX(GroupVertices[Group],MATCH(Edges[[#This Row],[Vertex 1]],GroupVertices[Vertex],0)),1,1,"")</f>
        <v>4</v>
      </c>
      <c r="AG403" s="83" t="str">
        <f>REPLACE(INDEX(GroupVertices[Group],MATCH(Edges[[#This Row],[Vertex 2]],GroupVertices[Vertex],0)),1,1,"")</f>
        <v>4</v>
      </c>
      <c r="AH403" s="111">
        <v>0</v>
      </c>
      <c r="AI403" s="112">
        <v>0</v>
      </c>
      <c r="AJ403" s="111">
        <v>0</v>
      </c>
      <c r="AK403" s="112">
        <v>0</v>
      </c>
      <c r="AL403" s="111">
        <v>0</v>
      </c>
      <c r="AM403" s="112">
        <v>0</v>
      </c>
      <c r="AN403" s="111">
        <v>16</v>
      </c>
      <c r="AO403" s="112">
        <v>100</v>
      </c>
      <c r="AP403" s="111">
        <v>16</v>
      </c>
    </row>
    <row r="404" spans="1:42" ht="15">
      <c r="A404" s="65" t="s">
        <v>617</v>
      </c>
      <c r="B404" s="65" t="s">
        <v>620</v>
      </c>
      <c r="C404" s="66" t="s">
        <v>4509</v>
      </c>
      <c r="D404" s="67">
        <v>3</v>
      </c>
      <c r="E404" s="68"/>
      <c r="F404" s="69">
        <v>40</v>
      </c>
      <c r="G404" s="66"/>
      <c r="H404" s="70"/>
      <c r="I404" s="71"/>
      <c r="J404" s="71"/>
      <c r="K404" s="35" t="s">
        <v>65</v>
      </c>
      <c r="L404" s="79">
        <v>404</v>
      </c>
      <c r="M404" s="79"/>
      <c r="N404" s="73"/>
      <c r="O404" s="81" t="s">
        <v>789</v>
      </c>
      <c r="P404" s="81" t="s">
        <v>791</v>
      </c>
      <c r="Q404" s="84" t="s">
        <v>1191</v>
      </c>
      <c r="R404" s="81" t="s">
        <v>617</v>
      </c>
      <c r="S404" s="81" t="s">
        <v>1684</v>
      </c>
      <c r="T404" s="86" t="str">
        <f>HYPERLINK("http://www.youtube.com/channel/UCzBlwYz1klkhuxyvJR2FYyw")</f>
        <v>http://www.youtube.com/channel/UCzBlwYz1klkhuxyvJR2FYyw</v>
      </c>
      <c r="U404" s="81" t="s">
        <v>1869</v>
      </c>
      <c r="V404" s="81" t="s">
        <v>1885</v>
      </c>
      <c r="W404" s="86" t="str">
        <f>HYPERLINK("https://www.youtube.com/watch?v=")</f>
        <v>https://www.youtube.com/watch?v=</v>
      </c>
      <c r="X404" s="81" t="s">
        <v>1886</v>
      </c>
      <c r="Y404" s="81">
        <v>0</v>
      </c>
      <c r="Z404" s="88">
        <v>44709.53270833333</v>
      </c>
      <c r="AA404" s="88">
        <v>44709.53270833333</v>
      </c>
      <c r="AB404" s="81"/>
      <c r="AC404" s="81"/>
      <c r="AD404" s="84" t="s">
        <v>1927</v>
      </c>
      <c r="AE404" s="82">
        <v>1</v>
      </c>
      <c r="AF404" s="83" t="str">
        <f>REPLACE(INDEX(GroupVertices[Group],MATCH(Edges[[#This Row],[Vertex 1]],GroupVertices[Vertex],0)),1,1,"")</f>
        <v>4</v>
      </c>
      <c r="AG404" s="83" t="str">
        <f>REPLACE(INDEX(GroupVertices[Group],MATCH(Edges[[#This Row],[Vertex 2]],GroupVertices[Vertex],0)),1,1,"")</f>
        <v>4</v>
      </c>
      <c r="AH404" s="111">
        <v>0</v>
      </c>
      <c r="AI404" s="112">
        <v>0</v>
      </c>
      <c r="AJ404" s="111">
        <v>0</v>
      </c>
      <c r="AK404" s="112">
        <v>0</v>
      </c>
      <c r="AL404" s="111">
        <v>0</v>
      </c>
      <c r="AM404" s="112">
        <v>0</v>
      </c>
      <c r="AN404" s="111">
        <v>3</v>
      </c>
      <c r="AO404" s="112">
        <v>100</v>
      </c>
      <c r="AP404" s="111">
        <v>3</v>
      </c>
    </row>
    <row r="405" spans="1:42" ht="15">
      <c r="A405" s="65" t="s">
        <v>618</v>
      </c>
      <c r="B405" s="65" t="s">
        <v>620</v>
      </c>
      <c r="C405" s="66" t="s">
        <v>4509</v>
      </c>
      <c r="D405" s="67">
        <v>3</v>
      </c>
      <c r="E405" s="68"/>
      <c r="F405" s="69">
        <v>40</v>
      </c>
      <c r="G405" s="66"/>
      <c r="H405" s="70"/>
      <c r="I405" s="71"/>
      <c r="J405" s="71"/>
      <c r="K405" s="35" t="s">
        <v>65</v>
      </c>
      <c r="L405" s="79">
        <v>405</v>
      </c>
      <c r="M405" s="79"/>
      <c r="N405" s="73"/>
      <c r="O405" s="81" t="s">
        <v>789</v>
      </c>
      <c r="P405" s="81" t="s">
        <v>791</v>
      </c>
      <c r="Q405" s="84" t="s">
        <v>1192</v>
      </c>
      <c r="R405" s="81" t="s">
        <v>618</v>
      </c>
      <c r="S405" s="81" t="s">
        <v>1685</v>
      </c>
      <c r="T405" s="86" t="str">
        <f>HYPERLINK("http://www.youtube.com/channel/UCcWJRc2C1JbdQNmg__Nbh8w")</f>
        <v>http://www.youtube.com/channel/UCcWJRc2C1JbdQNmg__Nbh8w</v>
      </c>
      <c r="U405" s="81" t="s">
        <v>1869</v>
      </c>
      <c r="V405" s="81" t="s">
        <v>1885</v>
      </c>
      <c r="W405" s="86" t="str">
        <f>HYPERLINK("https://www.youtube.com/watch?v=")</f>
        <v>https://www.youtube.com/watch?v=</v>
      </c>
      <c r="X405" s="81" t="s">
        <v>1886</v>
      </c>
      <c r="Y405" s="81">
        <v>0</v>
      </c>
      <c r="Z405" s="88">
        <v>44736.56431712963</v>
      </c>
      <c r="AA405" s="88">
        <v>44736.56431712963</v>
      </c>
      <c r="AB405" s="81"/>
      <c r="AC405" s="81"/>
      <c r="AD405" s="84" t="s">
        <v>1927</v>
      </c>
      <c r="AE405" s="82">
        <v>1</v>
      </c>
      <c r="AF405" s="83" t="str">
        <f>REPLACE(INDEX(GroupVertices[Group],MATCH(Edges[[#This Row],[Vertex 1]],GroupVertices[Vertex],0)),1,1,"")</f>
        <v>4</v>
      </c>
      <c r="AG405" s="83" t="str">
        <f>REPLACE(INDEX(GroupVertices[Group],MATCH(Edges[[#This Row],[Vertex 2]],GroupVertices[Vertex],0)),1,1,"")</f>
        <v>4</v>
      </c>
      <c r="AH405" s="111">
        <v>1</v>
      </c>
      <c r="AI405" s="112">
        <v>33.333333333333336</v>
      </c>
      <c r="AJ405" s="111">
        <v>0</v>
      </c>
      <c r="AK405" s="112">
        <v>0</v>
      </c>
      <c r="AL405" s="111">
        <v>0</v>
      </c>
      <c r="AM405" s="112">
        <v>0</v>
      </c>
      <c r="AN405" s="111">
        <v>2</v>
      </c>
      <c r="AO405" s="112">
        <v>66.66666666666667</v>
      </c>
      <c r="AP405" s="111">
        <v>3</v>
      </c>
    </row>
    <row r="406" spans="1:42" ht="15">
      <c r="A406" s="65" t="s">
        <v>619</v>
      </c>
      <c r="B406" s="65" t="s">
        <v>620</v>
      </c>
      <c r="C406" s="66" t="s">
        <v>4509</v>
      </c>
      <c r="D406" s="67">
        <v>3</v>
      </c>
      <c r="E406" s="68"/>
      <c r="F406" s="69">
        <v>40</v>
      </c>
      <c r="G406" s="66"/>
      <c r="H406" s="70"/>
      <c r="I406" s="71"/>
      <c r="J406" s="71"/>
      <c r="K406" s="35" t="s">
        <v>65</v>
      </c>
      <c r="L406" s="79">
        <v>406</v>
      </c>
      <c r="M406" s="79"/>
      <c r="N406" s="73"/>
      <c r="O406" s="81" t="s">
        <v>789</v>
      </c>
      <c r="P406" s="81" t="s">
        <v>791</v>
      </c>
      <c r="Q406" s="84" t="s">
        <v>1193</v>
      </c>
      <c r="R406" s="81" t="s">
        <v>619</v>
      </c>
      <c r="S406" s="81" t="s">
        <v>1686</v>
      </c>
      <c r="T406" s="86" t="str">
        <f>HYPERLINK("http://www.youtube.com/channel/UCkrkDiKoCo1FS0Gh4QqP-UQ")</f>
        <v>http://www.youtube.com/channel/UCkrkDiKoCo1FS0Gh4QqP-UQ</v>
      </c>
      <c r="U406" s="81" t="s">
        <v>1869</v>
      </c>
      <c r="V406" s="81" t="s">
        <v>1885</v>
      </c>
      <c r="W406" s="86" t="str">
        <f>HYPERLINK("https://www.youtube.com/watch?v=")</f>
        <v>https://www.youtube.com/watch?v=</v>
      </c>
      <c r="X406" s="81" t="s">
        <v>1886</v>
      </c>
      <c r="Y406" s="81">
        <v>16</v>
      </c>
      <c r="Z406" s="88">
        <v>44256.46894675926</v>
      </c>
      <c r="AA406" s="88">
        <v>44256.46894675926</v>
      </c>
      <c r="AB406" s="81"/>
      <c r="AC406" s="81"/>
      <c r="AD406" s="84" t="s">
        <v>1927</v>
      </c>
      <c r="AE406" s="82">
        <v>1</v>
      </c>
      <c r="AF406" s="83" t="str">
        <f>REPLACE(INDEX(GroupVertices[Group],MATCH(Edges[[#This Row],[Vertex 1]],GroupVertices[Vertex],0)),1,1,"")</f>
        <v>4</v>
      </c>
      <c r="AG406" s="83" t="str">
        <f>REPLACE(INDEX(GroupVertices[Group],MATCH(Edges[[#This Row],[Vertex 2]],GroupVertices[Vertex],0)),1,1,"")</f>
        <v>4</v>
      </c>
      <c r="AH406" s="111">
        <v>0</v>
      </c>
      <c r="AI406" s="112">
        <v>0</v>
      </c>
      <c r="AJ406" s="111">
        <v>1</v>
      </c>
      <c r="AK406" s="112">
        <v>11.11111111111111</v>
      </c>
      <c r="AL406" s="111">
        <v>0</v>
      </c>
      <c r="AM406" s="112">
        <v>0</v>
      </c>
      <c r="AN406" s="111">
        <v>8</v>
      </c>
      <c r="AO406" s="112">
        <v>88.88888888888889</v>
      </c>
      <c r="AP406" s="111">
        <v>9</v>
      </c>
    </row>
    <row r="407" spans="1:42" ht="15">
      <c r="A407" s="65" t="s">
        <v>620</v>
      </c>
      <c r="B407" s="65" t="s">
        <v>786</v>
      </c>
      <c r="C407" s="66" t="s">
        <v>4509</v>
      </c>
      <c r="D407" s="67">
        <v>3</v>
      </c>
      <c r="E407" s="68"/>
      <c r="F407" s="69">
        <v>40</v>
      </c>
      <c r="G407" s="66"/>
      <c r="H407" s="70"/>
      <c r="I407" s="71"/>
      <c r="J407" s="71"/>
      <c r="K407" s="35" t="s">
        <v>65</v>
      </c>
      <c r="L407" s="79">
        <v>407</v>
      </c>
      <c r="M407" s="79"/>
      <c r="N407" s="73"/>
      <c r="O407" s="81" t="s">
        <v>788</v>
      </c>
      <c r="P407" s="81" t="s">
        <v>325</v>
      </c>
      <c r="Q407" s="84" t="s">
        <v>1194</v>
      </c>
      <c r="R407" s="81" t="s">
        <v>620</v>
      </c>
      <c r="S407" s="81" t="s">
        <v>1687</v>
      </c>
      <c r="T407" s="86" t="str">
        <f>HYPERLINK("http://www.youtube.com/channel/UCJIWPruSbOyRLGmT901E58w")</f>
        <v>http://www.youtube.com/channel/UCJIWPruSbOyRLGmT901E58w</v>
      </c>
      <c r="U407" s="81"/>
      <c r="V407" s="81" t="s">
        <v>1885</v>
      </c>
      <c r="W407" s="86" t="str">
        <f>HYPERLINK("https://www.youtube.com/watch?v=wadBvDPeE4E")</f>
        <v>https://www.youtube.com/watch?v=wadBvDPeE4E</v>
      </c>
      <c r="X407" s="81" t="s">
        <v>1886</v>
      </c>
      <c r="Y407" s="81">
        <v>164</v>
      </c>
      <c r="Z407" s="88">
        <v>42137.17390046296</v>
      </c>
      <c r="AA407" s="88">
        <v>42137.17390046296</v>
      </c>
      <c r="AB407" s="81"/>
      <c r="AC407" s="81"/>
      <c r="AD407" s="84" t="s">
        <v>1927</v>
      </c>
      <c r="AE407" s="82">
        <v>1</v>
      </c>
      <c r="AF407" s="83" t="str">
        <f>REPLACE(INDEX(GroupVertices[Group],MATCH(Edges[[#This Row],[Vertex 1]],GroupVertices[Vertex],0)),1,1,"")</f>
        <v>4</v>
      </c>
      <c r="AG407" s="83" t="str">
        <f>REPLACE(INDEX(GroupVertices[Group],MATCH(Edges[[#This Row],[Vertex 2]],GroupVertices[Vertex],0)),1,1,"")</f>
        <v>1</v>
      </c>
      <c r="AH407" s="111">
        <v>0</v>
      </c>
      <c r="AI407" s="112">
        <v>0</v>
      </c>
      <c r="AJ407" s="111">
        <v>0</v>
      </c>
      <c r="AK407" s="112">
        <v>0</v>
      </c>
      <c r="AL407" s="111">
        <v>0</v>
      </c>
      <c r="AM407" s="112">
        <v>0</v>
      </c>
      <c r="AN407" s="111">
        <v>10</v>
      </c>
      <c r="AO407" s="112">
        <v>100</v>
      </c>
      <c r="AP407" s="111">
        <v>10</v>
      </c>
    </row>
    <row r="408" spans="1:42" ht="15">
      <c r="A408" s="65" t="s">
        <v>621</v>
      </c>
      <c r="B408" s="65" t="s">
        <v>786</v>
      </c>
      <c r="C408" s="66" t="s">
        <v>4509</v>
      </c>
      <c r="D408" s="67">
        <v>3</v>
      </c>
      <c r="E408" s="68"/>
      <c r="F408" s="69">
        <v>40</v>
      </c>
      <c r="G408" s="66"/>
      <c r="H408" s="70"/>
      <c r="I408" s="71"/>
      <c r="J408" s="71"/>
      <c r="K408" s="35" t="s">
        <v>65</v>
      </c>
      <c r="L408" s="79">
        <v>408</v>
      </c>
      <c r="M408" s="79"/>
      <c r="N408" s="73"/>
      <c r="O408" s="81" t="s">
        <v>788</v>
      </c>
      <c r="P408" s="81" t="s">
        <v>325</v>
      </c>
      <c r="Q408" s="84" t="s">
        <v>1195</v>
      </c>
      <c r="R408" s="81" t="s">
        <v>621</v>
      </c>
      <c r="S408" s="81" t="s">
        <v>1688</v>
      </c>
      <c r="T408" s="86" t="str">
        <f>HYPERLINK("http://www.youtube.com/channel/UCAau4ooACUu7BojOO-nwDBQ")</f>
        <v>http://www.youtube.com/channel/UCAau4ooACUu7BojOO-nwDBQ</v>
      </c>
      <c r="U408" s="81"/>
      <c r="V408" s="81" t="s">
        <v>1885</v>
      </c>
      <c r="W408" s="86" t="str">
        <f>HYPERLINK("https://www.youtube.com/watch?v=wadBvDPeE4E")</f>
        <v>https://www.youtube.com/watch?v=wadBvDPeE4E</v>
      </c>
      <c r="X408" s="81" t="s">
        <v>1886</v>
      </c>
      <c r="Y408" s="81">
        <v>0</v>
      </c>
      <c r="Z408" s="88">
        <v>42157.22862268519</v>
      </c>
      <c r="AA408" s="88">
        <v>42157.22862268519</v>
      </c>
      <c r="AB408" s="81" t="s">
        <v>1890</v>
      </c>
      <c r="AC408" s="81" t="s">
        <v>1923</v>
      </c>
      <c r="AD408" s="84" t="s">
        <v>1927</v>
      </c>
      <c r="AE408" s="82">
        <v>1</v>
      </c>
      <c r="AF408" s="83" t="str">
        <f>REPLACE(INDEX(GroupVertices[Group],MATCH(Edges[[#This Row],[Vertex 1]],GroupVertices[Vertex],0)),1,1,"")</f>
        <v>1</v>
      </c>
      <c r="AG408" s="83" t="str">
        <f>REPLACE(INDEX(GroupVertices[Group],MATCH(Edges[[#This Row],[Vertex 2]],GroupVertices[Vertex],0)),1,1,"")</f>
        <v>1</v>
      </c>
      <c r="AH408" s="111">
        <v>0</v>
      </c>
      <c r="AI408" s="112">
        <v>0</v>
      </c>
      <c r="AJ408" s="111">
        <v>2</v>
      </c>
      <c r="AK408" s="112">
        <v>5.882352941176471</v>
      </c>
      <c r="AL408" s="111">
        <v>0</v>
      </c>
      <c r="AM408" s="112">
        <v>0</v>
      </c>
      <c r="AN408" s="111">
        <v>32</v>
      </c>
      <c r="AO408" s="112">
        <v>94.11764705882354</v>
      </c>
      <c r="AP408" s="111">
        <v>34</v>
      </c>
    </row>
    <row r="409" spans="1:42" ht="15">
      <c r="A409" s="65" t="s">
        <v>622</v>
      </c>
      <c r="B409" s="65" t="s">
        <v>786</v>
      </c>
      <c r="C409" s="66" t="s">
        <v>4509</v>
      </c>
      <c r="D409" s="67">
        <v>3</v>
      </c>
      <c r="E409" s="68"/>
      <c r="F409" s="69">
        <v>40</v>
      </c>
      <c r="G409" s="66"/>
      <c r="H409" s="70"/>
      <c r="I409" s="71"/>
      <c r="J409" s="71"/>
      <c r="K409" s="35" t="s">
        <v>65</v>
      </c>
      <c r="L409" s="79">
        <v>409</v>
      </c>
      <c r="M409" s="79"/>
      <c r="N409" s="73"/>
      <c r="O409" s="81" t="s">
        <v>788</v>
      </c>
      <c r="P409" s="81" t="s">
        <v>325</v>
      </c>
      <c r="Q409" s="84" t="s">
        <v>1196</v>
      </c>
      <c r="R409" s="81" t="s">
        <v>622</v>
      </c>
      <c r="S409" s="81" t="s">
        <v>1689</v>
      </c>
      <c r="T409" s="86" t="str">
        <f>HYPERLINK("http://www.youtube.com/channel/UC5JNe9QP8zRNsLI5YFRZ4oA")</f>
        <v>http://www.youtube.com/channel/UC5JNe9QP8zRNsLI5YFRZ4oA</v>
      </c>
      <c r="U409" s="81"/>
      <c r="V409" s="81" t="s">
        <v>1885</v>
      </c>
      <c r="W409" s="86" t="str">
        <f>HYPERLINK("https://www.youtube.com/watch?v=wadBvDPeE4E")</f>
        <v>https://www.youtube.com/watch?v=wadBvDPeE4E</v>
      </c>
      <c r="X409" s="81" t="s">
        <v>1886</v>
      </c>
      <c r="Y409" s="81">
        <v>0</v>
      </c>
      <c r="Z409" s="88">
        <v>42160.70134259259</v>
      </c>
      <c r="AA409" s="88">
        <v>42160.70134259259</v>
      </c>
      <c r="AB409" s="81"/>
      <c r="AC409" s="81"/>
      <c r="AD409" s="84" t="s">
        <v>1927</v>
      </c>
      <c r="AE409" s="82">
        <v>1</v>
      </c>
      <c r="AF409" s="83" t="str">
        <f>REPLACE(INDEX(GroupVertices[Group],MATCH(Edges[[#This Row],[Vertex 1]],GroupVertices[Vertex],0)),1,1,"")</f>
        <v>1</v>
      </c>
      <c r="AG409" s="83" t="str">
        <f>REPLACE(INDEX(GroupVertices[Group],MATCH(Edges[[#This Row],[Vertex 2]],GroupVertices[Vertex],0)),1,1,"")</f>
        <v>1</v>
      </c>
      <c r="AH409" s="111">
        <v>1</v>
      </c>
      <c r="AI409" s="112">
        <v>50</v>
      </c>
      <c r="AJ409" s="111">
        <v>0</v>
      </c>
      <c r="AK409" s="112">
        <v>0</v>
      </c>
      <c r="AL409" s="111">
        <v>0</v>
      </c>
      <c r="AM409" s="112">
        <v>0</v>
      </c>
      <c r="AN409" s="111">
        <v>1</v>
      </c>
      <c r="AO409" s="112">
        <v>50</v>
      </c>
      <c r="AP409" s="111">
        <v>2</v>
      </c>
    </row>
    <row r="410" spans="1:42" ht="15">
      <c r="A410" s="65" t="s">
        <v>623</v>
      </c>
      <c r="B410" s="65" t="s">
        <v>786</v>
      </c>
      <c r="C410" s="66" t="s">
        <v>4509</v>
      </c>
      <c r="D410" s="67">
        <v>3</v>
      </c>
      <c r="E410" s="68"/>
      <c r="F410" s="69">
        <v>40</v>
      </c>
      <c r="G410" s="66"/>
      <c r="H410" s="70"/>
      <c r="I410" s="71"/>
      <c r="J410" s="71"/>
      <c r="K410" s="35" t="s">
        <v>65</v>
      </c>
      <c r="L410" s="79">
        <v>410</v>
      </c>
      <c r="M410" s="79"/>
      <c r="N410" s="73"/>
      <c r="O410" s="81" t="s">
        <v>788</v>
      </c>
      <c r="P410" s="81" t="s">
        <v>325</v>
      </c>
      <c r="Q410" s="84" t="s">
        <v>1197</v>
      </c>
      <c r="R410" s="81" t="s">
        <v>623</v>
      </c>
      <c r="S410" s="81" t="s">
        <v>1690</v>
      </c>
      <c r="T410" s="86" t="str">
        <f>HYPERLINK("http://www.youtube.com/channel/UCQA36wkfIi92Tj506EhCckA")</f>
        <v>http://www.youtube.com/channel/UCQA36wkfIi92Tj506EhCckA</v>
      </c>
      <c r="U410" s="81"/>
      <c r="V410" s="81" t="s">
        <v>1885</v>
      </c>
      <c r="W410" s="86" t="str">
        <f>HYPERLINK("https://www.youtube.com/watch?v=wadBvDPeE4E")</f>
        <v>https://www.youtube.com/watch?v=wadBvDPeE4E</v>
      </c>
      <c r="X410" s="81" t="s">
        <v>1886</v>
      </c>
      <c r="Y410" s="81">
        <v>0</v>
      </c>
      <c r="Z410" s="88">
        <v>42218.7003587963</v>
      </c>
      <c r="AA410" s="88">
        <v>42218.7003587963</v>
      </c>
      <c r="AB410" s="81"/>
      <c r="AC410" s="81"/>
      <c r="AD410" s="84" t="s">
        <v>1927</v>
      </c>
      <c r="AE410" s="82">
        <v>1</v>
      </c>
      <c r="AF410" s="83" t="str">
        <f>REPLACE(INDEX(GroupVertices[Group],MATCH(Edges[[#This Row],[Vertex 1]],GroupVertices[Vertex],0)),1,1,"")</f>
        <v>1</v>
      </c>
      <c r="AG410" s="83" t="str">
        <f>REPLACE(INDEX(GroupVertices[Group],MATCH(Edges[[#This Row],[Vertex 2]],GroupVertices[Vertex],0)),1,1,"")</f>
        <v>1</v>
      </c>
      <c r="AH410" s="111">
        <v>1</v>
      </c>
      <c r="AI410" s="112">
        <v>0.9803921568627451</v>
      </c>
      <c r="AJ410" s="111">
        <v>0</v>
      </c>
      <c r="AK410" s="112">
        <v>0</v>
      </c>
      <c r="AL410" s="111">
        <v>0</v>
      </c>
      <c r="AM410" s="112">
        <v>0</v>
      </c>
      <c r="AN410" s="111">
        <v>101</v>
      </c>
      <c r="AO410" s="112">
        <v>99.01960784313725</v>
      </c>
      <c r="AP410" s="111">
        <v>102</v>
      </c>
    </row>
    <row r="411" spans="1:42" ht="15">
      <c r="A411" s="65" t="s">
        <v>588</v>
      </c>
      <c r="B411" s="65" t="s">
        <v>624</v>
      </c>
      <c r="C411" s="66" t="s">
        <v>4509</v>
      </c>
      <c r="D411" s="67">
        <v>3</v>
      </c>
      <c r="E411" s="68"/>
      <c r="F411" s="69">
        <v>40</v>
      </c>
      <c r="G411" s="66"/>
      <c r="H411" s="70"/>
      <c r="I411" s="71"/>
      <c r="J411" s="71"/>
      <c r="K411" s="35" t="s">
        <v>65</v>
      </c>
      <c r="L411" s="79">
        <v>411</v>
      </c>
      <c r="M411" s="79"/>
      <c r="N411" s="73"/>
      <c r="O411" s="81" t="s">
        <v>789</v>
      </c>
      <c r="P411" s="81" t="s">
        <v>791</v>
      </c>
      <c r="Q411" s="84" t="s">
        <v>1198</v>
      </c>
      <c r="R411" s="81" t="s">
        <v>588</v>
      </c>
      <c r="S411" s="81" t="s">
        <v>1656</v>
      </c>
      <c r="T411" s="86" t="str">
        <f>HYPERLINK("http://www.youtube.com/channel/UCgUhHwLepU37Cq-ragKIpNQ")</f>
        <v>http://www.youtube.com/channel/UCgUhHwLepU37Cq-ragKIpNQ</v>
      </c>
      <c r="U411" s="81" t="s">
        <v>1870</v>
      </c>
      <c r="V411" s="81" t="s">
        <v>1885</v>
      </c>
      <c r="W411" s="86" t="str">
        <f>HYPERLINK("https://www.youtube.com/watch?v=wadBvDPeE4E")</f>
        <v>https://www.youtube.com/watch?v=wadBvDPeE4E</v>
      </c>
      <c r="X411" s="81" t="s">
        <v>1886</v>
      </c>
      <c r="Y411" s="81">
        <v>16</v>
      </c>
      <c r="Z411" s="88">
        <v>42516.644479166665</v>
      </c>
      <c r="AA411" s="88">
        <v>42516.644479166665</v>
      </c>
      <c r="AB411" s="81"/>
      <c r="AC411" s="81"/>
      <c r="AD411" s="84" t="s">
        <v>1927</v>
      </c>
      <c r="AE411" s="82">
        <v>1</v>
      </c>
      <c r="AF411" s="83" t="str">
        <f>REPLACE(INDEX(GroupVertices[Group],MATCH(Edges[[#This Row],[Vertex 1]],GroupVertices[Vertex],0)),1,1,"")</f>
        <v>10</v>
      </c>
      <c r="AG411" s="83" t="str">
        <f>REPLACE(INDEX(GroupVertices[Group],MATCH(Edges[[#This Row],[Vertex 2]],GroupVertices[Vertex],0)),1,1,"")</f>
        <v>10</v>
      </c>
      <c r="AH411" s="111">
        <v>2</v>
      </c>
      <c r="AI411" s="112">
        <v>4.3478260869565215</v>
      </c>
      <c r="AJ411" s="111">
        <v>2</v>
      </c>
      <c r="AK411" s="112">
        <v>4.3478260869565215</v>
      </c>
      <c r="AL411" s="111">
        <v>0</v>
      </c>
      <c r="AM411" s="112">
        <v>0</v>
      </c>
      <c r="AN411" s="111">
        <v>42</v>
      </c>
      <c r="AO411" s="112">
        <v>91.30434782608695</v>
      </c>
      <c r="AP411" s="111">
        <v>46</v>
      </c>
    </row>
    <row r="412" spans="1:42" ht="15">
      <c r="A412" s="65" t="s">
        <v>624</v>
      </c>
      <c r="B412" s="65" t="s">
        <v>786</v>
      </c>
      <c r="C412" s="66" t="s">
        <v>4509</v>
      </c>
      <c r="D412" s="67">
        <v>3</v>
      </c>
      <c r="E412" s="68"/>
      <c r="F412" s="69">
        <v>40</v>
      </c>
      <c r="G412" s="66"/>
      <c r="H412" s="70"/>
      <c r="I412" s="71"/>
      <c r="J412" s="71"/>
      <c r="K412" s="35" t="s">
        <v>65</v>
      </c>
      <c r="L412" s="79">
        <v>412</v>
      </c>
      <c r="M412" s="79"/>
      <c r="N412" s="73"/>
      <c r="O412" s="81" t="s">
        <v>788</v>
      </c>
      <c r="P412" s="81" t="s">
        <v>325</v>
      </c>
      <c r="Q412" s="84" t="s">
        <v>1199</v>
      </c>
      <c r="R412" s="81" t="s">
        <v>624</v>
      </c>
      <c r="S412" s="81" t="s">
        <v>1691</v>
      </c>
      <c r="T412" s="86" t="str">
        <f>HYPERLINK("http://www.youtube.com/channel/UCu5WfUbKdhLCW9aPq3WZsNA")</f>
        <v>http://www.youtube.com/channel/UCu5WfUbKdhLCW9aPq3WZsNA</v>
      </c>
      <c r="U412" s="81"/>
      <c r="V412" s="81" t="s">
        <v>1885</v>
      </c>
      <c r="W412" s="86" t="str">
        <f>HYPERLINK("https://www.youtube.com/watch?v=wadBvDPeE4E")</f>
        <v>https://www.youtube.com/watch?v=wadBvDPeE4E</v>
      </c>
      <c r="X412" s="81" t="s">
        <v>1886</v>
      </c>
      <c r="Y412" s="81">
        <v>2</v>
      </c>
      <c r="Z412" s="88">
        <v>42248.5396875</v>
      </c>
      <c r="AA412" s="88">
        <v>42248.5396875</v>
      </c>
      <c r="AB412" s="81"/>
      <c r="AC412" s="81"/>
      <c r="AD412" s="84" t="s">
        <v>1927</v>
      </c>
      <c r="AE412" s="82">
        <v>1</v>
      </c>
      <c r="AF412" s="83" t="str">
        <f>REPLACE(INDEX(GroupVertices[Group],MATCH(Edges[[#This Row],[Vertex 1]],GroupVertices[Vertex],0)),1,1,"")</f>
        <v>10</v>
      </c>
      <c r="AG412" s="83" t="str">
        <f>REPLACE(INDEX(GroupVertices[Group],MATCH(Edges[[#This Row],[Vertex 2]],GroupVertices[Vertex],0)),1,1,"")</f>
        <v>1</v>
      </c>
      <c r="AH412" s="111">
        <v>7</v>
      </c>
      <c r="AI412" s="112">
        <v>5.6</v>
      </c>
      <c r="AJ412" s="111">
        <v>9</v>
      </c>
      <c r="AK412" s="112">
        <v>7.2</v>
      </c>
      <c r="AL412" s="111">
        <v>0</v>
      </c>
      <c r="AM412" s="112">
        <v>0</v>
      </c>
      <c r="AN412" s="111">
        <v>109</v>
      </c>
      <c r="AO412" s="112">
        <v>87.2</v>
      </c>
      <c r="AP412" s="111">
        <v>125</v>
      </c>
    </row>
    <row r="413" spans="1:42" ht="15">
      <c r="A413" s="65" t="s">
        <v>625</v>
      </c>
      <c r="B413" s="65" t="s">
        <v>786</v>
      </c>
      <c r="C413" s="66" t="s">
        <v>4509</v>
      </c>
      <c r="D413" s="67">
        <v>3</v>
      </c>
      <c r="E413" s="68"/>
      <c r="F413" s="69">
        <v>40</v>
      </c>
      <c r="G413" s="66"/>
      <c r="H413" s="70"/>
      <c r="I413" s="71"/>
      <c r="J413" s="71"/>
      <c r="K413" s="35" t="s">
        <v>65</v>
      </c>
      <c r="L413" s="79">
        <v>413</v>
      </c>
      <c r="M413" s="79"/>
      <c r="N413" s="73"/>
      <c r="O413" s="81" t="s">
        <v>788</v>
      </c>
      <c r="P413" s="81" t="s">
        <v>325</v>
      </c>
      <c r="Q413" s="84" t="s">
        <v>1200</v>
      </c>
      <c r="R413" s="81" t="s">
        <v>625</v>
      </c>
      <c r="S413" s="81" t="s">
        <v>1692</v>
      </c>
      <c r="T413" s="86" t="str">
        <f>HYPERLINK("http://www.youtube.com/channel/UCIRKurTHQZbcvnzcP9qq2RQ")</f>
        <v>http://www.youtube.com/channel/UCIRKurTHQZbcvnzcP9qq2RQ</v>
      </c>
      <c r="U413" s="81"/>
      <c r="V413" s="81" t="s">
        <v>1885</v>
      </c>
      <c r="W413" s="86" t="str">
        <f>HYPERLINK("https://www.youtube.com/watch?v=wadBvDPeE4E")</f>
        <v>https://www.youtube.com/watch?v=wadBvDPeE4E</v>
      </c>
      <c r="X413" s="81" t="s">
        <v>1886</v>
      </c>
      <c r="Y413" s="81">
        <v>2</v>
      </c>
      <c r="Z413" s="88">
        <v>42253.69216435185</v>
      </c>
      <c r="AA413" s="88">
        <v>42253.69216435185</v>
      </c>
      <c r="AB413" s="81"/>
      <c r="AC413" s="81"/>
      <c r="AD413" s="84" t="s">
        <v>1927</v>
      </c>
      <c r="AE413" s="82">
        <v>1</v>
      </c>
      <c r="AF413" s="83" t="str">
        <f>REPLACE(INDEX(GroupVertices[Group],MATCH(Edges[[#This Row],[Vertex 1]],GroupVertices[Vertex],0)),1,1,"")</f>
        <v>1</v>
      </c>
      <c r="AG413" s="83" t="str">
        <f>REPLACE(INDEX(GroupVertices[Group],MATCH(Edges[[#This Row],[Vertex 2]],GroupVertices[Vertex],0)),1,1,"")</f>
        <v>1</v>
      </c>
      <c r="AH413" s="111">
        <v>1</v>
      </c>
      <c r="AI413" s="112">
        <v>100</v>
      </c>
      <c r="AJ413" s="111">
        <v>0</v>
      </c>
      <c r="AK413" s="112">
        <v>0</v>
      </c>
      <c r="AL413" s="111">
        <v>0</v>
      </c>
      <c r="AM413" s="112">
        <v>0</v>
      </c>
      <c r="AN413" s="111">
        <v>0</v>
      </c>
      <c r="AO413" s="112">
        <v>0</v>
      </c>
      <c r="AP413" s="111">
        <v>1</v>
      </c>
    </row>
    <row r="414" spans="1:42" ht="15">
      <c r="A414" s="65" t="s">
        <v>626</v>
      </c>
      <c r="B414" s="65" t="s">
        <v>786</v>
      </c>
      <c r="C414" s="66" t="s">
        <v>4509</v>
      </c>
      <c r="D414" s="67">
        <v>3</v>
      </c>
      <c r="E414" s="68"/>
      <c r="F414" s="69">
        <v>40</v>
      </c>
      <c r="G414" s="66"/>
      <c r="H414" s="70"/>
      <c r="I414" s="71"/>
      <c r="J414" s="71"/>
      <c r="K414" s="35" t="s">
        <v>65</v>
      </c>
      <c r="L414" s="79">
        <v>414</v>
      </c>
      <c r="M414" s="79"/>
      <c r="N414" s="73"/>
      <c r="O414" s="81" t="s">
        <v>788</v>
      </c>
      <c r="P414" s="81" t="s">
        <v>325</v>
      </c>
      <c r="Q414" s="84" t="s">
        <v>1201</v>
      </c>
      <c r="R414" s="81" t="s">
        <v>626</v>
      </c>
      <c r="S414" s="81" t="s">
        <v>1693</v>
      </c>
      <c r="T414" s="86" t="str">
        <f>HYPERLINK("http://www.youtube.com/channel/UCJxsJfUTdHcEZ2gUemsUU1g")</f>
        <v>http://www.youtube.com/channel/UCJxsJfUTdHcEZ2gUemsUU1g</v>
      </c>
      <c r="U414" s="81"/>
      <c r="V414" s="81" t="s">
        <v>1885</v>
      </c>
      <c r="W414" s="86" t="str">
        <f>HYPERLINK("https://www.youtube.com/watch?v=wadBvDPeE4E")</f>
        <v>https://www.youtube.com/watch?v=wadBvDPeE4E</v>
      </c>
      <c r="X414" s="81" t="s">
        <v>1886</v>
      </c>
      <c r="Y414" s="81">
        <v>14</v>
      </c>
      <c r="Z414" s="88">
        <v>42265.21298611111</v>
      </c>
      <c r="AA414" s="88">
        <v>42265.21298611111</v>
      </c>
      <c r="AB414" s="81"/>
      <c r="AC414" s="81"/>
      <c r="AD414" s="84" t="s">
        <v>1927</v>
      </c>
      <c r="AE414" s="82">
        <v>1</v>
      </c>
      <c r="AF414" s="83" t="str">
        <f>REPLACE(INDEX(GroupVertices[Group],MATCH(Edges[[#This Row],[Vertex 1]],GroupVertices[Vertex],0)),1,1,"")</f>
        <v>1</v>
      </c>
      <c r="AG414" s="83" t="str">
        <f>REPLACE(INDEX(GroupVertices[Group],MATCH(Edges[[#This Row],[Vertex 2]],GroupVertices[Vertex],0)),1,1,"")</f>
        <v>1</v>
      </c>
      <c r="AH414" s="111">
        <v>0</v>
      </c>
      <c r="AI414" s="112">
        <v>0</v>
      </c>
      <c r="AJ414" s="111">
        <v>3</v>
      </c>
      <c r="AK414" s="112">
        <v>18.75</v>
      </c>
      <c r="AL414" s="111">
        <v>0</v>
      </c>
      <c r="AM414" s="112">
        <v>0</v>
      </c>
      <c r="AN414" s="111">
        <v>13</v>
      </c>
      <c r="AO414" s="112">
        <v>81.25</v>
      </c>
      <c r="AP414" s="111">
        <v>16</v>
      </c>
    </row>
    <row r="415" spans="1:42" ht="15">
      <c r="A415" s="65" t="s">
        <v>627</v>
      </c>
      <c r="B415" s="65" t="s">
        <v>786</v>
      </c>
      <c r="C415" s="66" t="s">
        <v>4509</v>
      </c>
      <c r="D415" s="67">
        <v>3</v>
      </c>
      <c r="E415" s="68"/>
      <c r="F415" s="69">
        <v>40</v>
      </c>
      <c r="G415" s="66"/>
      <c r="H415" s="70"/>
      <c r="I415" s="71"/>
      <c r="J415" s="71"/>
      <c r="K415" s="35" t="s">
        <v>65</v>
      </c>
      <c r="L415" s="79">
        <v>415</v>
      </c>
      <c r="M415" s="79"/>
      <c r="N415" s="73"/>
      <c r="O415" s="81" t="s">
        <v>788</v>
      </c>
      <c r="P415" s="81" t="s">
        <v>325</v>
      </c>
      <c r="Q415" s="84" t="s">
        <v>1202</v>
      </c>
      <c r="R415" s="81" t="s">
        <v>627</v>
      </c>
      <c r="S415" s="81" t="s">
        <v>1694</v>
      </c>
      <c r="T415" s="86" t="str">
        <f>HYPERLINK("http://www.youtube.com/channel/UCNUGMBHK4lmDI5WepvRT4DA")</f>
        <v>http://www.youtube.com/channel/UCNUGMBHK4lmDI5WepvRT4DA</v>
      </c>
      <c r="U415" s="81"/>
      <c r="V415" s="81" t="s">
        <v>1885</v>
      </c>
      <c r="W415" s="86" t="str">
        <f>HYPERLINK("https://www.youtube.com/watch?v=wadBvDPeE4E")</f>
        <v>https://www.youtube.com/watch?v=wadBvDPeE4E</v>
      </c>
      <c r="X415" s="81" t="s">
        <v>1886</v>
      </c>
      <c r="Y415" s="81">
        <v>2</v>
      </c>
      <c r="Z415" s="88">
        <v>42277.853842592594</v>
      </c>
      <c r="AA415" s="88">
        <v>42277.853842592594</v>
      </c>
      <c r="AB415" s="81"/>
      <c r="AC415" s="81"/>
      <c r="AD415" s="84" t="s">
        <v>1927</v>
      </c>
      <c r="AE415" s="82">
        <v>1</v>
      </c>
      <c r="AF415" s="83" t="str">
        <f>REPLACE(INDEX(GroupVertices[Group],MATCH(Edges[[#This Row],[Vertex 1]],GroupVertices[Vertex],0)),1,1,"")</f>
        <v>1</v>
      </c>
      <c r="AG415" s="83" t="str">
        <f>REPLACE(INDEX(GroupVertices[Group],MATCH(Edges[[#This Row],[Vertex 2]],GroupVertices[Vertex],0)),1,1,"")</f>
        <v>1</v>
      </c>
      <c r="AH415" s="111">
        <v>2</v>
      </c>
      <c r="AI415" s="112">
        <v>28.571428571428573</v>
      </c>
      <c r="AJ415" s="111">
        <v>0</v>
      </c>
      <c r="AK415" s="112">
        <v>0</v>
      </c>
      <c r="AL415" s="111">
        <v>0</v>
      </c>
      <c r="AM415" s="112">
        <v>0</v>
      </c>
      <c r="AN415" s="111">
        <v>5</v>
      </c>
      <c r="AO415" s="112">
        <v>71.42857142857143</v>
      </c>
      <c r="AP415" s="111">
        <v>7</v>
      </c>
    </row>
    <row r="416" spans="1:42" ht="15">
      <c r="A416" s="65" t="s">
        <v>628</v>
      </c>
      <c r="B416" s="65" t="s">
        <v>786</v>
      </c>
      <c r="C416" s="66" t="s">
        <v>4509</v>
      </c>
      <c r="D416" s="67">
        <v>3</v>
      </c>
      <c r="E416" s="68"/>
      <c r="F416" s="69">
        <v>40</v>
      </c>
      <c r="G416" s="66"/>
      <c r="H416" s="70"/>
      <c r="I416" s="71"/>
      <c r="J416" s="71"/>
      <c r="K416" s="35" t="s">
        <v>65</v>
      </c>
      <c r="L416" s="79">
        <v>416</v>
      </c>
      <c r="M416" s="79"/>
      <c r="N416" s="73"/>
      <c r="O416" s="81" t="s">
        <v>788</v>
      </c>
      <c r="P416" s="81" t="s">
        <v>325</v>
      </c>
      <c r="Q416" s="84" t="s">
        <v>1203</v>
      </c>
      <c r="R416" s="81" t="s">
        <v>628</v>
      </c>
      <c r="S416" s="81" t="s">
        <v>1695</v>
      </c>
      <c r="T416" s="86" t="str">
        <f>HYPERLINK("http://www.youtube.com/channel/UCj8T96meSgpGxUWeEj3vWPw")</f>
        <v>http://www.youtube.com/channel/UCj8T96meSgpGxUWeEj3vWPw</v>
      </c>
      <c r="U416" s="81"/>
      <c r="V416" s="81" t="s">
        <v>1885</v>
      </c>
      <c r="W416" s="86" t="str">
        <f>HYPERLINK("https://www.youtube.com/watch?v=wadBvDPeE4E")</f>
        <v>https://www.youtube.com/watch?v=wadBvDPeE4E</v>
      </c>
      <c r="X416" s="81" t="s">
        <v>1886</v>
      </c>
      <c r="Y416" s="81">
        <v>2</v>
      </c>
      <c r="Z416" s="88">
        <v>42316.74847222222</v>
      </c>
      <c r="AA416" s="88">
        <v>42316.74847222222</v>
      </c>
      <c r="AB416" s="81"/>
      <c r="AC416" s="81"/>
      <c r="AD416" s="84" t="s">
        <v>1927</v>
      </c>
      <c r="AE416" s="82">
        <v>1</v>
      </c>
      <c r="AF416" s="83" t="str">
        <f>REPLACE(INDEX(GroupVertices[Group],MATCH(Edges[[#This Row],[Vertex 1]],GroupVertices[Vertex],0)),1,1,"")</f>
        <v>1</v>
      </c>
      <c r="AG416" s="83" t="str">
        <f>REPLACE(INDEX(GroupVertices[Group],MATCH(Edges[[#This Row],[Vertex 2]],GroupVertices[Vertex],0)),1,1,"")</f>
        <v>1</v>
      </c>
      <c r="AH416" s="111">
        <v>1</v>
      </c>
      <c r="AI416" s="112">
        <v>50</v>
      </c>
      <c r="AJ416" s="111">
        <v>0</v>
      </c>
      <c r="AK416" s="112">
        <v>0</v>
      </c>
      <c r="AL416" s="111">
        <v>0</v>
      </c>
      <c r="AM416" s="112">
        <v>0</v>
      </c>
      <c r="AN416" s="111">
        <v>1</v>
      </c>
      <c r="AO416" s="112">
        <v>50</v>
      </c>
      <c r="AP416" s="111">
        <v>2</v>
      </c>
    </row>
    <row r="417" spans="1:42" ht="15">
      <c r="A417" s="65" t="s">
        <v>629</v>
      </c>
      <c r="B417" s="65" t="s">
        <v>633</v>
      </c>
      <c r="C417" s="66" t="s">
        <v>4509</v>
      </c>
      <c r="D417" s="67">
        <v>3</v>
      </c>
      <c r="E417" s="68"/>
      <c r="F417" s="69">
        <v>40</v>
      </c>
      <c r="G417" s="66"/>
      <c r="H417" s="70"/>
      <c r="I417" s="71"/>
      <c r="J417" s="71"/>
      <c r="K417" s="35" t="s">
        <v>65</v>
      </c>
      <c r="L417" s="79">
        <v>417</v>
      </c>
      <c r="M417" s="79"/>
      <c r="N417" s="73"/>
      <c r="O417" s="81" t="s">
        <v>789</v>
      </c>
      <c r="P417" s="81" t="s">
        <v>791</v>
      </c>
      <c r="Q417" s="84" t="s">
        <v>1204</v>
      </c>
      <c r="R417" s="81" t="s">
        <v>629</v>
      </c>
      <c r="S417" s="81" t="s">
        <v>1696</v>
      </c>
      <c r="T417" s="86" t="str">
        <f>HYPERLINK("http://www.youtube.com/channel/UCBwwnBABR8YjpkkX2POIKhQ")</f>
        <v>http://www.youtube.com/channel/UCBwwnBABR8YjpkkX2POIKhQ</v>
      </c>
      <c r="U417" s="81" t="s">
        <v>1871</v>
      </c>
      <c r="V417" s="81" t="s">
        <v>1885</v>
      </c>
      <c r="W417" s="86" t="str">
        <f>HYPERLINK("https://www.youtube.com/watch?v=")</f>
        <v>https://www.youtube.com/watch?v=</v>
      </c>
      <c r="X417" s="81" t="s">
        <v>1886</v>
      </c>
      <c r="Y417" s="81">
        <v>1</v>
      </c>
      <c r="Z417" s="88">
        <v>42318.6905787037</v>
      </c>
      <c r="AA417" s="88">
        <v>42318.6905787037</v>
      </c>
      <c r="AB417" s="81"/>
      <c r="AC417" s="81"/>
      <c r="AD417" s="84" t="s">
        <v>1927</v>
      </c>
      <c r="AE417" s="82">
        <v>1</v>
      </c>
      <c r="AF417" s="83" t="str">
        <f>REPLACE(INDEX(GroupVertices[Group],MATCH(Edges[[#This Row],[Vertex 1]],GroupVertices[Vertex],0)),1,1,"")</f>
        <v>2</v>
      </c>
      <c r="AG417" s="83" t="str">
        <f>REPLACE(INDEX(GroupVertices[Group],MATCH(Edges[[#This Row],[Vertex 2]],GroupVertices[Vertex],0)),1,1,"")</f>
        <v>2</v>
      </c>
      <c r="AH417" s="111">
        <v>0</v>
      </c>
      <c r="AI417" s="112">
        <v>0</v>
      </c>
      <c r="AJ417" s="111">
        <v>1</v>
      </c>
      <c r="AK417" s="112">
        <v>16.666666666666668</v>
      </c>
      <c r="AL417" s="111">
        <v>0</v>
      </c>
      <c r="AM417" s="112">
        <v>0</v>
      </c>
      <c r="AN417" s="111">
        <v>5</v>
      </c>
      <c r="AO417" s="112">
        <v>83.33333333333333</v>
      </c>
      <c r="AP417" s="111">
        <v>6</v>
      </c>
    </row>
    <row r="418" spans="1:42" ht="15">
      <c r="A418" s="65" t="s">
        <v>630</v>
      </c>
      <c r="B418" s="65" t="s">
        <v>633</v>
      </c>
      <c r="C418" s="66" t="s">
        <v>4509</v>
      </c>
      <c r="D418" s="67">
        <v>3</v>
      </c>
      <c r="E418" s="68"/>
      <c r="F418" s="69">
        <v>40</v>
      </c>
      <c r="G418" s="66"/>
      <c r="H418" s="70"/>
      <c r="I418" s="71"/>
      <c r="J418" s="71"/>
      <c r="K418" s="35" t="s">
        <v>65</v>
      </c>
      <c r="L418" s="79">
        <v>418</v>
      </c>
      <c r="M418" s="79"/>
      <c r="N418" s="73"/>
      <c r="O418" s="81" t="s">
        <v>789</v>
      </c>
      <c r="P418" s="81" t="s">
        <v>791</v>
      </c>
      <c r="Q418" s="84" t="s">
        <v>1205</v>
      </c>
      <c r="R418" s="81" t="s">
        <v>630</v>
      </c>
      <c r="S418" s="81" t="s">
        <v>1697</v>
      </c>
      <c r="T418" s="86" t="str">
        <f>HYPERLINK("http://www.youtube.com/channel/UC1He2YUcIuOGoVUIQZxOBDw")</f>
        <v>http://www.youtube.com/channel/UC1He2YUcIuOGoVUIQZxOBDw</v>
      </c>
      <c r="U418" s="81" t="s">
        <v>1871</v>
      </c>
      <c r="V418" s="81" t="s">
        <v>1885</v>
      </c>
      <c r="W418" s="86" t="str">
        <f>HYPERLINK("https://www.youtube.com/watch?v=")</f>
        <v>https://www.youtube.com/watch?v=</v>
      </c>
      <c r="X418" s="81" t="s">
        <v>1886</v>
      </c>
      <c r="Y418" s="81">
        <v>2</v>
      </c>
      <c r="Z418" s="88">
        <v>42526.312268518515</v>
      </c>
      <c r="AA418" s="88">
        <v>42526.312268518515</v>
      </c>
      <c r="AB418" s="81"/>
      <c r="AC418" s="81"/>
      <c r="AD418" s="84" t="s">
        <v>1927</v>
      </c>
      <c r="AE418" s="82">
        <v>1</v>
      </c>
      <c r="AF418" s="83" t="str">
        <f>REPLACE(INDEX(GroupVertices[Group],MATCH(Edges[[#This Row],[Vertex 1]],GroupVertices[Vertex],0)),1,1,"")</f>
        <v>2</v>
      </c>
      <c r="AG418" s="83" t="str">
        <f>REPLACE(INDEX(GroupVertices[Group],MATCH(Edges[[#This Row],[Vertex 2]],GroupVertices[Vertex],0)),1,1,"")</f>
        <v>2</v>
      </c>
      <c r="AH418" s="111">
        <v>1</v>
      </c>
      <c r="AI418" s="112">
        <v>0.8928571428571429</v>
      </c>
      <c r="AJ418" s="111">
        <v>6</v>
      </c>
      <c r="AK418" s="112">
        <v>5.357142857142857</v>
      </c>
      <c r="AL418" s="111">
        <v>0</v>
      </c>
      <c r="AM418" s="112">
        <v>0</v>
      </c>
      <c r="AN418" s="111">
        <v>105</v>
      </c>
      <c r="AO418" s="112">
        <v>93.75</v>
      </c>
      <c r="AP418" s="111">
        <v>112</v>
      </c>
    </row>
    <row r="419" spans="1:42" ht="15">
      <c r="A419" s="65" t="s">
        <v>603</v>
      </c>
      <c r="B419" s="65" t="s">
        <v>633</v>
      </c>
      <c r="C419" s="66" t="s">
        <v>4509</v>
      </c>
      <c r="D419" s="67">
        <v>3</v>
      </c>
      <c r="E419" s="68"/>
      <c r="F419" s="69">
        <v>40</v>
      </c>
      <c r="G419" s="66"/>
      <c r="H419" s="70"/>
      <c r="I419" s="71"/>
      <c r="J419" s="71"/>
      <c r="K419" s="35" t="s">
        <v>65</v>
      </c>
      <c r="L419" s="79">
        <v>419</v>
      </c>
      <c r="M419" s="79"/>
      <c r="N419" s="73"/>
      <c r="O419" s="81" t="s">
        <v>789</v>
      </c>
      <c r="P419" s="81" t="s">
        <v>791</v>
      </c>
      <c r="Q419" s="84" t="s">
        <v>1206</v>
      </c>
      <c r="R419" s="81" t="s">
        <v>603</v>
      </c>
      <c r="S419" s="81" t="s">
        <v>1670</v>
      </c>
      <c r="T419" s="86" t="str">
        <f>HYPERLINK("http://www.youtube.com/channel/UCRkgxOcNAD-ttZMxrrN5GYQ")</f>
        <v>http://www.youtube.com/channel/UCRkgxOcNAD-ttZMxrrN5GYQ</v>
      </c>
      <c r="U419" s="81" t="s">
        <v>1871</v>
      </c>
      <c r="V419" s="81" t="s">
        <v>1885</v>
      </c>
      <c r="W419" s="86" t="str">
        <f>HYPERLINK("https://www.youtube.com/watch?v=")</f>
        <v>https://www.youtube.com/watch?v=</v>
      </c>
      <c r="X419" s="81" t="s">
        <v>1886</v>
      </c>
      <c r="Y419" s="81">
        <v>1</v>
      </c>
      <c r="Z419" s="88">
        <v>43199.71775462963</v>
      </c>
      <c r="AA419" s="88">
        <v>43199.71775462963</v>
      </c>
      <c r="AB419" s="81"/>
      <c r="AC419" s="81"/>
      <c r="AD419" s="84" t="s">
        <v>1927</v>
      </c>
      <c r="AE419" s="82">
        <v>1</v>
      </c>
      <c r="AF419" s="83" t="str">
        <f>REPLACE(INDEX(GroupVertices[Group],MATCH(Edges[[#This Row],[Vertex 1]],GroupVertices[Vertex],0)),1,1,"")</f>
        <v>2</v>
      </c>
      <c r="AG419" s="83" t="str">
        <f>REPLACE(INDEX(GroupVertices[Group],MATCH(Edges[[#This Row],[Vertex 2]],GroupVertices[Vertex],0)),1,1,"")</f>
        <v>2</v>
      </c>
      <c r="AH419" s="111">
        <v>0</v>
      </c>
      <c r="AI419" s="112">
        <v>0</v>
      </c>
      <c r="AJ419" s="111">
        <v>2</v>
      </c>
      <c r="AK419" s="112">
        <v>11.764705882352942</v>
      </c>
      <c r="AL419" s="111">
        <v>0</v>
      </c>
      <c r="AM419" s="112">
        <v>0</v>
      </c>
      <c r="AN419" s="111">
        <v>15</v>
      </c>
      <c r="AO419" s="112">
        <v>88.23529411764706</v>
      </c>
      <c r="AP419" s="111">
        <v>17</v>
      </c>
    </row>
    <row r="420" spans="1:42" ht="15">
      <c r="A420" s="65" t="s">
        <v>631</v>
      </c>
      <c r="B420" s="65" t="s">
        <v>633</v>
      </c>
      <c r="C420" s="66" t="s">
        <v>4510</v>
      </c>
      <c r="D420" s="67">
        <v>5.333333333333334</v>
      </c>
      <c r="E420" s="68"/>
      <c r="F420" s="69">
        <v>31.666666666666664</v>
      </c>
      <c r="G420" s="66"/>
      <c r="H420" s="70"/>
      <c r="I420" s="71"/>
      <c r="J420" s="71"/>
      <c r="K420" s="35" t="s">
        <v>65</v>
      </c>
      <c r="L420" s="79">
        <v>420</v>
      </c>
      <c r="M420" s="79"/>
      <c r="N420" s="73"/>
      <c r="O420" s="81" t="s">
        <v>789</v>
      </c>
      <c r="P420" s="81" t="s">
        <v>791</v>
      </c>
      <c r="Q420" s="84" t="s">
        <v>1207</v>
      </c>
      <c r="R420" s="81" t="s">
        <v>631</v>
      </c>
      <c r="S420" s="81" t="s">
        <v>1698</v>
      </c>
      <c r="T420" s="86" t="str">
        <f>HYPERLINK("http://www.youtube.com/channel/UC31_D_S1fQ8DcaEMLpTe9qw")</f>
        <v>http://www.youtube.com/channel/UC31_D_S1fQ8DcaEMLpTe9qw</v>
      </c>
      <c r="U420" s="81" t="s">
        <v>1871</v>
      </c>
      <c r="V420" s="81" t="s">
        <v>1885</v>
      </c>
      <c r="W420" s="86" t="str">
        <f>HYPERLINK("https://www.youtube.com/watch?v=")</f>
        <v>https://www.youtube.com/watch?v=</v>
      </c>
      <c r="X420" s="81" t="s">
        <v>1886</v>
      </c>
      <c r="Y420" s="81">
        <v>0</v>
      </c>
      <c r="Z420" s="88">
        <v>44355.65708333333</v>
      </c>
      <c r="AA420" s="88">
        <v>44355.65708333333</v>
      </c>
      <c r="AB420" s="81"/>
      <c r="AC420" s="81"/>
      <c r="AD420" s="84" t="s">
        <v>1927</v>
      </c>
      <c r="AE420" s="82">
        <v>2</v>
      </c>
      <c r="AF420" s="83" t="str">
        <f>REPLACE(INDEX(GroupVertices[Group],MATCH(Edges[[#This Row],[Vertex 1]],GroupVertices[Vertex],0)),1,1,"")</f>
        <v>2</v>
      </c>
      <c r="AG420" s="83" t="str">
        <f>REPLACE(INDEX(GroupVertices[Group],MATCH(Edges[[#This Row],[Vertex 2]],GroupVertices[Vertex],0)),1,1,"")</f>
        <v>2</v>
      </c>
      <c r="AH420" s="111">
        <v>0</v>
      </c>
      <c r="AI420" s="112">
        <v>0</v>
      </c>
      <c r="AJ420" s="111">
        <v>1</v>
      </c>
      <c r="AK420" s="112">
        <v>3.8461538461538463</v>
      </c>
      <c r="AL420" s="111">
        <v>0</v>
      </c>
      <c r="AM420" s="112">
        <v>0</v>
      </c>
      <c r="AN420" s="111">
        <v>25</v>
      </c>
      <c r="AO420" s="112">
        <v>96.15384615384616</v>
      </c>
      <c r="AP420" s="111">
        <v>26</v>
      </c>
    </row>
    <row r="421" spans="1:42" ht="15">
      <c r="A421" s="65" t="s">
        <v>631</v>
      </c>
      <c r="B421" s="65" t="s">
        <v>633</v>
      </c>
      <c r="C421" s="66" t="s">
        <v>4510</v>
      </c>
      <c r="D421" s="67">
        <v>5.333333333333334</v>
      </c>
      <c r="E421" s="68"/>
      <c r="F421" s="69">
        <v>31.666666666666664</v>
      </c>
      <c r="G421" s="66"/>
      <c r="H421" s="70"/>
      <c r="I421" s="71"/>
      <c r="J421" s="71"/>
      <c r="K421" s="35" t="s">
        <v>65</v>
      </c>
      <c r="L421" s="79">
        <v>421</v>
      </c>
      <c r="M421" s="79"/>
      <c r="N421" s="73"/>
      <c r="O421" s="81" t="s">
        <v>789</v>
      </c>
      <c r="P421" s="81" t="s">
        <v>791</v>
      </c>
      <c r="Q421" s="84" t="s">
        <v>1208</v>
      </c>
      <c r="R421" s="81" t="s">
        <v>631</v>
      </c>
      <c r="S421" s="81" t="s">
        <v>1698</v>
      </c>
      <c r="T421" s="86" t="str">
        <f>HYPERLINK("http://www.youtube.com/channel/UC31_D_S1fQ8DcaEMLpTe9qw")</f>
        <v>http://www.youtube.com/channel/UC31_D_S1fQ8DcaEMLpTe9qw</v>
      </c>
      <c r="U421" s="81" t="s">
        <v>1871</v>
      </c>
      <c r="V421" s="81" t="s">
        <v>1885</v>
      </c>
      <c r="W421" s="86" t="str">
        <f>HYPERLINK("https://www.youtube.com/watch?v=")</f>
        <v>https://www.youtube.com/watch?v=</v>
      </c>
      <c r="X421" s="81" t="s">
        <v>1886</v>
      </c>
      <c r="Y421" s="81">
        <v>0</v>
      </c>
      <c r="Z421" s="88">
        <v>44355.657430555555</v>
      </c>
      <c r="AA421" s="88">
        <v>44355.657430555555</v>
      </c>
      <c r="AB421" s="81"/>
      <c r="AC421" s="81"/>
      <c r="AD421" s="84" t="s">
        <v>1927</v>
      </c>
      <c r="AE421" s="82">
        <v>2</v>
      </c>
      <c r="AF421" s="83" t="str">
        <f>REPLACE(INDEX(GroupVertices[Group],MATCH(Edges[[#This Row],[Vertex 1]],GroupVertices[Vertex],0)),1,1,"")</f>
        <v>2</v>
      </c>
      <c r="AG421" s="83" t="str">
        <f>REPLACE(INDEX(GroupVertices[Group],MATCH(Edges[[#This Row],[Vertex 2]],GroupVertices[Vertex],0)),1,1,"")</f>
        <v>2</v>
      </c>
      <c r="AH421" s="111">
        <v>1</v>
      </c>
      <c r="AI421" s="112">
        <v>14.285714285714286</v>
      </c>
      <c r="AJ421" s="111">
        <v>0</v>
      </c>
      <c r="AK421" s="112">
        <v>0</v>
      </c>
      <c r="AL421" s="111">
        <v>0</v>
      </c>
      <c r="AM421" s="112">
        <v>0</v>
      </c>
      <c r="AN421" s="111">
        <v>6</v>
      </c>
      <c r="AO421" s="112">
        <v>85.71428571428571</v>
      </c>
      <c r="AP421" s="111">
        <v>7</v>
      </c>
    </row>
    <row r="422" spans="1:42" ht="15">
      <c r="A422" s="65" t="s">
        <v>632</v>
      </c>
      <c r="B422" s="65" t="s">
        <v>633</v>
      </c>
      <c r="C422" s="66" t="s">
        <v>4510</v>
      </c>
      <c r="D422" s="67">
        <v>5.333333333333334</v>
      </c>
      <c r="E422" s="68"/>
      <c r="F422" s="69">
        <v>31.666666666666664</v>
      </c>
      <c r="G422" s="66"/>
      <c r="H422" s="70"/>
      <c r="I422" s="71"/>
      <c r="J422" s="71"/>
      <c r="K422" s="35" t="s">
        <v>65</v>
      </c>
      <c r="L422" s="79">
        <v>422</v>
      </c>
      <c r="M422" s="79"/>
      <c r="N422" s="73"/>
      <c r="O422" s="81" t="s">
        <v>789</v>
      </c>
      <c r="P422" s="81" t="s">
        <v>791</v>
      </c>
      <c r="Q422" s="84" t="s">
        <v>1209</v>
      </c>
      <c r="R422" s="81" t="s">
        <v>632</v>
      </c>
      <c r="S422" s="81" t="s">
        <v>1699</v>
      </c>
      <c r="T422" s="86" t="str">
        <f>HYPERLINK("http://www.youtube.com/channel/UCQOYwrCd1Ajqi2UDuhDdXHA")</f>
        <v>http://www.youtube.com/channel/UCQOYwrCd1Ajqi2UDuhDdXHA</v>
      </c>
      <c r="U422" s="81" t="s">
        <v>1871</v>
      </c>
      <c r="V422" s="81" t="s">
        <v>1885</v>
      </c>
      <c r="W422" s="86" t="str">
        <f>HYPERLINK("https://www.youtube.com/watch?v=")</f>
        <v>https://www.youtube.com/watch?v=</v>
      </c>
      <c r="X422" s="81" t="s">
        <v>1886</v>
      </c>
      <c r="Y422" s="81">
        <v>0</v>
      </c>
      <c r="Z422" s="88">
        <v>44343.8674537037</v>
      </c>
      <c r="AA422" s="88">
        <v>44343.8674537037</v>
      </c>
      <c r="AB422" s="81"/>
      <c r="AC422" s="81"/>
      <c r="AD422" s="84" t="s">
        <v>1927</v>
      </c>
      <c r="AE422" s="82">
        <v>2</v>
      </c>
      <c r="AF422" s="83" t="str">
        <f>REPLACE(INDEX(GroupVertices[Group],MATCH(Edges[[#This Row],[Vertex 1]],GroupVertices[Vertex],0)),1,1,"")</f>
        <v>2</v>
      </c>
      <c r="AG422" s="83" t="str">
        <f>REPLACE(INDEX(GroupVertices[Group],MATCH(Edges[[#This Row],[Vertex 2]],GroupVertices[Vertex],0)),1,1,"")</f>
        <v>2</v>
      </c>
      <c r="AH422" s="111">
        <v>0</v>
      </c>
      <c r="AI422" s="112">
        <v>0</v>
      </c>
      <c r="AJ422" s="111">
        <v>0</v>
      </c>
      <c r="AK422" s="112">
        <v>0</v>
      </c>
      <c r="AL422" s="111">
        <v>0</v>
      </c>
      <c r="AM422" s="112">
        <v>0</v>
      </c>
      <c r="AN422" s="111">
        <v>7</v>
      </c>
      <c r="AO422" s="112">
        <v>100</v>
      </c>
      <c r="AP422" s="111">
        <v>7</v>
      </c>
    </row>
    <row r="423" spans="1:42" ht="15">
      <c r="A423" s="65" t="s">
        <v>632</v>
      </c>
      <c r="B423" s="65" t="s">
        <v>633</v>
      </c>
      <c r="C423" s="66" t="s">
        <v>4510</v>
      </c>
      <c r="D423" s="67">
        <v>5.333333333333334</v>
      </c>
      <c r="E423" s="68"/>
      <c r="F423" s="69">
        <v>31.666666666666664</v>
      </c>
      <c r="G423" s="66"/>
      <c r="H423" s="70"/>
      <c r="I423" s="71"/>
      <c r="J423" s="71"/>
      <c r="K423" s="35" t="s">
        <v>65</v>
      </c>
      <c r="L423" s="79">
        <v>423</v>
      </c>
      <c r="M423" s="79"/>
      <c r="N423" s="73"/>
      <c r="O423" s="81" t="s">
        <v>789</v>
      </c>
      <c r="P423" s="81" t="s">
        <v>791</v>
      </c>
      <c r="Q423" s="84" t="s">
        <v>1210</v>
      </c>
      <c r="R423" s="81" t="s">
        <v>632</v>
      </c>
      <c r="S423" s="81" t="s">
        <v>1699</v>
      </c>
      <c r="T423" s="86" t="str">
        <f>HYPERLINK("http://www.youtube.com/channel/UCQOYwrCd1Ajqi2UDuhDdXHA")</f>
        <v>http://www.youtube.com/channel/UCQOYwrCd1Ajqi2UDuhDdXHA</v>
      </c>
      <c r="U423" s="81" t="s">
        <v>1871</v>
      </c>
      <c r="V423" s="81" t="s">
        <v>1885</v>
      </c>
      <c r="W423" s="86" t="str">
        <f>HYPERLINK("https://www.youtube.com/watch?v=")</f>
        <v>https://www.youtube.com/watch?v=</v>
      </c>
      <c r="X423" s="81" t="s">
        <v>1886</v>
      </c>
      <c r="Y423" s="81">
        <v>0</v>
      </c>
      <c r="Z423" s="88">
        <v>44377.56394675926</v>
      </c>
      <c r="AA423" s="88">
        <v>44377.56394675926</v>
      </c>
      <c r="AB423" s="81"/>
      <c r="AC423" s="81"/>
      <c r="AD423" s="84" t="s">
        <v>1927</v>
      </c>
      <c r="AE423" s="82">
        <v>2</v>
      </c>
      <c r="AF423" s="83" t="str">
        <f>REPLACE(INDEX(GroupVertices[Group],MATCH(Edges[[#This Row],[Vertex 1]],GroupVertices[Vertex],0)),1,1,"")</f>
        <v>2</v>
      </c>
      <c r="AG423" s="83" t="str">
        <f>REPLACE(INDEX(GroupVertices[Group],MATCH(Edges[[#This Row],[Vertex 2]],GroupVertices[Vertex],0)),1,1,"")</f>
        <v>2</v>
      </c>
      <c r="AH423" s="111">
        <v>0</v>
      </c>
      <c r="AI423" s="112">
        <v>0</v>
      </c>
      <c r="AJ423" s="111">
        <v>0</v>
      </c>
      <c r="AK423" s="112">
        <v>0</v>
      </c>
      <c r="AL423" s="111">
        <v>0</v>
      </c>
      <c r="AM423" s="112">
        <v>0</v>
      </c>
      <c r="AN423" s="111">
        <v>13</v>
      </c>
      <c r="AO423" s="112">
        <v>100</v>
      </c>
      <c r="AP423" s="111">
        <v>13</v>
      </c>
    </row>
    <row r="424" spans="1:42" ht="15">
      <c r="A424" s="65" t="s">
        <v>633</v>
      </c>
      <c r="B424" s="65" t="s">
        <v>786</v>
      </c>
      <c r="C424" s="66" t="s">
        <v>4509</v>
      </c>
      <c r="D424" s="67">
        <v>3</v>
      </c>
      <c r="E424" s="68"/>
      <c r="F424" s="69">
        <v>40</v>
      </c>
      <c r="G424" s="66"/>
      <c r="H424" s="70"/>
      <c r="I424" s="71"/>
      <c r="J424" s="71"/>
      <c r="K424" s="35" t="s">
        <v>65</v>
      </c>
      <c r="L424" s="79">
        <v>424</v>
      </c>
      <c r="M424" s="79"/>
      <c r="N424" s="73"/>
      <c r="O424" s="81" t="s">
        <v>788</v>
      </c>
      <c r="P424" s="81" t="s">
        <v>325</v>
      </c>
      <c r="Q424" s="84" t="s">
        <v>1211</v>
      </c>
      <c r="R424" s="81" t="s">
        <v>633</v>
      </c>
      <c r="S424" s="81" t="s">
        <v>1700</v>
      </c>
      <c r="T424" s="86" t="str">
        <f>HYPERLINK("http://www.youtube.com/channel/UC_mKIWTfVDNBISECBLyj7rg")</f>
        <v>http://www.youtube.com/channel/UC_mKIWTfVDNBISECBLyj7rg</v>
      </c>
      <c r="U424" s="81"/>
      <c r="V424" s="81" t="s">
        <v>1885</v>
      </c>
      <c r="W424" s="86" t="str">
        <f>HYPERLINK("https://www.youtube.com/watch?v=wadBvDPeE4E")</f>
        <v>https://www.youtube.com/watch?v=wadBvDPeE4E</v>
      </c>
      <c r="X424" s="81" t="s">
        <v>1886</v>
      </c>
      <c r="Y424" s="81">
        <v>93</v>
      </c>
      <c r="Z424" s="88">
        <v>42318.34966435185</v>
      </c>
      <c r="AA424" s="88">
        <v>42318.34966435185</v>
      </c>
      <c r="AB424" s="81"/>
      <c r="AC424" s="81"/>
      <c r="AD424" s="84" t="s">
        <v>1927</v>
      </c>
      <c r="AE424" s="82">
        <v>1</v>
      </c>
      <c r="AF424" s="83" t="str">
        <f>REPLACE(INDEX(GroupVertices[Group],MATCH(Edges[[#This Row],[Vertex 1]],GroupVertices[Vertex],0)),1,1,"")</f>
        <v>2</v>
      </c>
      <c r="AG424" s="83" t="str">
        <f>REPLACE(INDEX(GroupVertices[Group],MATCH(Edges[[#This Row],[Vertex 2]],GroupVertices[Vertex],0)),1,1,"")</f>
        <v>1</v>
      </c>
      <c r="AH424" s="111">
        <v>0</v>
      </c>
      <c r="AI424" s="112">
        <v>0</v>
      </c>
      <c r="AJ424" s="111">
        <v>1</v>
      </c>
      <c r="AK424" s="112">
        <v>6.666666666666667</v>
      </c>
      <c r="AL424" s="111">
        <v>0</v>
      </c>
      <c r="AM424" s="112">
        <v>0</v>
      </c>
      <c r="AN424" s="111">
        <v>14</v>
      </c>
      <c r="AO424" s="112">
        <v>93.33333333333333</v>
      </c>
      <c r="AP424" s="111">
        <v>15</v>
      </c>
    </row>
    <row r="425" spans="1:42" ht="15">
      <c r="A425" s="65" t="s">
        <v>634</v>
      </c>
      <c r="B425" s="65" t="s">
        <v>636</v>
      </c>
      <c r="C425" s="66" t="s">
        <v>4509</v>
      </c>
      <c r="D425" s="67">
        <v>3</v>
      </c>
      <c r="E425" s="68"/>
      <c r="F425" s="69">
        <v>40</v>
      </c>
      <c r="G425" s="66"/>
      <c r="H425" s="70"/>
      <c r="I425" s="71"/>
      <c r="J425" s="71"/>
      <c r="K425" s="35" t="s">
        <v>65</v>
      </c>
      <c r="L425" s="79">
        <v>425</v>
      </c>
      <c r="M425" s="79"/>
      <c r="N425" s="73"/>
      <c r="O425" s="81" t="s">
        <v>789</v>
      </c>
      <c r="P425" s="81" t="s">
        <v>791</v>
      </c>
      <c r="Q425" s="84" t="s">
        <v>1212</v>
      </c>
      <c r="R425" s="81" t="s">
        <v>634</v>
      </c>
      <c r="S425" s="81" t="s">
        <v>1701</v>
      </c>
      <c r="T425" s="86" t="str">
        <f>HYPERLINK("http://www.youtube.com/channel/UCGe-3qua4-zl4IVLjKuSSkQ")</f>
        <v>http://www.youtube.com/channel/UCGe-3qua4-zl4IVLjKuSSkQ</v>
      </c>
      <c r="U425" s="81" t="s">
        <v>1872</v>
      </c>
      <c r="V425" s="81" t="s">
        <v>1885</v>
      </c>
      <c r="W425" s="86" t="str">
        <f>HYPERLINK("https://www.youtube.com/watch?v=wadBvDPeE4E")</f>
        <v>https://www.youtube.com/watch?v=wadBvDPeE4E</v>
      </c>
      <c r="X425" s="81" t="s">
        <v>1886</v>
      </c>
      <c r="Y425" s="81">
        <v>7</v>
      </c>
      <c r="Z425" s="88">
        <v>42410.03072916667</v>
      </c>
      <c r="AA425" s="88">
        <v>42410.03072916667</v>
      </c>
      <c r="AB425" s="81"/>
      <c r="AC425" s="81"/>
      <c r="AD425" s="84" t="s">
        <v>1927</v>
      </c>
      <c r="AE425" s="82">
        <v>1</v>
      </c>
      <c r="AF425" s="83" t="str">
        <f>REPLACE(INDEX(GroupVertices[Group],MATCH(Edges[[#This Row],[Vertex 1]],GroupVertices[Vertex],0)),1,1,"")</f>
        <v>9</v>
      </c>
      <c r="AG425" s="83" t="str">
        <f>REPLACE(INDEX(GroupVertices[Group],MATCH(Edges[[#This Row],[Vertex 2]],GroupVertices[Vertex],0)),1,1,"")</f>
        <v>9</v>
      </c>
      <c r="AH425" s="111">
        <v>0</v>
      </c>
      <c r="AI425" s="112">
        <v>0</v>
      </c>
      <c r="AJ425" s="111">
        <v>0</v>
      </c>
      <c r="AK425" s="112">
        <v>0</v>
      </c>
      <c r="AL425" s="111">
        <v>0</v>
      </c>
      <c r="AM425" s="112">
        <v>0</v>
      </c>
      <c r="AN425" s="111">
        <v>5</v>
      </c>
      <c r="AO425" s="112">
        <v>100</v>
      </c>
      <c r="AP425" s="111">
        <v>5</v>
      </c>
    </row>
    <row r="426" spans="1:42" ht="15">
      <c r="A426" s="65" t="s">
        <v>635</v>
      </c>
      <c r="B426" s="65" t="s">
        <v>636</v>
      </c>
      <c r="C426" s="66" t="s">
        <v>4510</v>
      </c>
      <c r="D426" s="67">
        <v>5.333333333333334</v>
      </c>
      <c r="E426" s="68"/>
      <c r="F426" s="69">
        <v>31.666666666666664</v>
      </c>
      <c r="G426" s="66"/>
      <c r="H426" s="70"/>
      <c r="I426" s="71"/>
      <c r="J426" s="71"/>
      <c r="K426" s="35" t="s">
        <v>65</v>
      </c>
      <c r="L426" s="79">
        <v>426</v>
      </c>
      <c r="M426" s="79"/>
      <c r="N426" s="73"/>
      <c r="O426" s="81" t="s">
        <v>789</v>
      </c>
      <c r="P426" s="81" t="s">
        <v>791</v>
      </c>
      <c r="Q426" s="84" t="s">
        <v>1213</v>
      </c>
      <c r="R426" s="81" t="s">
        <v>635</v>
      </c>
      <c r="S426" s="81" t="s">
        <v>1702</v>
      </c>
      <c r="T426" s="86" t="str">
        <f>HYPERLINK("http://www.youtube.com/channel/UCMcUd9dBENyk2nT6g_lXKhQ")</f>
        <v>http://www.youtube.com/channel/UCMcUd9dBENyk2nT6g_lXKhQ</v>
      </c>
      <c r="U426" s="81" t="s">
        <v>1872</v>
      </c>
      <c r="V426" s="81" t="s">
        <v>1885</v>
      </c>
      <c r="W426" s="86" t="str">
        <f>HYPERLINK("https://www.youtube.com/watch?v=wadBvDPeE4E")</f>
        <v>https://www.youtube.com/watch?v=wadBvDPeE4E</v>
      </c>
      <c r="X426" s="81" t="s">
        <v>1886</v>
      </c>
      <c r="Y426" s="81">
        <v>8</v>
      </c>
      <c r="Z426" s="88">
        <v>42388.60167824074</v>
      </c>
      <c r="AA426" s="88">
        <v>42388.60167824074</v>
      </c>
      <c r="AB426" s="81"/>
      <c r="AC426" s="81"/>
      <c r="AD426" s="84" t="s">
        <v>1927</v>
      </c>
      <c r="AE426" s="82">
        <v>2</v>
      </c>
      <c r="AF426" s="83" t="str">
        <f>REPLACE(INDEX(GroupVertices[Group],MATCH(Edges[[#This Row],[Vertex 1]],GroupVertices[Vertex],0)),1,1,"")</f>
        <v>9</v>
      </c>
      <c r="AG426" s="83" t="str">
        <f>REPLACE(INDEX(GroupVertices[Group],MATCH(Edges[[#This Row],[Vertex 2]],GroupVertices[Vertex],0)),1,1,"")</f>
        <v>9</v>
      </c>
      <c r="AH426" s="111">
        <v>0</v>
      </c>
      <c r="AI426" s="112">
        <v>0</v>
      </c>
      <c r="AJ426" s="111">
        <v>0</v>
      </c>
      <c r="AK426" s="112">
        <v>0</v>
      </c>
      <c r="AL426" s="111">
        <v>0</v>
      </c>
      <c r="AM426" s="112">
        <v>0</v>
      </c>
      <c r="AN426" s="111">
        <v>14</v>
      </c>
      <c r="AO426" s="112">
        <v>100</v>
      </c>
      <c r="AP426" s="111">
        <v>14</v>
      </c>
    </row>
    <row r="427" spans="1:42" ht="15">
      <c r="A427" s="65" t="s">
        <v>635</v>
      </c>
      <c r="B427" s="65" t="s">
        <v>636</v>
      </c>
      <c r="C427" s="66" t="s">
        <v>4510</v>
      </c>
      <c r="D427" s="67">
        <v>5.333333333333334</v>
      </c>
      <c r="E427" s="68"/>
      <c r="F427" s="69">
        <v>31.666666666666664</v>
      </c>
      <c r="G427" s="66"/>
      <c r="H427" s="70"/>
      <c r="I427" s="71"/>
      <c r="J427" s="71"/>
      <c r="K427" s="35" t="s">
        <v>65</v>
      </c>
      <c r="L427" s="79">
        <v>427</v>
      </c>
      <c r="M427" s="79"/>
      <c r="N427" s="73"/>
      <c r="O427" s="81" t="s">
        <v>789</v>
      </c>
      <c r="P427" s="81" t="s">
        <v>791</v>
      </c>
      <c r="Q427" s="84" t="s">
        <v>1214</v>
      </c>
      <c r="R427" s="81" t="s">
        <v>635</v>
      </c>
      <c r="S427" s="81" t="s">
        <v>1702</v>
      </c>
      <c r="T427" s="86" t="str">
        <f>HYPERLINK("http://www.youtube.com/channel/UCMcUd9dBENyk2nT6g_lXKhQ")</f>
        <v>http://www.youtube.com/channel/UCMcUd9dBENyk2nT6g_lXKhQ</v>
      </c>
      <c r="U427" s="81" t="s">
        <v>1872</v>
      </c>
      <c r="V427" s="81" t="s">
        <v>1885</v>
      </c>
      <c r="W427" s="86" t="str">
        <f>HYPERLINK("https://www.youtube.com/watch?v=wadBvDPeE4E")</f>
        <v>https://www.youtube.com/watch?v=wadBvDPeE4E</v>
      </c>
      <c r="X427" s="81" t="s">
        <v>1886</v>
      </c>
      <c r="Y427" s="81">
        <v>0</v>
      </c>
      <c r="Z427" s="88">
        <v>42541.03542824074</v>
      </c>
      <c r="AA427" s="88">
        <v>42541.03542824074</v>
      </c>
      <c r="AB427" s="81"/>
      <c r="AC427" s="81"/>
      <c r="AD427" s="84" t="s">
        <v>1927</v>
      </c>
      <c r="AE427" s="82">
        <v>2</v>
      </c>
      <c r="AF427" s="83" t="str">
        <f>REPLACE(INDEX(GroupVertices[Group],MATCH(Edges[[#This Row],[Vertex 1]],GroupVertices[Vertex],0)),1,1,"")</f>
        <v>9</v>
      </c>
      <c r="AG427" s="83" t="str">
        <f>REPLACE(INDEX(GroupVertices[Group],MATCH(Edges[[#This Row],[Vertex 2]],GroupVertices[Vertex],0)),1,1,"")</f>
        <v>9</v>
      </c>
      <c r="AH427" s="111">
        <v>0</v>
      </c>
      <c r="AI427" s="112">
        <v>0</v>
      </c>
      <c r="AJ427" s="111">
        <v>0</v>
      </c>
      <c r="AK427" s="112">
        <v>0</v>
      </c>
      <c r="AL427" s="111">
        <v>0</v>
      </c>
      <c r="AM427" s="112">
        <v>0</v>
      </c>
      <c r="AN427" s="111">
        <v>19</v>
      </c>
      <c r="AO427" s="112">
        <v>100</v>
      </c>
      <c r="AP427" s="111">
        <v>19</v>
      </c>
    </row>
    <row r="428" spans="1:42" ht="15">
      <c r="A428" s="65" t="s">
        <v>636</v>
      </c>
      <c r="B428" s="65" t="s">
        <v>636</v>
      </c>
      <c r="C428" s="66" t="s">
        <v>4509</v>
      </c>
      <c r="D428" s="67">
        <v>3</v>
      </c>
      <c r="E428" s="68"/>
      <c r="F428" s="69">
        <v>40</v>
      </c>
      <c r="G428" s="66"/>
      <c r="H428" s="70"/>
      <c r="I428" s="71"/>
      <c r="J428" s="71"/>
      <c r="K428" s="35" t="s">
        <v>65</v>
      </c>
      <c r="L428" s="79">
        <v>428</v>
      </c>
      <c r="M428" s="79"/>
      <c r="N428" s="73"/>
      <c r="O428" s="81" t="s">
        <v>789</v>
      </c>
      <c r="P428" s="81" t="s">
        <v>791</v>
      </c>
      <c r="Q428" s="84" t="s">
        <v>1215</v>
      </c>
      <c r="R428" s="81" t="s">
        <v>636</v>
      </c>
      <c r="S428" s="81" t="s">
        <v>1703</v>
      </c>
      <c r="T428" s="86" t="str">
        <f>HYPERLINK("http://www.youtube.com/channel/UCo1yYFXXGv6yyDnxPqc3dEw")</f>
        <v>http://www.youtube.com/channel/UCo1yYFXXGv6yyDnxPqc3dEw</v>
      </c>
      <c r="U428" s="81" t="s">
        <v>1872</v>
      </c>
      <c r="V428" s="81" t="s">
        <v>1885</v>
      </c>
      <c r="W428" s="86" t="str">
        <f>HYPERLINK("https://www.youtube.com/watch?v=wadBvDPeE4E")</f>
        <v>https://www.youtube.com/watch?v=wadBvDPeE4E</v>
      </c>
      <c r="X428" s="81" t="s">
        <v>1886</v>
      </c>
      <c r="Y428" s="81">
        <v>0</v>
      </c>
      <c r="Z428" s="88">
        <v>42388.90623842592</v>
      </c>
      <c r="AA428" s="88">
        <v>42388.90623842592</v>
      </c>
      <c r="AB428" s="81"/>
      <c r="AC428" s="81"/>
      <c r="AD428" s="84" t="s">
        <v>1927</v>
      </c>
      <c r="AE428" s="82">
        <v>1</v>
      </c>
      <c r="AF428" s="83" t="str">
        <f>REPLACE(INDEX(GroupVertices[Group],MATCH(Edges[[#This Row],[Vertex 1]],GroupVertices[Vertex],0)),1,1,"")</f>
        <v>9</v>
      </c>
      <c r="AG428" s="83" t="str">
        <f>REPLACE(INDEX(GroupVertices[Group],MATCH(Edges[[#This Row],[Vertex 2]],GroupVertices[Vertex],0)),1,1,"")</f>
        <v>9</v>
      </c>
      <c r="AH428" s="111">
        <v>0</v>
      </c>
      <c r="AI428" s="112">
        <v>0</v>
      </c>
      <c r="AJ428" s="111">
        <v>0</v>
      </c>
      <c r="AK428" s="112">
        <v>0</v>
      </c>
      <c r="AL428" s="111">
        <v>0</v>
      </c>
      <c r="AM428" s="112">
        <v>0</v>
      </c>
      <c r="AN428" s="111">
        <v>12</v>
      </c>
      <c r="AO428" s="112">
        <v>100</v>
      </c>
      <c r="AP428" s="111">
        <v>12</v>
      </c>
    </row>
    <row r="429" spans="1:42" ht="15">
      <c r="A429" s="65" t="s">
        <v>636</v>
      </c>
      <c r="B429" s="65" t="s">
        <v>786</v>
      </c>
      <c r="C429" s="66" t="s">
        <v>4509</v>
      </c>
      <c r="D429" s="67">
        <v>3</v>
      </c>
      <c r="E429" s="68"/>
      <c r="F429" s="69">
        <v>40</v>
      </c>
      <c r="G429" s="66"/>
      <c r="H429" s="70"/>
      <c r="I429" s="71"/>
      <c r="J429" s="71"/>
      <c r="K429" s="35" t="s">
        <v>65</v>
      </c>
      <c r="L429" s="79">
        <v>429</v>
      </c>
      <c r="M429" s="79"/>
      <c r="N429" s="73"/>
      <c r="O429" s="81" t="s">
        <v>788</v>
      </c>
      <c r="P429" s="81" t="s">
        <v>325</v>
      </c>
      <c r="Q429" s="84" t="s">
        <v>1216</v>
      </c>
      <c r="R429" s="81" t="s">
        <v>636</v>
      </c>
      <c r="S429" s="81" t="s">
        <v>1703</v>
      </c>
      <c r="T429" s="86" t="str">
        <f>HYPERLINK("http://www.youtube.com/channel/UCo1yYFXXGv6yyDnxPqc3dEw")</f>
        <v>http://www.youtube.com/channel/UCo1yYFXXGv6yyDnxPqc3dEw</v>
      </c>
      <c r="U429" s="81"/>
      <c r="V429" s="81" t="s">
        <v>1885</v>
      </c>
      <c r="W429" s="86" t="str">
        <f>HYPERLINK("https://www.youtube.com/watch?v=wadBvDPeE4E")</f>
        <v>https://www.youtube.com/watch?v=wadBvDPeE4E</v>
      </c>
      <c r="X429" s="81" t="s">
        <v>1886</v>
      </c>
      <c r="Y429" s="81">
        <v>1</v>
      </c>
      <c r="Z429" s="88">
        <v>42319.774976851855</v>
      </c>
      <c r="AA429" s="88">
        <v>42319.774976851855</v>
      </c>
      <c r="AB429" s="81"/>
      <c r="AC429" s="81"/>
      <c r="AD429" s="84" t="s">
        <v>1927</v>
      </c>
      <c r="AE429" s="82">
        <v>1</v>
      </c>
      <c r="AF429" s="83" t="str">
        <f>REPLACE(INDEX(GroupVertices[Group],MATCH(Edges[[#This Row],[Vertex 1]],GroupVertices[Vertex],0)),1,1,"")</f>
        <v>9</v>
      </c>
      <c r="AG429" s="83" t="str">
        <f>REPLACE(INDEX(GroupVertices[Group],MATCH(Edges[[#This Row],[Vertex 2]],GroupVertices[Vertex],0)),1,1,"")</f>
        <v>1</v>
      </c>
      <c r="AH429" s="111">
        <v>0</v>
      </c>
      <c r="AI429" s="112">
        <v>0</v>
      </c>
      <c r="AJ429" s="111">
        <v>1</v>
      </c>
      <c r="AK429" s="112">
        <v>6.25</v>
      </c>
      <c r="AL429" s="111">
        <v>0</v>
      </c>
      <c r="AM429" s="112">
        <v>0</v>
      </c>
      <c r="AN429" s="111">
        <v>15</v>
      </c>
      <c r="AO429" s="112">
        <v>93.75</v>
      </c>
      <c r="AP429" s="111">
        <v>16</v>
      </c>
    </row>
    <row r="430" spans="1:42" ht="15">
      <c r="A430" s="65" t="s">
        <v>637</v>
      </c>
      <c r="B430" s="65" t="s">
        <v>638</v>
      </c>
      <c r="C430" s="66" t="s">
        <v>4509</v>
      </c>
      <c r="D430" s="67">
        <v>3</v>
      </c>
      <c r="E430" s="68"/>
      <c r="F430" s="69">
        <v>40</v>
      </c>
      <c r="G430" s="66"/>
      <c r="H430" s="70"/>
      <c r="I430" s="71"/>
      <c r="J430" s="71"/>
      <c r="K430" s="35" t="s">
        <v>65</v>
      </c>
      <c r="L430" s="79">
        <v>430</v>
      </c>
      <c r="M430" s="79"/>
      <c r="N430" s="73"/>
      <c r="O430" s="81" t="s">
        <v>789</v>
      </c>
      <c r="P430" s="81" t="s">
        <v>791</v>
      </c>
      <c r="Q430" s="84" t="s">
        <v>1217</v>
      </c>
      <c r="R430" s="81" t="s">
        <v>637</v>
      </c>
      <c r="S430" s="81" t="s">
        <v>1704</v>
      </c>
      <c r="T430" s="86" t="str">
        <f>HYPERLINK("http://www.youtube.com/channel/UCE7SZP9icvQdqTn2NdESMZQ")</f>
        <v>http://www.youtube.com/channel/UCE7SZP9icvQdqTn2NdESMZQ</v>
      </c>
      <c r="U430" s="81" t="s">
        <v>1873</v>
      </c>
      <c r="V430" s="81" t="s">
        <v>1885</v>
      </c>
      <c r="W430" s="86" t="str">
        <f>HYPERLINK("https://www.youtube.com/watch?v=wadBvDPeE4E")</f>
        <v>https://www.youtube.com/watch?v=wadBvDPeE4E</v>
      </c>
      <c r="X430" s="81" t="s">
        <v>1886</v>
      </c>
      <c r="Y430" s="81">
        <v>0</v>
      </c>
      <c r="Z430" s="88">
        <v>42675.88636574074</v>
      </c>
      <c r="AA430" s="88">
        <v>42675.88636574074</v>
      </c>
      <c r="AB430" s="81"/>
      <c r="AC430" s="81"/>
      <c r="AD430" s="84" t="s">
        <v>1927</v>
      </c>
      <c r="AE430" s="82">
        <v>1</v>
      </c>
      <c r="AF430" s="83" t="str">
        <f>REPLACE(INDEX(GroupVertices[Group],MATCH(Edges[[#This Row],[Vertex 1]],GroupVertices[Vertex],0)),1,1,"")</f>
        <v>5</v>
      </c>
      <c r="AG430" s="83" t="str">
        <f>REPLACE(INDEX(GroupVertices[Group],MATCH(Edges[[#This Row],[Vertex 2]],GroupVertices[Vertex],0)),1,1,"")</f>
        <v>5</v>
      </c>
      <c r="AH430" s="111">
        <v>2</v>
      </c>
      <c r="AI430" s="112">
        <v>40</v>
      </c>
      <c r="AJ430" s="111">
        <v>0</v>
      </c>
      <c r="AK430" s="112">
        <v>0</v>
      </c>
      <c r="AL430" s="111">
        <v>0</v>
      </c>
      <c r="AM430" s="112">
        <v>0</v>
      </c>
      <c r="AN430" s="111">
        <v>3</v>
      </c>
      <c r="AO430" s="112">
        <v>60</v>
      </c>
      <c r="AP430" s="111">
        <v>5</v>
      </c>
    </row>
    <row r="431" spans="1:42" ht="15">
      <c r="A431" s="65" t="s">
        <v>638</v>
      </c>
      <c r="B431" s="65" t="s">
        <v>786</v>
      </c>
      <c r="C431" s="66" t="s">
        <v>4509</v>
      </c>
      <c r="D431" s="67">
        <v>3</v>
      </c>
      <c r="E431" s="68"/>
      <c r="F431" s="69">
        <v>40</v>
      </c>
      <c r="G431" s="66"/>
      <c r="H431" s="70"/>
      <c r="I431" s="71"/>
      <c r="J431" s="71"/>
      <c r="K431" s="35" t="s">
        <v>65</v>
      </c>
      <c r="L431" s="79">
        <v>431</v>
      </c>
      <c r="M431" s="79"/>
      <c r="N431" s="73"/>
      <c r="O431" s="81" t="s">
        <v>788</v>
      </c>
      <c r="P431" s="81" t="s">
        <v>325</v>
      </c>
      <c r="Q431" s="84" t="s">
        <v>1218</v>
      </c>
      <c r="R431" s="81" t="s">
        <v>638</v>
      </c>
      <c r="S431" s="81" t="s">
        <v>1705</v>
      </c>
      <c r="T431" s="86" t="str">
        <f>HYPERLINK("http://www.youtube.com/channel/UCwW5FE8qaZyP4-J7eg2hOIg")</f>
        <v>http://www.youtube.com/channel/UCwW5FE8qaZyP4-J7eg2hOIg</v>
      </c>
      <c r="U431" s="81"/>
      <c r="V431" s="81" t="s">
        <v>1885</v>
      </c>
      <c r="W431" s="86" t="str">
        <f>HYPERLINK("https://www.youtube.com/watch?v=wadBvDPeE4E")</f>
        <v>https://www.youtube.com/watch?v=wadBvDPeE4E</v>
      </c>
      <c r="X431" s="81" t="s">
        <v>1886</v>
      </c>
      <c r="Y431" s="81">
        <v>0</v>
      </c>
      <c r="Z431" s="88">
        <v>42338.013020833336</v>
      </c>
      <c r="AA431" s="88">
        <v>42338.013020833336</v>
      </c>
      <c r="AB431" s="81"/>
      <c r="AC431" s="81"/>
      <c r="AD431" s="84" t="s">
        <v>1927</v>
      </c>
      <c r="AE431" s="82">
        <v>1</v>
      </c>
      <c r="AF431" s="83" t="str">
        <f>REPLACE(INDEX(GroupVertices[Group],MATCH(Edges[[#This Row],[Vertex 1]],GroupVertices[Vertex],0)),1,1,"")</f>
        <v>5</v>
      </c>
      <c r="AG431" s="83" t="str">
        <f>REPLACE(INDEX(GroupVertices[Group],MATCH(Edges[[#This Row],[Vertex 2]],GroupVertices[Vertex],0)),1,1,"")</f>
        <v>1</v>
      </c>
      <c r="AH431" s="111">
        <v>3</v>
      </c>
      <c r="AI431" s="112">
        <v>60</v>
      </c>
      <c r="AJ431" s="111">
        <v>0</v>
      </c>
      <c r="AK431" s="112">
        <v>0</v>
      </c>
      <c r="AL431" s="111">
        <v>0</v>
      </c>
      <c r="AM431" s="112">
        <v>0</v>
      </c>
      <c r="AN431" s="111">
        <v>2</v>
      </c>
      <c r="AO431" s="112">
        <v>40</v>
      </c>
      <c r="AP431" s="111">
        <v>5</v>
      </c>
    </row>
    <row r="432" spans="1:42" ht="15">
      <c r="A432" s="65" t="s">
        <v>637</v>
      </c>
      <c r="B432" s="65" t="s">
        <v>639</v>
      </c>
      <c r="C432" s="66" t="s">
        <v>4509</v>
      </c>
      <c r="D432" s="67">
        <v>3</v>
      </c>
      <c r="E432" s="68"/>
      <c r="F432" s="69">
        <v>40</v>
      </c>
      <c r="G432" s="66"/>
      <c r="H432" s="70"/>
      <c r="I432" s="71"/>
      <c r="J432" s="71"/>
      <c r="K432" s="35" t="s">
        <v>65</v>
      </c>
      <c r="L432" s="79">
        <v>432</v>
      </c>
      <c r="M432" s="79"/>
      <c r="N432" s="73"/>
      <c r="O432" s="81" t="s">
        <v>789</v>
      </c>
      <c r="P432" s="81" t="s">
        <v>791</v>
      </c>
      <c r="Q432" s="84" t="s">
        <v>1219</v>
      </c>
      <c r="R432" s="81" t="s">
        <v>637</v>
      </c>
      <c r="S432" s="81" t="s">
        <v>1704</v>
      </c>
      <c r="T432" s="86" t="str">
        <f>HYPERLINK("http://www.youtube.com/channel/UCE7SZP9icvQdqTn2NdESMZQ")</f>
        <v>http://www.youtube.com/channel/UCE7SZP9icvQdqTn2NdESMZQ</v>
      </c>
      <c r="U432" s="81" t="s">
        <v>1874</v>
      </c>
      <c r="V432" s="81" t="s">
        <v>1885</v>
      </c>
      <c r="W432" s="86" t="str">
        <f>HYPERLINK("https://www.youtube.com/watch?v=wadBvDPeE4E")</f>
        <v>https://www.youtube.com/watch?v=wadBvDPeE4E</v>
      </c>
      <c r="X432" s="81" t="s">
        <v>1886</v>
      </c>
      <c r="Y432" s="81">
        <v>0</v>
      </c>
      <c r="Z432" s="88">
        <v>42675.886666666665</v>
      </c>
      <c r="AA432" s="88">
        <v>42675.886666666665</v>
      </c>
      <c r="AB432" s="81"/>
      <c r="AC432" s="81"/>
      <c r="AD432" s="84" t="s">
        <v>1927</v>
      </c>
      <c r="AE432" s="82">
        <v>1</v>
      </c>
      <c r="AF432" s="83" t="str">
        <f>REPLACE(INDEX(GroupVertices[Group],MATCH(Edges[[#This Row],[Vertex 1]],GroupVertices[Vertex],0)),1,1,"")</f>
        <v>5</v>
      </c>
      <c r="AG432" s="83" t="str">
        <f>REPLACE(INDEX(GroupVertices[Group],MATCH(Edges[[#This Row],[Vertex 2]],GroupVertices[Vertex],0)),1,1,"")</f>
        <v>5</v>
      </c>
      <c r="AH432" s="111">
        <v>1</v>
      </c>
      <c r="AI432" s="112">
        <v>16.666666666666668</v>
      </c>
      <c r="AJ432" s="111">
        <v>0</v>
      </c>
      <c r="AK432" s="112">
        <v>0</v>
      </c>
      <c r="AL432" s="111">
        <v>0</v>
      </c>
      <c r="AM432" s="112">
        <v>0</v>
      </c>
      <c r="AN432" s="111">
        <v>5</v>
      </c>
      <c r="AO432" s="112">
        <v>83.33333333333333</v>
      </c>
      <c r="AP432" s="111">
        <v>6</v>
      </c>
    </row>
    <row r="433" spans="1:42" ht="15">
      <c r="A433" s="65" t="s">
        <v>639</v>
      </c>
      <c r="B433" s="65" t="s">
        <v>786</v>
      </c>
      <c r="C433" s="66" t="s">
        <v>4509</v>
      </c>
      <c r="D433" s="67">
        <v>3</v>
      </c>
      <c r="E433" s="68"/>
      <c r="F433" s="69">
        <v>40</v>
      </c>
      <c r="G433" s="66"/>
      <c r="H433" s="70"/>
      <c r="I433" s="71"/>
      <c r="J433" s="71"/>
      <c r="K433" s="35" t="s">
        <v>65</v>
      </c>
      <c r="L433" s="79">
        <v>433</v>
      </c>
      <c r="M433" s="79"/>
      <c r="N433" s="73"/>
      <c r="O433" s="81" t="s">
        <v>788</v>
      </c>
      <c r="P433" s="81" t="s">
        <v>325</v>
      </c>
      <c r="Q433" s="84" t="s">
        <v>1220</v>
      </c>
      <c r="R433" s="81" t="s">
        <v>639</v>
      </c>
      <c r="S433" s="81" t="s">
        <v>1706</v>
      </c>
      <c r="T433" s="86" t="str">
        <f>HYPERLINK("http://www.youtube.com/channel/UCtTGSzV4rsyUKX7wZ1HssQg")</f>
        <v>http://www.youtube.com/channel/UCtTGSzV4rsyUKX7wZ1HssQg</v>
      </c>
      <c r="U433" s="81"/>
      <c r="V433" s="81" t="s">
        <v>1885</v>
      </c>
      <c r="W433" s="86" t="str">
        <f>HYPERLINK("https://www.youtube.com/watch?v=wadBvDPeE4E")</f>
        <v>https://www.youtube.com/watch?v=wadBvDPeE4E</v>
      </c>
      <c r="X433" s="81" t="s">
        <v>1886</v>
      </c>
      <c r="Y433" s="81">
        <v>0</v>
      </c>
      <c r="Z433" s="88">
        <v>42339.346979166665</v>
      </c>
      <c r="AA433" s="88">
        <v>42339.346979166665</v>
      </c>
      <c r="AB433" s="81"/>
      <c r="AC433" s="81"/>
      <c r="AD433" s="84" t="s">
        <v>1927</v>
      </c>
      <c r="AE433" s="82">
        <v>1</v>
      </c>
      <c r="AF433" s="83" t="str">
        <f>REPLACE(INDEX(GroupVertices[Group],MATCH(Edges[[#This Row],[Vertex 1]],GroupVertices[Vertex],0)),1,1,"")</f>
        <v>5</v>
      </c>
      <c r="AG433" s="83" t="str">
        <f>REPLACE(INDEX(GroupVertices[Group],MATCH(Edges[[#This Row],[Vertex 2]],GroupVertices[Vertex],0)),1,1,"")</f>
        <v>1</v>
      </c>
      <c r="AH433" s="111">
        <v>2</v>
      </c>
      <c r="AI433" s="112">
        <v>40</v>
      </c>
      <c r="AJ433" s="111">
        <v>0</v>
      </c>
      <c r="AK433" s="112">
        <v>0</v>
      </c>
      <c r="AL433" s="111">
        <v>0</v>
      </c>
      <c r="AM433" s="112">
        <v>0</v>
      </c>
      <c r="AN433" s="111">
        <v>3</v>
      </c>
      <c r="AO433" s="112">
        <v>60</v>
      </c>
      <c r="AP433" s="111">
        <v>5</v>
      </c>
    </row>
    <row r="434" spans="1:42" ht="15">
      <c r="A434" s="65" t="s">
        <v>640</v>
      </c>
      <c r="B434" s="65" t="s">
        <v>786</v>
      </c>
      <c r="C434" s="66" t="s">
        <v>4509</v>
      </c>
      <c r="D434" s="67">
        <v>3</v>
      </c>
      <c r="E434" s="68"/>
      <c r="F434" s="69">
        <v>40</v>
      </c>
      <c r="G434" s="66"/>
      <c r="H434" s="70"/>
      <c r="I434" s="71"/>
      <c r="J434" s="71"/>
      <c r="K434" s="35" t="s">
        <v>65</v>
      </c>
      <c r="L434" s="79">
        <v>434</v>
      </c>
      <c r="M434" s="79"/>
      <c r="N434" s="73"/>
      <c r="O434" s="81" t="s">
        <v>788</v>
      </c>
      <c r="P434" s="81" t="s">
        <v>325</v>
      </c>
      <c r="Q434" s="84" t="s">
        <v>1221</v>
      </c>
      <c r="R434" s="81" t="s">
        <v>640</v>
      </c>
      <c r="S434" s="81" t="s">
        <v>1707</v>
      </c>
      <c r="T434" s="86" t="str">
        <f>HYPERLINK("http://www.youtube.com/channel/UCLAKOuNTsy7brXkqnf8VMZw")</f>
        <v>http://www.youtube.com/channel/UCLAKOuNTsy7brXkqnf8VMZw</v>
      </c>
      <c r="U434" s="81"/>
      <c r="V434" s="81" t="s">
        <v>1885</v>
      </c>
      <c r="W434" s="86" t="str">
        <f>HYPERLINK("https://www.youtube.com/watch?v=wadBvDPeE4E")</f>
        <v>https://www.youtube.com/watch?v=wadBvDPeE4E</v>
      </c>
      <c r="X434" s="81" t="s">
        <v>1886</v>
      </c>
      <c r="Y434" s="81">
        <v>0</v>
      </c>
      <c r="Z434" s="88">
        <v>42378.732615740744</v>
      </c>
      <c r="AA434" s="88">
        <v>42378.732615740744</v>
      </c>
      <c r="AB434" s="81"/>
      <c r="AC434" s="81"/>
      <c r="AD434" s="84" t="s">
        <v>1927</v>
      </c>
      <c r="AE434" s="82">
        <v>1</v>
      </c>
      <c r="AF434" s="83" t="str">
        <f>REPLACE(INDEX(GroupVertices[Group],MATCH(Edges[[#This Row],[Vertex 1]],GroupVertices[Vertex],0)),1,1,"")</f>
        <v>1</v>
      </c>
      <c r="AG434" s="83" t="str">
        <f>REPLACE(INDEX(GroupVertices[Group],MATCH(Edges[[#This Row],[Vertex 2]],GroupVertices[Vertex],0)),1,1,"")</f>
        <v>1</v>
      </c>
      <c r="AH434" s="111">
        <v>1</v>
      </c>
      <c r="AI434" s="112">
        <v>50</v>
      </c>
      <c r="AJ434" s="111">
        <v>0</v>
      </c>
      <c r="AK434" s="112">
        <v>0</v>
      </c>
      <c r="AL434" s="111">
        <v>0</v>
      </c>
      <c r="AM434" s="112">
        <v>0</v>
      </c>
      <c r="AN434" s="111">
        <v>1</v>
      </c>
      <c r="AO434" s="112">
        <v>50</v>
      </c>
      <c r="AP434" s="111">
        <v>2</v>
      </c>
    </row>
    <row r="435" spans="1:42" ht="15">
      <c r="A435" s="65" t="s">
        <v>641</v>
      </c>
      <c r="B435" s="65" t="s">
        <v>786</v>
      </c>
      <c r="C435" s="66" t="s">
        <v>4510</v>
      </c>
      <c r="D435" s="67">
        <v>5.333333333333334</v>
      </c>
      <c r="E435" s="68"/>
      <c r="F435" s="69">
        <v>31.666666666666664</v>
      </c>
      <c r="G435" s="66"/>
      <c r="H435" s="70"/>
      <c r="I435" s="71"/>
      <c r="J435" s="71"/>
      <c r="K435" s="35" t="s">
        <v>65</v>
      </c>
      <c r="L435" s="79">
        <v>435</v>
      </c>
      <c r="M435" s="79"/>
      <c r="N435" s="73"/>
      <c r="O435" s="81" t="s">
        <v>788</v>
      </c>
      <c r="P435" s="81" t="s">
        <v>325</v>
      </c>
      <c r="Q435" s="84" t="s">
        <v>1222</v>
      </c>
      <c r="R435" s="81" t="s">
        <v>641</v>
      </c>
      <c r="S435" s="81" t="s">
        <v>1708</v>
      </c>
      <c r="T435" s="86" t="str">
        <f>HYPERLINK("http://www.youtube.com/channel/UC0Ic0uvANWeMxAyfIVLZMqg")</f>
        <v>http://www.youtube.com/channel/UC0Ic0uvANWeMxAyfIVLZMqg</v>
      </c>
      <c r="U435" s="81"/>
      <c r="V435" s="81" t="s">
        <v>1885</v>
      </c>
      <c r="W435" s="86" t="str">
        <f>HYPERLINK("https://www.youtube.com/watch?v=wadBvDPeE4E")</f>
        <v>https://www.youtube.com/watch?v=wadBvDPeE4E</v>
      </c>
      <c r="X435" s="81" t="s">
        <v>1886</v>
      </c>
      <c r="Y435" s="81">
        <v>0</v>
      </c>
      <c r="Z435" s="88">
        <v>42388.918657407405</v>
      </c>
      <c r="AA435" s="88">
        <v>42388.918657407405</v>
      </c>
      <c r="AB435" s="81"/>
      <c r="AC435" s="81"/>
      <c r="AD435" s="84" t="s">
        <v>1927</v>
      </c>
      <c r="AE435" s="82">
        <v>2</v>
      </c>
      <c r="AF435" s="83" t="str">
        <f>REPLACE(INDEX(GroupVertices[Group],MATCH(Edges[[#This Row],[Vertex 1]],GroupVertices[Vertex],0)),1,1,"")</f>
        <v>1</v>
      </c>
      <c r="AG435" s="83" t="str">
        <f>REPLACE(INDEX(GroupVertices[Group],MATCH(Edges[[#This Row],[Vertex 2]],GroupVertices[Vertex],0)),1,1,"")</f>
        <v>1</v>
      </c>
      <c r="AH435" s="111">
        <v>0</v>
      </c>
      <c r="AI435" s="112">
        <v>0</v>
      </c>
      <c r="AJ435" s="111">
        <v>1</v>
      </c>
      <c r="AK435" s="112">
        <v>10</v>
      </c>
      <c r="AL435" s="111">
        <v>0</v>
      </c>
      <c r="AM435" s="112">
        <v>0</v>
      </c>
      <c r="AN435" s="111">
        <v>9</v>
      </c>
      <c r="AO435" s="112">
        <v>90</v>
      </c>
      <c r="AP435" s="111">
        <v>10</v>
      </c>
    </row>
    <row r="436" spans="1:42" ht="15">
      <c r="A436" s="65" t="s">
        <v>641</v>
      </c>
      <c r="B436" s="65" t="s">
        <v>786</v>
      </c>
      <c r="C436" s="66" t="s">
        <v>4510</v>
      </c>
      <c r="D436" s="67">
        <v>5.333333333333334</v>
      </c>
      <c r="E436" s="68"/>
      <c r="F436" s="69">
        <v>31.666666666666664</v>
      </c>
      <c r="G436" s="66"/>
      <c r="H436" s="70"/>
      <c r="I436" s="71"/>
      <c r="J436" s="71"/>
      <c r="K436" s="35" t="s">
        <v>65</v>
      </c>
      <c r="L436" s="79">
        <v>436</v>
      </c>
      <c r="M436" s="79"/>
      <c r="N436" s="73"/>
      <c r="O436" s="81" t="s">
        <v>788</v>
      </c>
      <c r="P436" s="81" t="s">
        <v>325</v>
      </c>
      <c r="Q436" s="84" t="s">
        <v>1223</v>
      </c>
      <c r="R436" s="81" t="s">
        <v>641</v>
      </c>
      <c r="S436" s="81" t="s">
        <v>1708</v>
      </c>
      <c r="T436" s="86" t="str">
        <f>HYPERLINK("http://www.youtube.com/channel/UC0Ic0uvANWeMxAyfIVLZMqg")</f>
        <v>http://www.youtube.com/channel/UC0Ic0uvANWeMxAyfIVLZMqg</v>
      </c>
      <c r="U436" s="81"/>
      <c r="V436" s="81" t="s">
        <v>1885</v>
      </c>
      <c r="W436" s="86" t="str">
        <f>HYPERLINK("https://www.youtube.com/watch?v=wadBvDPeE4E")</f>
        <v>https://www.youtube.com/watch?v=wadBvDPeE4E</v>
      </c>
      <c r="X436" s="81" t="s">
        <v>1886</v>
      </c>
      <c r="Y436" s="81">
        <v>0</v>
      </c>
      <c r="Z436" s="88">
        <v>42388.938680555555</v>
      </c>
      <c r="AA436" s="88">
        <v>42388.938680555555</v>
      </c>
      <c r="AB436" s="81"/>
      <c r="AC436" s="81"/>
      <c r="AD436" s="84" t="s">
        <v>1927</v>
      </c>
      <c r="AE436" s="82">
        <v>2</v>
      </c>
      <c r="AF436" s="83" t="str">
        <f>REPLACE(INDEX(GroupVertices[Group],MATCH(Edges[[#This Row],[Vertex 1]],GroupVertices[Vertex],0)),1,1,"")</f>
        <v>1</v>
      </c>
      <c r="AG436" s="83" t="str">
        <f>REPLACE(INDEX(GroupVertices[Group],MATCH(Edges[[#This Row],[Vertex 2]],GroupVertices[Vertex],0)),1,1,"")</f>
        <v>1</v>
      </c>
      <c r="AH436" s="111">
        <v>6</v>
      </c>
      <c r="AI436" s="112">
        <v>18.181818181818183</v>
      </c>
      <c r="AJ436" s="111">
        <v>0</v>
      </c>
      <c r="AK436" s="112">
        <v>0</v>
      </c>
      <c r="AL436" s="111">
        <v>0</v>
      </c>
      <c r="AM436" s="112">
        <v>0</v>
      </c>
      <c r="AN436" s="111">
        <v>27</v>
      </c>
      <c r="AO436" s="112">
        <v>81.81818181818181</v>
      </c>
      <c r="AP436" s="111">
        <v>33</v>
      </c>
    </row>
    <row r="437" spans="1:42" ht="15">
      <c r="A437" s="65" t="s">
        <v>642</v>
      </c>
      <c r="B437" s="65" t="s">
        <v>644</v>
      </c>
      <c r="C437" s="66" t="s">
        <v>4509</v>
      </c>
      <c r="D437" s="67">
        <v>3</v>
      </c>
      <c r="E437" s="68"/>
      <c r="F437" s="69">
        <v>40</v>
      </c>
      <c r="G437" s="66"/>
      <c r="H437" s="70"/>
      <c r="I437" s="71"/>
      <c r="J437" s="71"/>
      <c r="K437" s="35" t="s">
        <v>65</v>
      </c>
      <c r="L437" s="79">
        <v>437</v>
      </c>
      <c r="M437" s="79"/>
      <c r="N437" s="73"/>
      <c r="O437" s="81" t="s">
        <v>789</v>
      </c>
      <c r="P437" s="81" t="s">
        <v>791</v>
      </c>
      <c r="Q437" s="84" t="s">
        <v>1224</v>
      </c>
      <c r="R437" s="81" t="s">
        <v>642</v>
      </c>
      <c r="S437" s="81" t="s">
        <v>1709</v>
      </c>
      <c r="T437" s="86" t="str">
        <f>HYPERLINK("http://www.youtube.com/channel/UCcwFS01ST2FMMp2DVER2UWg")</f>
        <v>http://www.youtube.com/channel/UCcwFS01ST2FMMp2DVER2UWg</v>
      </c>
      <c r="U437" s="81" t="s">
        <v>1875</v>
      </c>
      <c r="V437" s="81" t="s">
        <v>1885</v>
      </c>
      <c r="W437" s="86" t="str">
        <f>HYPERLINK("https://www.youtube.com/watch?v=wadBvDPeE4E")</f>
        <v>https://www.youtube.com/watch?v=wadBvDPeE4E</v>
      </c>
      <c r="X437" s="81" t="s">
        <v>1886</v>
      </c>
      <c r="Y437" s="81">
        <v>1</v>
      </c>
      <c r="Z437" s="88">
        <v>42743.57512731481</v>
      </c>
      <c r="AA437" s="88">
        <v>42743.57512731481</v>
      </c>
      <c r="AB437" s="81"/>
      <c r="AC437" s="81"/>
      <c r="AD437" s="84" t="s">
        <v>1927</v>
      </c>
      <c r="AE437" s="82">
        <v>1</v>
      </c>
      <c r="AF437" s="83" t="str">
        <f>REPLACE(INDEX(GroupVertices[Group],MATCH(Edges[[#This Row],[Vertex 1]],GroupVertices[Vertex],0)),1,1,"")</f>
        <v>8</v>
      </c>
      <c r="AG437" s="83" t="str">
        <f>REPLACE(INDEX(GroupVertices[Group],MATCH(Edges[[#This Row],[Vertex 2]],GroupVertices[Vertex],0)),1,1,"")</f>
        <v>8</v>
      </c>
      <c r="AH437" s="111">
        <v>0</v>
      </c>
      <c r="AI437" s="112">
        <v>0</v>
      </c>
      <c r="AJ437" s="111">
        <v>0</v>
      </c>
      <c r="AK437" s="112">
        <v>0</v>
      </c>
      <c r="AL437" s="111">
        <v>0</v>
      </c>
      <c r="AM437" s="112">
        <v>0</v>
      </c>
      <c r="AN437" s="111">
        <v>2</v>
      </c>
      <c r="AO437" s="112">
        <v>100</v>
      </c>
      <c r="AP437" s="111">
        <v>2</v>
      </c>
    </row>
    <row r="438" spans="1:42" ht="15">
      <c r="A438" s="65" t="s">
        <v>643</v>
      </c>
      <c r="B438" s="65" t="s">
        <v>644</v>
      </c>
      <c r="C438" s="66" t="s">
        <v>4510</v>
      </c>
      <c r="D438" s="67">
        <v>5.333333333333334</v>
      </c>
      <c r="E438" s="68"/>
      <c r="F438" s="69">
        <v>31.666666666666664</v>
      </c>
      <c r="G438" s="66"/>
      <c r="H438" s="70"/>
      <c r="I438" s="71"/>
      <c r="J438" s="71"/>
      <c r="K438" s="35" t="s">
        <v>65</v>
      </c>
      <c r="L438" s="79">
        <v>438</v>
      </c>
      <c r="M438" s="79"/>
      <c r="N438" s="73"/>
      <c r="O438" s="81" t="s">
        <v>789</v>
      </c>
      <c r="P438" s="81" t="s">
        <v>791</v>
      </c>
      <c r="Q438" s="84" t="s">
        <v>1225</v>
      </c>
      <c r="R438" s="81" t="s">
        <v>643</v>
      </c>
      <c r="S438" s="81" t="s">
        <v>1710</v>
      </c>
      <c r="T438" s="86" t="str">
        <f>HYPERLINK("http://www.youtube.com/channel/UCxlPKzjwwusCJkFDq-XvuvA")</f>
        <v>http://www.youtube.com/channel/UCxlPKzjwwusCJkFDq-XvuvA</v>
      </c>
      <c r="U438" s="81" t="s">
        <v>1875</v>
      </c>
      <c r="V438" s="81" t="s">
        <v>1885</v>
      </c>
      <c r="W438" s="86" t="str">
        <f>HYPERLINK("https://www.youtube.com/watch?v=wadBvDPeE4E")</f>
        <v>https://www.youtube.com/watch?v=wadBvDPeE4E</v>
      </c>
      <c r="X438" s="81" t="s">
        <v>1886</v>
      </c>
      <c r="Y438" s="81">
        <v>2</v>
      </c>
      <c r="Z438" s="88">
        <v>42745.75412037037</v>
      </c>
      <c r="AA438" s="88">
        <v>42745.75412037037</v>
      </c>
      <c r="AB438" s="81"/>
      <c r="AC438" s="81"/>
      <c r="AD438" s="84" t="s">
        <v>1927</v>
      </c>
      <c r="AE438" s="82">
        <v>2</v>
      </c>
      <c r="AF438" s="83" t="str">
        <f>REPLACE(INDEX(GroupVertices[Group],MATCH(Edges[[#This Row],[Vertex 1]],GroupVertices[Vertex],0)),1,1,"")</f>
        <v>8</v>
      </c>
      <c r="AG438" s="83" t="str">
        <f>REPLACE(INDEX(GroupVertices[Group],MATCH(Edges[[#This Row],[Vertex 2]],GroupVertices[Vertex],0)),1,1,"")</f>
        <v>8</v>
      </c>
      <c r="AH438" s="111">
        <v>0</v>
      </c>
      <c r="AI438" s="112">
        <v>0</v>
      </c>
      <c r="AJ438" s="111">
        <v>0</v>
      </c>
      <c r="AK438" s="112">
        <v>0</v>
      </c>
      <c r="AL438" s="111">
        <v>0</v>
      </c>
      <c r="AM438" s="112">
        <v>0</v>
      </c>
      <c r="AN438" s="111">
        <v>9</v>
      </c>
      <c r="AO438" s="112">
        <v>100</v>
      </c>
      <c r="AP438" s="111">
        <v>9</v>
      </c>
    </row>
    <row r="439" spans="1:42" ht="15">
      <c r="A439" s="65" t="s">
        <v>643</v>
      </c>
      <c r="B439" s="65" t="s">
        <v>644</v>
      </c>
      <c r="C439" s="66" t="s">
        <v>4510</v>
      </c>
      <c r="D439" s="67">
        <v>5.333333333333334</v>
      </c>
      <c r="E439" s="68"/>
      <c r="F439" s="69">
        <v>31.666666666666664</v>
      </c>
      <c r="G439" s="66"/>
      <c r="H439" s="70"/>
      <c r="I439" s="71"/>
      <c r="J439" s="71"/>
      <c r="K439" s="35" t="s">
        <v>65</v>
      </c>
      <c r="L439" s="79">
        <v>439</v>
      </c>
      <c r="M439" s="79"/>
      <c r="N439" s="73"/>
      <c r="O439" s="81" t="s">
        <v>789</v>
      </c>
      <c r="P439" s="81" t="s">
        <v>791</v>
      </c>
      <c r="Q439" s="84" t="s">
        <v>1226</v>
      </c>
      <c r="R439" s="81" t="s">
        <v>643</v>
      </c>
      <c r="S439" s="81" t="s">
        <v>1710</v>
      </c>
      <c r="T439" s="86" t="str">
        <f>HYPERLINK("http://www.youtube.com/channel/UCxlPKzjwwusCJkFDq-XvuvA")</f>
        <v>http://www.youtube.com/channel/UCxlPKzjwwusCJkFDq-XvuvA</v>
      </c>
      <c r="U439" s="81" t="s">
        <v>1875</v>
      </c>
      <c r="V439" s="81" t="s">
        <v>1885</v>
      </c>
      <c r="W439" s="86" t="str">
        <f>HYPERLINK("https://www.youtube.com/watch?v=wadBvDPeE4E")</f>
        <v>https://www.youtube.com/watch?v=wadBvDPeE4E</v>
      </c>
      <c r="X439" s="81" t="s">
        <v>1886</v>
      </c>
      <c r="Y439" s="81">
        <v>0</v>
      </c>
      <c r="Z439" s="88">
        <v>42745.80024305556</v>
      </c>
      <c r="AA439" s="88">
        <v>42745.80024305556</v>
      </c>
      <c r="AB439" s="81"/>
      <c r="AC439" s="81"/>
      <c r="AD439" s="84" t="s">
        <v>1927</v>
      </c>
      <c r="AE439" s="82">
        <v>2</v>
      </c>
      <c r="AF439" s="83" t="str">
        <f>REPLACE(INDEX(GroupVertices[Group],MATCH(Edges[[#This Row],[Vertex 1]],GroupVertices[Vertex],0)),1,1,"")</f>
        <v>8</v>
      </c>
      <c r="AG439" s="83" t="str">
        <f>REPLACE(INDEX(GroupVertices[Group],MATCH(Edges[[#This Row],[Vertex 2]],GroupVertices[Vertex],0)),1,1,"")</f>
        <v>8</v>
      </c>
      <c r="AH439" s="111">
        <v>0</v>
      </c>
      <c r="AI439" s="112">
        <v>0</v>
      </c>
      <c r="AJ439" s="111">
        <v>0</v>
      </c>
      <c r="AK439" s="112">
        <v>0</v>
      </c>
      <c r="AL439" s="111">
        <v>0</v>
      </c>
      <c r="AM439" s="112">
        <v>0</v>
      </c>
      <c r="AN439" s="111">
        <v>3</v>
      </c>
      <c r="AO439" s="112">
        <v>100</v>
      </c>
      <c r="AP439" s="111">
        <v>3</v>
      </c>
    </row>
    <row r="440" spans="1:42" ht="15">
      <c r="A440" s="65" t="s">
        <v>644</v>
      </c>
      <c r="B440" s="65" t="s">
        <v>644</v>
      </c>
      <c r="C440" s="66" t="s">
        <v>4509</v>
      </c>
      <c r="D440" s="67">
        <v>3</v>
      </c>
      <c r="E440" s="68"/>
      <c r="F440" s="69">
        <v>40</v>
      </c>
      <c r="G440" s="66"/>
      <c r="H440" s="70"/>
      <c r="I440" s="71"/>
      <c r="J440" s="71"/>
      <c r="K440" s="35" t="s">
        <v>65</v>
      </c>
      <c r="L440" s="79">
        <v>440</v>
      </c>
      <c r="M440" s="79"/>
      <c r="N440" s="73"/>
      <c r="O440" s="81" t="s">
        <v>789</v>
      </c>
      <c r="P440" s="81" t="s">
        <v>791</v>
      </c>
      <c r="Q440" s="84" t="s">
        <v>1227</v>
      </c>
      <c r="R440" s="81" t="s">
        <v>644</v>
      </c>
      <c r="S440" s="81" t="s">
        <v>1711</v>
      </c>
      <c r="T440" s="86" t="str">
        <f>HYPERLINK("http://www.youtube.com/channel/UC6wJYPTtqP4akuk1eEf-fDg")</f>
        <v>http://www.youtube.com/channel/UC6wJYPTtqP4akuk1eEf-fDg</v>
      </c>
      <c r="U440" s="81" t="s">
        <v>1875</v>
      </c>
      <c r="V440" s="81" t="s">
        <v>1885</v>
      </c>
      <c r="W440" s="86" t="str">
        <f>HYPERLINK("https://www.youtube.com/watch?v=wadBvDPeE4E")</f>
        <v>https://www.youtube.com/watch?v=wadBvDPeE4E</v>
      </c>
      <c r="X440" s="81" t="s">
        <v>1886</v>
      </c>
      <c r="Y440" s="81">
        <v>3</v>
      </c>
      <c r="Z440" s="88">
        <v>42745.783125</v>
      </c>
      <c r="AA440" s="88">
        <v>42745.783125</v>
      </c>
      <c r="AB440" s="81"/>
      <c r="AC440" s="81"/>
      <c r="AD440" s="84" t="s">
        <v>1927</v>
      </c>
      <c r="AE440" s="82">
        <v>1</v>
      </c>
      <c r="AF440" s="83" t="str">
        <f>REPLACE(INDEX(GroupVertices[Group],MATCH(Edges[[#This Row],[Vertex 1]],GroupVertices[Vertex],0)),1,1,"")</f>
        <v>8</v>
      </c>
      <c r="AG440" s="83" t="str">
        <f>REPLACE(INDEX(GroupVertices[Group],MATCH(Edges[[#This Row],[Vertex 2]],GroupVertices[Vertex],0)),1,1,"")</f>
        <v>8</v>
      </c>
      <c r="AH440" s="111">
        <v>0</v>
      </c>
      <c r="AI440" s="112">
        <v>0</v>
      </c>
      <c r="AJ440" s="111">
        <v>1</v>
      </c>
      <c r="AK440" s="112">
        <v>10</v>
      </c>
      <c r="AL440" s="111">
        <v>0</v>
      </c>
      <c r="AM440" s="112">
        <v>0</v>
      </c>
      <c r="AN440" s="111">
        <v>9</v>
      </c>
      <c r="AO440" s="112">
        <v>90</v>
      </c>
      <c r="AP440" s="111">
        <v>10</v>
      </c>
    </row>
    <row r="441" spans="1:42" ht="15">
      <c r="A441" s="65" t="s">
        <v>644</v>
      </c>
      <c r="B441" s="65" t="s">
        <v>786</v>
      </c>
      <c r="C441" s="66" t="s">
        <v>4509</v>
      </c>
      <c r="D441" s="67">
        <v>3</v>
      </c>
      <c r="E441" s="68"/>
      <c r="F441" s="69">
        <v>40</v>
      </c>
      <c r="G441" s="66"/>
      <c r="H441" s="70"/>
      <c r="I441" s="71"/>
      <c r="J441" s="71"/>
      <c r="K441" s="35" t="s">
        <v>65</v>
      </c>
      <c r="L441" s="79">
        <v>441</v>
      </c>
      <c r="M441" s="79"/>
      <c r="N441" s="73"/>
      <c r="O441" s="81" t="s">
        <v>788</v>
      </c>
      <c r="P441" s="81" t="s">
        <v>325</v>
      </c>
      <c r="Q441" s="84" t="s">
        <v>1228</v>
      </c>
      <c r="R441" s="81" t="s">
        <v>644</v>
      </c>
      <c r="S441" s="81" t="s">
        <v>1711</v>
      </c>
      <c r="T441" s="86" t="str">
        <f>HYPERLINK("http://www.youtube.com/channel/UC6wJYPTtqP4akuk1eEf-fDg")</f>
        <v>http://www.youtube.com/channel/UC6wJYPTtqP4akuk1eEf-fDg</v>
      </c>
      <c r="U441" s="81"/>
      <c r="V441" s="81" t="s">
        <v>1885</v>
      </c>
      <c r="W441" s="86" t="str">
        <f>HYPERLINK("https://www.youtube.com/watch?v=wadBvDPeE4E")</f>
        <v>https://www.youtube.com/watch?v=wadBvDPeE4E</v>
      </c>
      <c r="X441" s="81" t="s">
        <v>1886</v>
      </c>
      <c r="Y441" s="81">
        <v>32</v>
      </c>
      <c r="Z441" s="88">
        <v>42409.74966435185</v>
      </c>
      <c r="AA441" s="88">
        <v>42409.74966435185</v>
      </c>
      <c r="AB441" s="81"/>
      <c r="AC441" s="81"/>
      <c r="AD441" s="84" t="s">
        <v>1927</v>
      </c>
      <c r="AE441" s="82">
        <v>1</v>
      </c>
      <c r="AF441" s="83" t="str">
        <f>REPLACE(INDEX(GroupVertices[Group],MATCH(Edges[[#This Row],[Vertex 1]],GroupVertices[Vertex],0)),1,1,"")</f>
        <v>8</v>
      </c>
      <c r="AG441" s="83" t="str">
        <f>REPLACE(INDEX(GroupVertices[Group],MATCH(Edges[[#This Row],[Vertex 2]],GroupVertices[Vertex],0)),1,1,"")</f>
        <v>1</v>
      </c>
      <c r="AH441" s="111">
        <v>0</v>
      </c>
      <c r="AI441" s="112">
        <v>0</v>
      </c>
      <c r="AJ441" s="111">
        <v>0</v>
      </c>
      <c r="AK441" s="112">
        <v>0</v>
      </c>
      <c r="AL441" s="111">
        <v>0</v>
      </c>
      <c r="AM441" s="112">
        <v>0</v>
      </c>
      <c r="AN441" s="111">
        <v>16</v>
      </c>
      <c r="AO441" s="112">
        <v>100</v>
      </c>
      <c r="AP441" s="111">
        <v>16</v>
      </c>
    </row>
    <row r="442" spans="1:42" ht="15">
      <c r="A442" s="65" t="s">
        <v>637</v>
      </c>
      <c r="B442" s="65" t="s">
        <v>645</v>
      </c>
      <c r="C442" s="66" t="s">
        <v>4509</v>
      </c>
      <c r="D442" s="67">
        <v>3</v>
      </c>
      <c r="E442" s="68"/>
      <c r="F442" s="69">
        <v>40</v>
      </c>
      <c r="G442" s="66"/>
      <c r="H442" s="70"/>
      <c r="I442" s="71"/>
      <c r="J442" s="71"/>
      <c r="K442" s="35" t="s">
        <v>65</v>
      </c>
      <c r="L442" s="79">
        <v>442</v>
      </c>
      <c r="M442" s="79"/>
      <c r="N442" s="73"/>
      <c r="O442" s="81" t="s">
        <v>789</v>
      </c>
      <c r="P442" s="81" t="s">
        <v>791</v>
      </c>
      <c r="Q442" s="84" t="s">
        <v>1229</v>
      </c>
      <c r="R442" s="81" t="s">
        <v>637</v>
      </c>
      <c r="S442" s="81" t="s">
        <v>1704</v>
      </c>
      <c r="T442" s="86" t="str">
        <f>HYPERLINK("http://www.youtube.com/channel/UCE7SZP9icvQdqTn2NdESMZQ")</f>
        <v>http://www.youtube.com/channel/UCE7SZP9icvQdqTn2NdESMZQ</v>
      </c>
      <c r="U442" s="81" t="s">
        <v>1876</v>
      </c>
      <c r="V442" s="81" t="s">
        <v>1885</v>
      </c>
      <c r="W442" s="86" t="str">
        <f>HYPERLINK("https://www.youtube.com/watch?v=wadBvDPeE4E")</f>
        <v>https://www.youtube.com/watch?v=wadBvDPeE4E</v>
      </c>
      <c r="X442" s="81" t="s">
        <v>1886</v>
      </c>
      <c r="Y442" s="81">
        <v>0</v>
      </c>
      <c r="Z442" s="88">
        <v>42675.88568287037</v>
      </c>
      <c r="AA442" s="88">
        <v>42675.88568287037</v>
      </c>
      <c r="AB442" s="81"/>
      <c r="AC442" s="81"/>
      <c r="AD442" s="84" t="s">
        <v>1927</v>
      </c>
      <c r="AE442" s="82">
        <v>1</v>
      </c>
      <c r="AF442" s="83" t="str">
        <f>REPLACE(INDEX(GroupVertices[Group],MATCH(Edges[[#This Row],[Vertex 1]],GroupVertices[Vertex],0)),1,1,"")</f>
        <v>5</v>
      </c>
      <c r="AG442" s="83" t="str">
        <f>REPLACE(INDEX(GroupVertices[Group],MATCH(Edges[[#This Row],[Vertex 2]],GroupVertices[Vertex],0)),1,1,"")</f>
        <v>5</v>
      </c>
      <c r="AH442" s="111">
        <v>1</v>
      </c>
      <c r="AI442" s="112">
        <v>14.285714285714286</v>
      </c>
      <c r="AJ442" s="111">
        <v>0</v>
      </c>
      <c r="AK442" s="112">
        <v>0</v>
      </c>
      <c r="AL442" s="111">
        <v>0</v>
      </c>
      <c r="AM442" s="112">
        <v>0</v>
      </c>
      <c r="AN442" s="111">
        <v>6</v>
      </c>
      <c r="AO442" s="112">
        <v>85.71428571428571</v>
      </c>
      <c r="AP442" s="111">
        <v>7</v>
      </c>
    </row>
    <row r="443" spans="1:42" ht="15">
      <c r="A443" s="65" t="s">
        <v>645</v>
      </c>
      <c r="B443" s="65" t="s">
        <v>786</v>
      </c>
      <c r="C443" s="66" t="s">
        <v>4509</v>
      </c>
      <c r="D443" s="67">
        <v>3</v>
      </c>
      <c r="E443" s="68"/>
      <c r="F443" s="69">
        <v>40</v>
      </c>
      <c r="G443" s="66"/>
      <c r="H443" s="70"/>
      <c r="I443" s="71"/>
      <c r="J443" s="71"/>
      <c r="K443" s="35" t="s">
        <v>65</v>
      </c>
      <c r="L443" s="79">
        <v>443</v>
      </c>
      <c r="M443" s="79"/>
      <c r="N443" s="73"/>
      <c r="O443" s="81" t="s">
        <v>788</v>
      </c>
      <c r="P443" s="81" t="s">
        <v>325</v>
      </c>
      <c r="Q443" s="84" t="s">
        <v>1230</v>
      </c>
      <c r="R443" s="81" t="s">
        <v>645</v>
      </c>
      <c r="S443" s="81" t="s">
        <v>1712</v>
      </c>
      <c r="T443" s="86" t="str">
        <f>HYPERLINK("http://www.youtube.com/channel/UC3DdFaCE0PYo32ElY4LpVpg")</f>
        <v>http://www.youtube.com/channel/UC3DdFaCE0PYo32ElY4LpVpg</v>
      </c>
      <c r="U443" s="81"/>
      <c r="V443" s="81" t="s">
        <v>1885</v>
      </c>
      <c r="W443" s="86" t="str">
        <f>HYPERLINK("https://www.youtube.com/watch?v=wadBvDPeE4E")</f>
        <v>https://www.youtube.com/watch?v=wadBvDPeE4E</v>
      </c>
      <c r="X443" s="81" t="s">
        <v>1886</v>
      </c>
      <c r="Y443" s="81">
        <v>0</v>
      </c>
      <c r="Z443" s="88">
        <v>42457.992893518516</v>
      </c>
      <c r="AA443" s="88">
        <v>42457.992893518516</v>
      </c>
      <c r="AB443" s="81"/>
      <c r="AC443" s="81"/>
      <c r="AD443" s="84" t="s">
        <v>1927</v>
      </c>
      <c r="AE443" s="82">
        <v>1</v>
      </c>
      <c r="AF443" s="83" t="str">
        <f>REPLACE(INDEX(GroupVertices[Group],MATCH(Edges[[#This Row],[Vertex 1]],GroupVertices[Vertex],0)),1,1,"")</f>
        <v>5</v>
      </c>
      <c r="AG443" s="83" t="str">
        <f>REPLACE(INDEX(GroupVertices[Group],MATCH(Edges[[#This Row],[Vertex 2]],GroupVertices[Vertex],0)),1,1,"")</f>
        <v>1</v>
      </c>
      <c r="AH443" s="111">
        <v>2</v>
      </c>
      <c r="AI443" s="112">
        <v>50</v>
      </c>
      <c r="AJ443" s="111">
        <v>0</v>
      </c>
      <c r="AK443" s="112">
        <v>0</v>
      </c>
      <c r="AL443" s="111">
        <v>0</v>
      </c>
      <c r="AM443" s="112">
        <v>0</v>
      </c>
      <c r="AN443" s="111">
        <v>2</v>
      </c>
      <c r="AO443" s="112">
        <v>50</v>
      </c>
      <c r="AP443" s="111">
        <v>4</v>
      </c>
    </row>
    <row r="444" spans="1:42" ht="15">
      <c r="A444" s="65" t="s">
        <v>646</v>
      </c>
      <c r="B444" s="65" t="s">
        <v>786</v>
      </c>
      <c r="C444" s="66" t="s">
        <v>4509</v>
      </c>
      <c r="D444" s="67">
        <v>3</v>
      </c>
      <c r="E444" s="68"/>
      <c r="F444" s="69">
        <v>40</v>
      </c>
      <c r="G444" s="66"/>
      <c r="H444" s="70"/>
      <c r="I444" s="71"/>
      <c r="J444" s="71"/>
      <c r="K444" s="35" t="s">
        <v>65</v>
      </c>
      <c r="L444" s="79">
        <v>444</v>
      </c>
      <c r="M444" s="79"/>
      <c r="N444" s="73"/>
      <c r="O444" s="81" t="s">
        <v>788</v>
      </c>
      <c r="P444" s="81" t="s">
        <v>325</v>
      </c>
      <c r="Q444" s="84" t="s">
        <v>1231</v>
      </c>
      <c r="R444" s="81" t="s">
        <v>646</v>
      </c>
      <c r="S444" s="81" t="s">
        <v>1713</v>
      </c>
      <c r="T444" s="86" t="str">
        <f>HYPERLINK("http://www.youtube.com/channel/UCCcPxncbMrO7LJE-sF9B0pg")</f>
        <v>http://www.youtube.com/channel/UCCcPxncbMrO7LJE-sF9B0pg</v>
      </c>
      <c r="U444" s="81"/>
      <c r="V444" s="81" t="s">
        <v>1885</v>
      </c>
      <c r="W444" s="86" t="str">
        <f>HYPERLINK("https://www.youtube.com/watch?v=wadBvDPeE4E")</f>
        <v>https://www.youtube.com/watch?v=wadBvDPeE4E</v>
      </c>
      <c r="X444" s="81" t="s">
        <v>1886</v>
      </c>
      <c r="Y444" s="81">
        <v>0</v>
      </c>
      <c r="Z444" s="88">
        <v>42506.405960648146</v>
      </c>
      <c r="AA444" s="88">
        <v>42506.405960648146</v>
      </c>
      <c r="AB444" s="81"/>
      <c r="AC444" s="81"/>
      <c r="AD444" s="84" t="s">
        <v>1927</v>
      </c>
      <c r="AE444" s="82">
        <v>1</v>
      </c>
      <c r="AF444" s="83" t="str">
        <f>REPLACE(INDEX(GroupVertices[Group],MATCH(Edges[[#This Row],[Vertex 1]],GroupVertices[Vertex],0)),1,1,"")</f>
        <v>1</v>
      </c>
      <c r="AG444" s="83" t="str">
        <f>REPLACE(INDEX(GroupVertices[Group],MATCH(Edges[[#This Row],[Vertex 2]],GroupVertices[Vertex],0)),1,1,"")</f>
        <v>1</v>
      </c>
      <c r="AH444" s="111">
        <v>3</v>
      </c>
      <c r="AI444" s="112">
        <v>2.2388059701492535</v>
      </c>
      <c r="AJ444" s="111">
        <v>8</v>
      </c>
      <c r="AK444" s="112">
        <v>5.970149253731344</v>
      </c>
      <c r="AL444" s="111">
        <v>0</v>
      </c>
      <c r="AM444" s="112">
        <v>0</v>
      </c>
      <c r="AN444" s="111">
        <v>123</v>
      </c>
      <c r="AO444" s="112">
        <v>91.7910447761194</v>
      </c>
      <c r="AP444" s="111">
        <v>134</v>
      </c>
    </row>
    <row r="445" spans="1:42" ht="15">
      <c r="A445" s="65" t="s">
        <v>647</v>
      </c>
      <c r="B445" s="65" t="s">
        <v>786</v>
      </c>
      <c r="C445" s="66" t="s">
        <v>4509</v>
      </c>
      <c r="D445" s="67">
        <v>3</v>
      </c>
      <c r="E445" s="68"/>
      <c r="F445" s="69">
        <v>40</v>
      </c>
      <c r="G445" s="66"/>
      <c r="H445" s="70"/>
      <c r="I445" s="71"/>
      <c r="J445" s="71"/>
      <c r="K445" s="35" t="s">
        <v>65</v>
      </c>
      <c r="L445" s="79">
        <v>445</v>
      </c>
      <c r="M445" s="79"/>
      <c r="N445" s="73"/>
      <c r="O445" s="81" t="s">
        <v>788</v>
      </c>
      <c r="P445" s="81" t="s">
        <v>325</v>
      </c>
      <c r="Q445" s="84" t="s">
        <v>1232</v>
      </c>
      <c r="R445" s="81" t="s">
        <v>647</v>
      </c>
      <c r="S445" s="81" t="s">
        <v>1714</v>
      </c>
      <c r="T445" s="86" t="str">
        <f>HYPERLINK("http://www.youtube.com/channel/UCZf8XvtinlP2iQak9w50SHg")</f>
        <v>http://www.youtube.com/channel/UCZf8XvtinlP2iQak9w50SHg</v>
      </c>
      <c r="U445" s="81"/>
      <c r="V445" s="81" t="s">
        <v>1885</v>
      </c>
      <c r="W445" s="86" t="str">
        <f>HYPERLINK("https://www.youtube.com/watch?v=wadBvDPeE4E")</f>
        <v>https://www.youtube.com/watch?v=wadBvDPeE4E</v>
      </c>
      <c r="X445" s="81" t="s">
        <v>1886</v>
      </c>
      <c r="Y445" s="81">
        <v>0</v>
      </c>
      <c r="Z445" s="88">
        <v>42521.87061342593</v>
      </c>
      <c r="AA445" s="88">
        <v>42521.87061342593</v>
      </c>
      <c r="AB445" s="81"/>
      <c r="AC445" s="81"/>
      <c r="AD445" s="84" t="s">
        <v>1927</v>
      </c>
      <c r="AE445" s="82">
        <v>1</v>
      </c>
      <c r="AF445" s="83" t="str">
        <f>REPLACE(INDEX(GroupVertices[Group],MATCH(Edges[[#This Row],[Vertex 1]],GroupVertices[Vertex],0)),1,1,"")</f>
        <v>1</v>
      </c>
      <c r="AG445" s="83" t="str">
        <f>REPLACE(INDEX(GroupVertices[Group],MATCH(Edges[[#This Row],[Vertex 2]],GroupVertices[Vertex],0)),1,1,"")</f>
        <v>1</v>
      </c>
      <c r="AH445" s="111">
        <v>0</v>
      </c>
      <c r="AI445" s="112">
        <v>0</v>
      </c>
      <c r="AJ445" s="111">
        <v>0</v>
      </c>
      <c r="AK445" s="112">
        <v>0</v>
      </c>
      <c r="AL445" s="111">
        <v>0</v>
      </c>
      <c r="AM445" s="112">
        <v>0</v>
      </c>
      <c r="AN445" s="111">
        <v>7</v>
      </c>
      <c r="AO445" s="112">
        <v>100</v>
      </c>
      <c r="AP445" s="111">
        <v>7</v>
      </c>
    </row>
    <row r="446" spans="1:42" ht="15">
      <c r="A446" s="65" t="s">
        <v>637</v>
      </c>
      <c r="B446" s="65" t="s">
        <v>648</v>
      </c>
      <c r="C446" s="66" t="s">
        <v>4509</v>
      </c>
      <c r="D446" s="67">
        <v>3</v>
      </c>
      <c r="E446" s="68"/>
      <c r="F446" s="69">
        <v>40</v>
      </c>
      <c r="G446" s="66"/>
      <c r="H446" s="70"/>
      <c r="I446" s="71"/>
      <c r="J446" s="71"/>
      <c r="K446" s="35" t="s">
        <v>65</v>
      </c>
      <c r="L446" s="79">
        <v>446</v>
      </c>
      <c r="M446" s="79"/>
      <c r="N446" s="73"/>
      <c r="O446" s="81" t="s">
        <v>789</v>
      </c>
      <c r="P446" s="81" t="s">
        <v>791</v>
      </c>
      <c r="Q446" s="84" t="s">
        <v>1233</v>
      </c>
      <c r="R446" s="81" t="s">
        <v>637</v>
      </c>
      <c r="S446" s="81" t="s">
        <v>1704</v>
      </c>
      <c r="T446" s="86" t="str">
        <f>HYPERLINK("http://www.youtube.com/channel/UCE7SZP9icvQdqTn2NdESMZQ")</f>
        <v>http://www.youtube.com/channel/UCE7SZP9icvQdqTn2NdESMZQ</v>
      </c>
      <c r="U446" s="81" t="s">
        <v>1877</v>
      </c>
      <c r="V446" s="81" t="s">
        <v>1885</v>
      </c>
      <c r="W446" s="86" t="str">
        <f>HYPERLINK("https://www.youtube.com/watch?v=wadBvDPeE4E")</f>
        <v>https://www.youtube.com/watch?v=wadBvDPeE4E</v>
      </c>
      <c r="X446" s="81" t="s">
        <v>1886</v>
      </c>
      <c r="Y446" s="81">
        <v>0</v>
      </c>
      <c r="Z446" s="88">
        <v>42675.88537037037</v>
      </c>
      <c r="AA446" s="88">
        <v>42675.88537037037</v>
      </c>
      <c r="AB446" s="81"/>
      <c r="AC446" s="81"/>
      <c r="AD446" s="84" t="s">
        <v>1927</v>
      </c>
      <c r="AE446" s="82">
        <v>1</v>
      </c>
      <c r="AF446" s="83" t="str">
        <f>REPLACE(INDEX(GroupVertices[Group],MATCH(Edges[[#This Row],[Vertex 1]],GroupVertices[Vertex],0)),1,1,"")</f>
        <v>5</v>
      </c>
      <c r="AG446" s="83" t="str">
        <f>REPLACE(INDEX(GroupVertices[Group],MATCH(Edges[[#This Row],[Vertex 2]],GroupVertices[Vertex],0)),1,1,"")</f>
        <v>5</v>
      </c>
      <c r="AH446" s="111">
        <v>1</v>
      </c>
      <c r="AI446" s="112">
        <v>11.11111111111111</v>
      </c>
      <c r="AJ446" s="111">
        <v>0</v>
      </c>
      <c r="AK446" s="112">
        <v>0</v>
      </c>
      <c r="AL446" s="111">
        <v>0</v>
      </c>
      <c r="AM446" s="112">
        <v>0</v>
      </c>
      <c r="AN446" s="111">
        <v>8</v>
      </c>
      <c r="AO446" s="112">
        <v>88.88888888888889</v>
      </c>
      <c r="AP446" s="111">
        <v>9</v>
      </c>
    </row>
    <row r="447" spans="1:42" ht="15">
      <c r="A447" s="65" t="s">
        <v>648</v>
      </c>
      <c r="B447" s="65" t="s">
        <v>786</v>
      </c>
      <c r="C447" s="66" t="s">
        <v>4509</v>
      </c>
      <c r="D447" s="67">
        <v>3</v>
      </c>
      <c r="E447" s="68"/>
      <c r="F447" s="69">
        <v>40</v>
      </c>
      <c r="G447" s="66"/>
      <c r="H447" s="70"/>
      <c r="I447" s="71"/>
      <c r="J447" s="71"/>
      <c r="K447" s="35" t="s">
        <v>65</v>
      </c>
      <c r="L447" s="79">
        <v>447</v>
      </c>
      <c r="M447" s="79"/>
      <c r="N447" s="73"/>
      <c r="O447" s="81" t="s">
        <v>788</v>
      </c>
      <c r="P447" s="81" t="s">
        <v>325</v>
      </c>
      <c r="Q447" s="84" t="s">
        <v>1234</v>
      </c>
      <c r="R447" s="81" t="s">
        <v>648</v>
      </c>
      <c r="S447" s="81" t="s">
        <v>1715</v>
      </c>
      <c r="T447" s="86" t="str">
        <f>HYPERLINK("http://www.youtube.com/channel/UCXWOsNdoKRvkunTglBbLRKg")</f>
        <v>http://www.youtube.com/channel/UCXWOsNdoKRvkunTglBbLRKg</v>
      </c>
      <c r="U447" s="81"/>
      <c r="V447" s="81" t="s">
        <v>1885</v>
      </c>
      <c r="W447" s="86" t="str">
        <f>HYPERLINK("https://www.youtube.com/watch?v=wadBvDPeE4E")</f>
        <v>https://www.youtube.com/watch?v=wadBvDPeE4E</v>
      </c>
      <c r="X447" s="81" t="s">
        <v>1886</v>
      </c>
      <c r="Y447" s="81">
        <v>0</v>
      </c>
      <c r="Z447" s="88">
        <v>42579.27778935185</v>
      </c>
      <c r="AA447" s="88">
        <v>42579.27778935185</v>
      </c>
      <c r="AB447" s="81"/>
      <c r="AC447" s="81"/>
      <c r="AD447" s="84" t="s">
        <v>1927</v>
      </c>
      <c r="AE447" s="82">
        <v>1</v>
      </c>
      <c r="AF447" s="83" t="str">
        <f>REPLACE(INDEX(GroupVertices[Group],MATCH(Edges[[#This Row],[Vertex 1]],GroupVertices[Vertex],0)),1,1,"")</f>
        <v>5</v>
      </c>
      <c r="AG447" s="83" t="str">
        <f>REPLACE(INDEX(GroupVertices[Group],MATCH(Edges[[#This Row],[Vertex 2]],GroupVertices[Vertex],0)),1,1,"")</f>
        <v>1</v>
      </c>
      <c r="AH447" s="111">
        <v>2</v>
      </c>
      <c r="AI447" s="112">
        <v>12.5</v>
      </c>
      <c r="AJ447" s="111">
        <v>1</v>
      </c>
      <c r="AK447" s="112">
        <v>6.25</v>
      </c>
      <c r="AL447" s="111">
        <v>0</v>
      </c>
      <c r="AM447" s="112">
        <v>0</v>
      </c>
      <c r="AN447" s="111">
        <v>13</v>
      </c>
      <c r="AO447" s="112">
        <v>81.25</v>
      </c>
      <c r="AP447" s="111">
        <v>16</v>
      </c>
    </row>
    <row r="448" spans="1:42" ht="15">
      <c r="A448" s="65" t="s">
        <v>649</v>
      </c>
      <c r="B448" s="65" t="s">
        <v>650</v>
      </c>
      <c r="C448" s="66" t="s">
        <v>4509</v>
      </c>
      <c r="D448" s="67">
        <v>3</v>
      </c>
      <c r="E448" s="68"/>
      <c r="F448" s="69">
        <v>40</v>
      </c>
      <c r="G448" s="66"/>
      <c r="H448" s="70"/>
      <c r="I448" s="71"/>
      <c r="J448" s="71"/>
      <c r="K448" s="35" t="s">
        <v>65</v>
      </c>
      <c r="L448" s="79">
        <v>448</v>
      </c>
      <c r="M448" s="79"/>
      <c r="N448" s="73"/>
      <c r="O448" s="81" t="s">
        <v>789</v>
      </c>
      <c r="P448" s="81" t="s">
        <v>791</v>
      </c>
      <c r="Q448" s="84" t="s">
        <v>1235</v>
      </c>
      <c r="R448" s="81" t="s">
        <v>649</v>
      </c>
      <c r="S448" s="81" t="s">
        <v>1716</v>
      </c>
      <c r="T448" s="86" t="str">
        <f>HYPERLINK("http://www.youtube.com/channel/UCiKNMnyn8SVCFa39NFwk1Dg")</f>
        <v>http://www.youtube.com/channel/UCiKNMnyn8SVCFa39NFwk1Dg</v>
      </c>
      <c r="U448" s="81" t="s">
        <v>1878</v>
      </c>
      <c r="V448" s="81" t="s">
        <v>1885</v>
      </c>
      <c r="W448" s="86" t="str">
        <f>HYPERLINK("https://www.youtube.com/watch?v=wadBvDPeE4E")</f>
        <v>https://www.youtube.com/watch?v=wadBvDPeE4E</v>
      </c>
      <c r="X448" s="81" t="s">
        <v>1886</v>
      </c>
      <c r="Y448" s="81">
        <v>1</v>
      </c>
      <c r="Z448" s="88">
        <v>42656.053819444445</v>
      </c>
      <c r="AA448" s="88">
        <v>42656.053819444445</v>
      </c>
      <c r="AB448" s="81"/>
      <c r="AC448" s="81"/>
      <c r="AD448" s="84" t="s">
        <v>1927</v>
      </c>
      <c r="AE448" s="82">
        <v>1</v>
      </c>
      <c r="AF448" s="83" t="str">
        <f>REPLACE(INDEX(GroupVertices[Group],MATCH(Edges[[#This Row],[Vertex 1]],GroupVertices[Vertex],0)),1,1,"")</f>
        <v>16</v>
      </c>
      <c r="AG448" s="83" t="str">
        <f>REPLACE(INDEX(GroupVertices[Group],MATCH(Edges[[#This Row],[Vertex 2]],GroupVertices[Vertex],0)),1,1,"")</f>
        <v>16</v>
      </c>
      <c r="AH448" s="111">
        <v>1</v>
      </c>
      <c r="AI448" s="112">
        <v>7.142857142857143</v>
      </c>
      <c r="AJ448" s="111">
        <v>0</v>
      </c>
      <c r="AK448" s="112">
        <v>0</v>
      </c>
      <c r="AL448" s="111">
        <v>0</v>
      </c>
      <c r="AM448" s="112">
        <v>0</v>
      </c>
      <c r="AN448" s="111">
        <v>13</v>
      </c>
      <c r="AO448" s="112">
        <v>92.85714285714286</v>
      </c>
      <c r="AP448" s="111">
        <v>14</v>
      </c>
    </row>
    <row r="449" spans="1:42" ht="15">
      <c r="A449" s="65" t="s">
        <v>650</v>
      </c>
      <c r="B449" s="65" t="s">
        <v>650</v>
      </c>
      <c r="C449" s="66" t="s">
        <v>4509</v>
      </c>
      <c r="D449" s="67">
        <v>3</v>
      </c>
      <c r="E449" s="68"/>
      <c r="F449" s="69">
        <v>40</v>
      </c>
      <c r="G449" s="66"/>
      <c r="H449" s="70"/>
      <c r="I449" s="71"/>
      <c r="J449" s="71"/>
      <c r="K449" s="35" t="s">
        <v>65</v>
      </c>
      <c r="L449" s="79">
        <v>449</v>
      </c>
      <c r="M449" s="79"/>
      <c r="N449" s="73"/>
      <c r="O449" s="81" t="s">
        <v>789</v>
      </c>
      <c r="P449" s="81" t="s">
        <v>791</v>
      </c>
      <c r="Q449" s="84" t="s">
        <v>1221</v>
      </c>
      <c r="R449" s="81" t="s">
        <v>650</v>
      </c>
      <c r="S449" s="81" t="s">
        <v>1717</v>
      </c>
      <c r="T449" s="86" t="str">
        <f>HYPERLINK("http://www.youtube.com/channel/UC4FuRQY-zQBfFPOPuaRAWgw")</f>
        <v>http://www.youtube.com/channel/UC4FuRQY-zQBfFPOPuaRAWgw</v>
      </c>
      <c r="U449" s="81" t="s">
        <v>1878</v>
      </c>
      <c r="V449" s="81" t="s">
        <v>1885</v>
      </c>
      <c r="W449" s="86" t="str">
        <f>HYPERLINK("https://www.youtube.com/watch?v=wadBvDPeE4E")</f>
        <v>https://www.youtube.com/watch?v=wadBvDPeE4E</v>
      </c>
      <c r="X449" s="81" t="s">
        <v>1886</v>
      </c>
      <c r="Y449" s="81">
        <v>0</v>
      </c>
      <c r="Z449" s="88">
        <v>42656.200833333336</v>
      </c>
      <c r="AA449" s="88">
        <v>42656.200833333336</v>
      </c>
      <c r="AB449" s="81"/>
      <c r="AC449" s="81"/>
      <c r="AD449" s="84" t="s">
        <v>1927</v>
      </c>
      <c r="AE449" s="82">
        <v>1</v>
      </c>
      <c r="AF449" s="83" t="str">
        <f>REPLACE(INDEX(GroupVertices[Group],MATCH(Edges[[#This Row],[Vertex 1]],GroupVertices[Vertex],0)),1,1,"")</f>
        <v>16</v>
      </c>
      <c r="AG449" s="83" t="str">
        <f>REPLACE(INDEX(GroupVertices[Group],MATCH(Edges[[#This Row],[Vertex 2]],GroupVertices[Vertex],0)),1,1,"")</f>
        <v>16</v>
      </c>
      <c r="AH449" s="111">
        <v>1</v>
      </c>
      <c r="AI449" s="112">
        <v>50</v>
      </c>
      <c r="AJ449" s="111">
        <v>0</v>
      </c>
      <c r="AK449" s="112">
        <v>0</v>
      </c>
      <c r="AL449" s="111">
        <v>0</v>
      </c>
      <c r="AM449" s="112">
        <v>0</v>
      </c>
      <c r="AN449" s="111">
        <v>1</v>
      </c>
      <c r="AO449" s="112">
        <v>50</v>
      </c>
      <c r="AP449" s="111">
        <v>2</v>
      </c>
    </row>
    <row r="450" spans="1:42" ht="15">
      <c r="A450" s="65" t="s">
        <v>650</v>
      </c>
      <c r="B450" s="65" t="s">
        <v>786</v>
      </c>
      <c r="C450" s="66" t="s">
        <v>4509</v>
      </c>
      <c r="D450" s="67">
        <v>3</v>
      </c>
      <c r="E450" s="68"/>
      <c r="F450" s="69">
        <v>40</v>
      </c>
      <c r="G450" s="66"/>
      <c r="H450" s="70"/>
      <c r="I450" s="71"/>
      <c r="J450" s="71"/>
      <c r="K450" s="35" t="s">
        <v>65</v>
      </c>
      <c r="L450" s="79">
        <v>450</v>
      </c>
      <c r="M450" s="79"/>
      <c r="N450" s="73"/>
      <c r="O450" s="81" t="s">
        <v>788</v>
      </c>
      <c r="P450" s="81" t="s">
        <v>325</v>
      </c>
      <c r="Q450" s="84" t="s">
        <v>1236</v>
      </c>
      <c r="R450" s="81" t="s">
        <v>650</v>
      </c>
      <c r="S450" s="81" t="s">
        <v>1717</v>
      </c>
      <c r="T450" s="86" t="str">
        <f>HYPERLINK("http://www.youtube.com/channel/UC4FuRQY-zQBfFPOPuaRAWgw")</f>
        <v>http://www.youtube.com/channel/UC4FuRQY-zQBfFPOPuaRAWgw</v>
      </c>
      <c r="U450" s="81"/>
      <c r="V450" s="81" t="s">
        <v>1885</v>
      </c>
      <c r="W450" s="86" t="str">
        <f>HYPERLINK("https://www.youtube.com/watch?v=wadBvDPeE4E")</f>
        <v>https://www.youtube.com/watch?v=wadBvDPeE4E</v>
      </c>
      <c r="X450" s="81" t="s">
        <v>1886</v>
      </c>
      <c r="Y450" s="81">
        <v>8</v>
      </c>
      <c r="Z450" s="88">
        <v>42596.25188657407</v>
      </c>
      <c r="AA450" s="88">
        <v>42596.25188657407</v>
      </c>
      <c r="AB450" s="81" t="s">
        <v>1891</v>
      </c>
      <c r="AC450" s="81" t="s">
        <v>1922</v>
      </c>
      <c r="AD450" s="84" t="s">
        <v>1927</v>
      </c>
      <c r="AE450" s="82">
        <v>1</v>
      </c>
      <c r="AF450" s="83" t="str">
        <f>REPLACE(INDEX(GroupVertices[Group],MATCH(Edges[[#This Row],[Vertex 1]],GroupVertices[Vertex],0)),1,1,"")</f>
        <v>16</v>
      </c>
      <c r="AG450" s="83" t="str">
        <f>REPLACE(INDEX(GroupVertices[Group],MATCH(Edges[[#This Row],[Vertex 2]],GroupVertices[Vertex],0)),1,1,"")</f>
        <v>1</v>
      </c>
      <c r="AH450" s="111">
        <v>4</v>
      </c>
      <c r="AI450" s="112">
        <v>2.9411764705882355</v>
      </c>
      <c r="AJ450" s="111">
        <v>9</v>
      </c>
      <c r="AK450" s="112">
        <v>6.617647058823529</v>
      </c>
      <c r="AL450" s="111">
        <v>0</v>
      </c>
      <c r="AM450" s="112">
        <v>0</v>
      </c>
      <c r="AN450" s="111">
        <v>123</v>
      </c>
      <c r="AO450" s="112">
        <v>90.44117647058823</v>
      </c>
      <c r="AP450" s="111">
        <v>136</v>
      </c>
    </row>
    <row r="451" spans="1:42" ht="15">
      <c r="A451" s="65" t="s">
        <v>651</v>
      </c>
      <c r="B451" s="65" t="s">
        <v>786</v>
      </c>
      <c r="C451" s="66" t="s">
        <v>4509</v>
      </c>
      <c r="D451" s="67">
        <v>3</v>
      </c>
      <c r="E451" s="68"/>
      <c r="F451" s="69">
        <v>40</v>
      </c>
      <c r="G451" s="66"/>
      <c r="H451" s="70"/>
      <c r="I451" s="71"/>
      <c r="J451" s="71"/>
      <c r="K451" s="35" t="s">
        <v>65</v>
      </c>
      <c r="L451" s="79">
        <v>451</v>
      </c>
      <c r="M451" s="79"/>
      <c r="N451" s="73"/>
      <c r="O451" s="81" t="s">
        <v>788</v>
      </c>
      <c r="P451" s="81" t="s">
        <v>325</v>
      </c>
      <c r="Q451" s="84" t="s">
        <v>1237</v>
      </c>
      <c r="R451" s="81" t="s">
        <v>651</v>
      </c>
      <c r="S451" s="81" t="s">
        <v>1718</v>
      </c>
      <c r="T451" s="86" t="str">
        <f>HYPERLINK("http://www.youtube.com/channel/UCPJ7ELWQkVwveADc9hAsqNg")</f>
        <v>http://www.youtube.com/channel/UCPJ7ELWQkVwveADc9hAsqNg</v>
      </c>
      <c r="U451" s="81"/>
      <c r="V451" s="81" t="s">
        <v>1885</v>
      </c>
      <c r="W451" s="86" t="str">
        <f>HYPERLINK("https://www.youtube.com/watch?v=wadBvDPeE4E")</f>
        <v>https://www.youtube.com/watch?v=wadBvDPeE4E</v>
      </c>
      <c r="X451" s="81" t="s">
        <v>1886</v>
      </c>
      <c r="Y451" s="81">
        <v>2</v>
      </c>
      <c r="Z451" s="88">
        <v>42621.00258101852</v>
      </c>
      <c r="AA451" s="88">
        <v>42621.00258101852</v>
      </c>
      <c r="AB451" s="81" t="s">
        <v>1892</v>
      </c>
      <c r="AC451" s="81" t="s">
        <v>1922</v>
      </c>
      <c r="AD451" s="84" t="s">
        <v>1927</v>
      </c>
      <c r="AE451" s="82">
        <v>1</v>
      </c>
      <c r="AF451" s="83" t="str">
        <f>REPLACE(INDEX(GroupVertices[Group],MATCH(Edges[[#This Row],[Vertex 1]],GroupVertices[Vertex],0)),1,1,"")</f>
        <v>1</v>
      </c>
      <c r="AG451" s="83" t="str">
        <f>REPLACE(INDEX(GroupVertices[Group],MATCH(Edges[[#This Row],[Vertex 2]],GroupVertices[Vertex],0)),1,1,"")</f>
        <v>1</v>
      </c>
      <c r="AH451" s="111">
        <v>5</v>
      </c>
      <c r="AI451" s="112">
        <v>3.4246575342465753</v>
      </c>
      <c r="AJ451" s="111">
        <v>4</v>
      </c>
      <c r="AK451" s="112">
        <v>2.73972602739726</v>
      </c>
      <c r="AL451" s="111">
        <v>0</v>
      </c>
      <c r="AM451" s="112">
        <v>0</v>
      </c>
      <c r="AN451" s="111">
        <v>137</v>
      </c>
      <c r="AO451" s="112">
        <v>93.83561643835617</v>
      </c>
      <c r="AP451" s="111">
        <v>146</v>
      </c>
    </row>
    <row r="452" spans="1:42" ht="15">
      <c r="A452" s="65" t="s">
        <v>652</v>
      </c>
      <c r="B452" s="65" t="s">
        <v>786</v>
      </c>
      <c r="C452" s="66" t="s">
        <v>4509</v>
      </c>
      <c r="D452" s="67">
        <v>3</v>
      </c>
      <c r="E452" s="68"/>
      <c r="F452" s="69">
        <v>40</v>
      </c>
      <c r="G452" s="66"/>
      <c r="H452" s="70"/>
      <c r="I452" s="71"/>
      <c r="J452" s="71"/>
      <c r="K452" s="35" t="s">
        <v>65</v>
      </c>
      <c r="L452" s="79">
        <v>452</v>
      </c>
      <c r="M452" s="79"/>
      <c r="N452" s="73"/>
      <c r="O452" s="81" t="s">
        <v>788</v>
      </c>
      <c r="P452" s="81" t="s">
        <v>325</v>
      </c>
      <c r="Q452" s="84" t="s">
        <v>1238</v>
      </c>
      <c r="R452" s="81" t="s">
        <v>652</v>
      </c>
      <c r="S452" s="81" t="s">
        <v>1719</v>
      </c>
      <c r="T452" s="86" t="str">
        <f>HYPERLINK("http://www.youtube.com/channel/UCYgxA4x_tHjLWBN0OCgYWcQ")</f>
        <v>http://www.youtube.com/channel/UCYgxA4x_tHjLWBN0OCgYWcQ</v>
      </c>
      <c r="U452" s="81"/>
      <c r="V452" s="81" t="s">
        <v>1885</v>
      </c>
      <c r="W452" s="86" t="str">
        <f>HYPERLINK("https://www.youtube.com/watch?v=wadBvDPeE4E")</f>
        <v>https://www.youtube.com/watch?v=wadBvDPeE4E</v>
      </c>
      <c r="X452" s="81" t="s">
        <v>1886</v>
      </c>
      <c r="Y452" s="81">
        <v>0</v>
      </c>
      <c r="Z452" s="88">
        <v>42631.31864583334</v>
      </c>
      <c r="AA452" s="88">
        <v>42631.31864583334</v>
      </c>
      <c r="AB452" s="81"/>
      <c r="AC452" s="81"/>
      <c r="AD452" s="84" t="s">
        <v>1927</v>
      </c>
      <c r="AE452" s="82">
        <v>1</v>
      </c>
      <c r="AF452" s="83" t="str">
        <f>REPLACE(INDEX(GroupVertices[Group],MATCH(Edges[[#This Row],[Vertex 1]],GroupVertices[Vertex],0)),1,1,"")</f>
        <v>1</v>
      </c>
      <c r="AG452" s="83" t="str">
        <f>REPLACE(INDEX(GroupVertices[Group],MATCH(Edges[[#This Row],[Vertex 2]],GroupVertices[Vertex],0)),1,1,"")</f>
        <v>1</v>
      </c>
      <c r="AH452" s="111">
        <v>3</v>
      </c>
      <c r="AI452" s="112">
        <v>5.357142857142857</v>
      </c>
      <c r="AJ452" s="111">
        <v>0</v>
      </c>
      <c r="AK452" s="112">
        <v>0</v>
      </c>
      <c r="AL452" s="111">
        <v>0</v>
      </c>
      <c r="AM452" s="112">
        <v>0</v>
      </c>
      <c r="AN452" s="111">
        <v>53</v>
      </c>
      <c r="AO452" s="112">
        <v>94.64285714285714</v>
      </c>
      <c r="AP452" s="111">
        <v>56</v>
      </c>
    </row>
    <row r="453" spans="1:42" ht="15">
      <c r="A453" s="65" t="s">
        <v>637</v>
      </c>
      <c r="B453" s="65" t="s">
        <v>786</v>
      </c>
      <c r="C453" s="66" t="s">
        <v>4509</v>
      </c>
      <c r="D453" s="67">
        <v>3</v>
      </c>
      <c r="E453" s="68"/>
      <c r="F453" s="69">
        <v>40</v>
      </c>
      <c r="G453" s="66"/>
      <c r="H453" s="70"/>
      <c r="I453" s="71"/>
      <c r="J453" s="71"/>
      <c r="K453" s="35" t="s">
        <v>65</v>
      </c>
      <c r="L453" s="79">
        <v>453</v>
      </c>
      <c r="M453" s="79"/>
      <c r="N453" s="73"/>
      <c r="O453" s="81" t="s">
        <v>788</v>
      </c>
      <c r="P453" s="81" t="s">
        <v>325</v>
      </c>
      <c r="Q453" s="84" t="s">
        <v>1239</v>
      </c>
      <c r="R453" s="81" t="s">
        <v>637</v>
      </c>
      <c r="S453" s="81" t="s">
        <v>1704</v>
      </c>
      <c r="T453" s="86" t="str">
        <f>HYPERLINK("http://www.youtube.com/channel/UCE7SZP9icvQdqTn2NdESMZQ")</f>
        <v>http://www.youtube.com/channel/UCE7SZP9icvQdqTn2NdESMZQ</v>
      </c>
      <c r="U453" s="81"/>
      <c r="V453" s="81" t="s">
        <v>1885</v>
      </c>
      <c r="W453" s="86" t="str">
        <f>HYPERLINK("https://www.youtube.com/watch?v=wadBvDPeE4E")</f>
        <v>https://www.youtube.com/watch?v=wadBvDPeE4E</v>
      </c>
      <c r="X453" s="81" t="s">
        <v>1886</v>
      </c>
      <c r="Y453" s="81">
        <v>2</v>
      </c>
      <c r="Z453" s="88">
        <v>42675.88476851852</v>
      </c>
      <c r="AA453" s="88">
        <v>42675.88476851852</v>
      </c>
      <c r="AB453" s="81"/>
      <c r="AC453" s="81"/>
      <c r="AD453" s="84" t="s">
        <v>1927</v>
      </c>
      <c r="AE453" s="82">
        <v>1</v>
      </c>
      <c r="AF453" s="83" t="str">
        <f>REPLACE(INDEX(GroupVertices[Group],MATCH(Edges[[#This Row],[Vertex 1]],GroupVertices[Vertex],0)),1,1,"")</f>
        <v>5</v>
      </c>
      <c r="AG453" s="83" t="str">
        <f>REPLACE(INDEX(GroupVertices[Group],MATCH(Edges[[#This Row],[Vertex 2]],GroupVertices[Vertex],0)),1,1,"")</f>
        <v>1</v>
      </c>
      <c r="AH453" s="111">
        <v>2</v>
      </c>
      <c r="AI453" s="112">
        <v>40</v>
      </c>
      <c r="AJ453" s="111">
        <v>0</v>
      </c>
      <c r="AK453" s="112">
        <v>0</v>
      </c>
      <c r="AL453" s="111">
        <v>0</v>
      </c>
      <c r="AM453" s="112">
        <v>0</v>
      </c>
      <c r="AN453" s="111">
        <v>3</v>
      </c>
      <c r="AO453" s="112">
        <v>60</v>
      </c>
      <c r="AP453" s="111">
        <v>5</v>
      </c>
    </row>
    <row r="454" spans="1:42" ht="15">
      <c r="A454" s="65" t="s">
        <v>653</v>
      </c>
      <c r="B454" s="65" t="s">
        <v>786</v>
      </c>
      <c r="C454" s="66" t="s">
        <v>4509</v>
      </c>
      <c r="D454" s="67">
        <v>3</v>
      </c>
      <c r="E454" s="68"/>
      <c r="F454" s="69">
        <v>40</v>
      </c>
      <c r="G454" s="66"/>
      <c r="H454" s="70"/>
      <c r="I454" s="71"/>
      <c r="J454" s="71"/>
      <c r="K454" s="35" t="s">
        <v>65</v>
      </c>
      <c r="L454" s="79">
        <v>454</v>
      </c>
      <c r="M454" s="79"/>
      <c r="N454" s="73"/>
      <c r="O454" s="81" t="s">
        <v>788</v>
      </c>
      <c r="P454" s="81" t="s">
        <v>325</v>
      </c>
      <c r="Q454" s="84" t="s">
        <v>1240</v>
      </c>
      <c r="R454" s="81" t="s">
        <v>653</v>
      </c>
      <c r="S454" s="81" t="s">
        <v>1720</v>
      </c>
      <c r="T454" s="86" t="str">
        <f>HYPERLINK("http://www.youtube.com/channel/UCzYSQdFdNlITwUanU48B8GQ")</f>
        <v>http://www.youtube.com/channel/UCzYSQdFdNlITwUanU48B8GQ</v>
      </c>
      <c r="U454" s="81"/>
      <c r="V454" s="81" t="s">
        <v>1885</v>
      </c>
      <c r="W454" s="86" t="str">
        <f>HYPERLINK("https://www.youtube.com/watch?v=wadBvDPeE4E")</f>
        <v>https://www.youtube.com/watch?v=wadBvDPeE4E</v>
      </c>
      <c r="X454" s="81" t="s">
        <v>1886</v>
      </c>
      <c r="Y454" s="81">
        <v>0</v>
      </c>
      <c r="Z454" s="88">
        <v>42758.55060185185</v>
      </c>
      <c r="AA454" s="88">
        <v>42758.55060185185</v>
      </c>
      <c r="AB454" s="81"/>
      <c r="AC454" s="81"/>
      <c r="AD454" s="84" t="s">
        <v>1927</v>
      </c>
      <c r="AE454" s="82">
        <v>1</v>
      </c>
      <c r="AF454" s="83" t="str">
        <f>REPLACE(INDEX(GroupVertices[Group],MATCH(Edges[[#This Row],[Vertex 1]],GroupVertices[Vertex],0)),1,1,"")</f>
        <v>1</v>
      </c>
      <c r="AG454" s="83" t="str">
        <f>REPLACE(INDEX(GroupVertices[Group],MATCH(Edges[[#This Row],[Vertex 2]],GroupVertices[Vertex],0)),1,1,"")</f>
        <v>1</v>
      </c>
      <c r="AH454" s="111">
        <v>0</v>
      </c>
      <c r="AI454" s="112">
        <v>0</v>
      </c>
      <c r="AJ454" s="111">
        <v>0</v>
      </c>
      <c r="AK454" s="112">
        <v>0</v>
      </c>
      <c r="AL454" s="111">
        <v>0</v>
      </c>
      <c r="AM454" s="112">
        <v>0</v>
      </c>
      <c r="AN454" s="111">
        <v>5</v>
      </c>
      <c r="AO454" s="112">
        <v>100</v>
      </c>
      <c r="AP454" s="111">
        <v>5</v>
      </c>
    </row>
    <row r="455" spans="1:42" ht="15">
      <c r="A455" s="65" t="s">
        <v>654</v>
      </c>
      <c r="B455" s="65" t="s">
        <v>786</v>
      </c>
      <c r="C455" s="66" t="s">
        <v>4509</v>
      </c>
      <c r="D455" s="67">
        <v>3</v>
      </c>
      <c r="E455" s="68"/>
      <c r="F455" s="69">
        <v>40</v>
      </c>
      <c r="G455" s="66"/>
      <c r="H455" s="70"/>
      <c r="I455" s="71"/>
      <c r="J455" s="71"/>
      <c r="K455" s="35" t="s">
        <v>65</v>
      </c>
      <c r="L455" s="79">
        <v>455</v>
      </c>
      <c r="M455" s="79"/>
      <c r="N455" s="73"/>
      <c r="O455" s="81" t="s">
        <v>788</v>
      </c>
      <c r="P455" s="81" t="s">
        <v>325</v>
      </c>
      <c r="Q455" s="84" t="s">
        <v>1241</v>
      </c>
      <c r="R455" s="81" t="s">
        <v>654</v>
      </c>
      <c r="S455" s="81" t="s">
        <v>1721</v>
      </c>
      <c r="T455" s="86" t="str">
        <f>HYPERLINK("http://www.youtube.com/channel/UCWcBkjCrLsESy4SBkkXI8tQ")</f>
        <v>http://www.youtube.com/channel/UCWcBkjCrLsESy4SBkkXI8tQ</v>
      </c>
      <c r="U455" s="81"/>
      <c r="V455" s="81" t="s">
        <v>1885</v>
      </c>
      <c r="W455" s="86" t="str">
        <f>HYPERLINK("https://www.youtube.com/watch?v=wadBvDPeE4E")</f>
        <v>https://www.youtube.com/watch?v=wadBvDPeE4E</v>
      </c>
      <c r="X455" s="81" t="s">
        <v>1886</v>
      </c>
      <c r="Y455" s="81">
        <v>0</v>
      </c>
      <c r="Z455" s="88">
        <v>42785.11775462963</v>
      </c>
      <c r="AA455" s="88">
        <v>42785.11775462963</v>
      </c>
      <c r="AB455" s="81"/>
      <c r="AC455" s="81"/>
      <c r="AD455" s="84" t="s">
        <v>1927</v>
      </c>
      <c r="AE455" s="82">
        <v>1</v>
      </c>
      <c r="AF455" s="83" t="str">
        <f>REPLACE(INDEX(GroupVertices[Group],MATCH(Edges[[#This Row],[Vertex 1]],GroupVertices[Vertex],0)),1,1,"")</f>
        <v>1</v>
      </c>
      <c r="AG455" s="83" t="str">
        <f>REPLACE(INDEX(GroupVertices[Group],MATCH(Edges[[#This Row],[Vertex 2]],GroupVertices[Vertex],0)),1,1,"")</f>
        <v>1</v>
      </c>
      <c r="AH455" s="111">
        <v>1</v>
      </c>
      <c r="AI455" s="112">
        <v>33.333333333333336</v>
      </c>
      <c r="AJ455" s="111">
        <v>0</v>
      </c>
      <c r="AK455" s="112">
        <v>0</v>
      </c>
      <c r="AL455" s="111">
        <v>0</v>
      </c>
      <c r="AM455" s="112">
        <v>0</v>
      </c>
      <c r="AN455" s="111">
        <v>2</v>
      </c>
      <c r="AO455" s="112">
        <v>66.66666666666667</v>
      </c>
      <c r="AP455" s="111">
        <v>3</v>
      </c>
    </row>
    <row r="456" spans="1:42" ht="15">
      <c r="A456" s="65" t="s">
        <v>655</v>
      </c>
      <c r="B456" s="65" t="s">
        <v>786</v>
      </c>
      <c r="C456" s="66" t="s">
        <v>4510</v>
      </c>
      <c r="D456" s="67">
        <v>5.333333333333334</v>
      </c>
      <c r="E456" s="68"/>
      <c r="F456" s="69">
        <v>31.666666666666664</v>
      </c>
      <c r="G456" s="66"/>
      <c r="H456" s="70"/>
      <c r="I456" s="71"/>
      <c r="J456" s="71"/>
      <c r="K456" s="35" t="s">
        <v>65</v>
      </c>
      <c r="L456" s="79">
        <v>456</v>
      </c>
      <c r="M456" s="79"/>
      <c r="N456" s="73"/>
      <c r="O456" s="81" t="s">
        <v>788</v>
      </c>
      <c r="P456" s="81" t="s">
        <v>325</v>
      </c>
      <c r="Q456" s="84" t="s">
        <v>1242</v>
      </c>
      <c r="R456" s="81" t="s">
        <v>655</v>
      </c>
      <c r="S456" s="81" t="s">
        <v>1722</v>
      </c>
      <c r="T456" s="86" t="str">
        <f>HYPERLINK("http://www.youtube.com/channel/UCP68l-lXzYOXJS8cr5g5oMA")</f>
        <v>http://www.youtube.com/channel/UCP68l-lXzYOXJS8cr5g5oMA</v>
      </c>
      <c r="U456" s="81"/>
      <c r="V456" s="81" t="s">
        <v>1885</v>
      </c>
      <c r="W456" s="86" t="str">
        <f>HYPERLINK("https://www.youtube.com/watch?v=wadBvDPeE4E")</f>
        <v>https://www.youtube.com/watch?v=wadBvDPeE4E</v>
      </c>
      <c r="X456" s="81" t="s">
        <v>1886</v>
      </c>
      <c r="Y456" s="81">
        <v>0</v>
      </c>
      <c r="Z456" s="88">
        <v>42801.04944444444</v>
      </c>
      <c r="AA456" s="88">
        <v>42801.04944444444</v>
      </c>
      <c r="AB456" s="81"/>
      <c r="AC456" s="81"/>
      <c r="AD456" s="84" t="s">
        <v>1927</v>
      </c>
      <c r="AE456" s="82">
        <v>2</v>
      </c>
      <c r="AF456" s="83" t="str">
        <f>REPLACE(INDEX(GroupVertices[Group],MATCH(Edges[[#This Row],[Vertex 1]],GroupVertices[Vertex],0)),1,1,"")</f>
        <v>1</v>
      </c>
      <c r="AG456" s="83" t="str">
        <f>REPLACE(INDEX(GroupVertices[Group],MATCH(Edges[[#This Row],[Vertex 2]],GroupVertices[Vertex],0)),1,1,"")</f>
        <v>1</v>
      </c>
      <c r="AH456" s="111">
        <v>0</v>
      </c>
      <c r="AI456" s="112">
        <v>0</v>
      </c>
      <c r="AJ456" s="111">
        <v>4</v>
      </c>
      <c r="AK456" s="112">
        <v>22.22222222222222</v>
      </c>
      <c r="AL456" s="111">
        <v>0</v>
      </c>
      <c r="AM456" s="112">
        <v>0</v>
      </c>
      <c r="AN456" s="111">
        <v>14</v>
      </c>
      <c r="AO456" s="112">
        <v>77.77777777777777</v>
      </c>
      <c r="AP456" s="111">
        <v>18</v>
      </c>
    </row>
    <row r="457" spans="1:42" ht="15">
      <c r="A457" s="65" t="s">
        <v>655</v>
      </c>
      <c r="B457" s="65" t="s">
        <v>786</v>
      </c>
      <c r="C457" s="66" t="s">
        <v>4510</v>
      </c>
      <c r="D457" s="67">
        <v>5.333333333333334</v>
      </c>
      <c r="E457" s="68"/>
      <c r="F457" s="69">
        <v>31.666666666666664</v>
      </c>
      <c r="G457" s="66"/>
      <c r="H457" s="70"/>
      <c r="I457" s="71"/>
      <c r="J457" s="71"/>
      <c r="K457" s="35" t="s">
        <v>65</v>
      </c>
      <c r="L457" s="79">
        <v>457</v>
      </c>
      <c r="M457" s="79"/>
      <c r="N457" s="73"/>
      <c r="O457" s="81" t="s">
        <v>788</v>
      </c>
      <c r="P457" s="81" t="s">
        <v>325</v>
      </c>
      <c r="Q457" s="84" t="s">
        <v>1243</v>
      </c>
      <c r="R457" s="81" t="s">
        <v>655</v>
      </c>
      <c r="S457" s="81" t="s">
        <v>1722</v>
      </c>
      <c r="T457" s="86" t="str">
        <f>HYPERLINK("http://www.youtube.com/channel/UCP68l-lXzYOXJS8cr5g5oMA")</f>
        <v>http://www.youtube.com/channel/UCP68l-lXzYOXJS8cr5g5oMA</v>
      </c>
      <c r="U457" s="81"/>
      <c r="V457" s="81" t="s">
        <v>1885</v>
      </c>
      <c r="W457" s="86" t="str">
        <f>HYPERLINK("https://www.youtube.com/watch?v=wadBvDPeE4E")</f>
        <v>https://www.youtube.com/watch?v=wadBvDPeE4E</v>
      </c>
      <c r="X457" s="81" t="s">
        <v>1886</v>
      </c>
      <c r="Y457" s="81">
        <v>0</v>
      </c>
      <c r="Z457" s="88">
        <v>42801.06103009259</v>
      </c>
      <c r="AA457" s="88">
        <v>42801.067824074074</v>
      </c>
      <c r="AB457" s="81"/>
      <c r="AC457" s="81"/>
      <c r="AD457" s="84" t="s">
        <v>1927</v>
      </c>
      <c r="AE457" s="82">
        <v>2</v>
      </c>
      <c r="AF457" s="83" t="str">
        <f>REPLACE(INDEX(GroupVertices[Group],MATCH(Edges[[#This Row],[Vertex 1]],GroupVertices[Vertex],0)),1,1,"")</f>
        <v>1</v>
      </c>
      <c r="AG457" s="83" t="str">
        <f>REPLACE(INDEX(GroupVertices[Group],MATCH(Edges[[#This Row],[Vertex 2]],GroupVertices[Vertex],0)),1,1,"")</f>
        <v>1</v>
      </c>
      <c r="AH457" s="111">
        <v>7</v>
      </c>
      <c r="AI457" s="112">
        <v>4.57516339869281</v>
      </c>
      <c r="AJ457" s="111">
        <v>3</v>
      </c>
      <c r="AK457" s="112">
        <v>1.9607843137254901</v>
      </c>
      <c r="AL457" s="111">
        <v>0</v>
      </c>
      <c r="AM457" s="112">
        <v>0</v>
      </c>
      <c r="AN457" s="111">
        <v>143</v>
      </c>
      <c r="AO457" s="112">
        <v>93.4640522875817</v>
      </c>
      <c r="AP457" s="111">
        <v>153</v>
      </c>
    </row>
    <row r="458" spans="1:42" ht="15">
      <c r="A458" s="65" t="s">
        <v>656</v>
      </c>
      <c r="B458" s="65" t="s">
        <v>786</v>
      </c>
      <c r="C458" s="66" t="s">
        <v>4509</v>
      </c>
      <c r="D458" s="67">
        <v>3</v>
      </c>
      <c r="E458" s="68"/>
      <c r="F458" s="69">
        <v>40</v>
      </c>
      <c r="G458" s="66"/>
      <c r="H458" s="70"/>
      <c r="I458" s="71"/>
      <c r="J458" s="71"/>
      <c r="K458" s="35" t="s">
        <v>65</v>
      </c>
      <c r="L458" s="79">
        <v>458</v>
      </c>
      <c r="M458" s="79"/>
      <c r="N458" s="73"/>
      <c r="O458" s="81" t="s">
        <v>788</v>
      </c>
      <c r="P458" s="81" t="s">
        <v>325</v>
      </c>
      <c r="Q458" s="84" t="s">
        <v>1244</v>
      </c>
      <c r="R458" s="81" t="s">
        <v>656</v>
      </c>
      <c r="S458" s="81" t="s">
        <v>1723</v>
      </c>
      <c r="T458" s="86" t="str">
        <f>HYPERLINK("http://www.youtube.com/channel/UCdzoun2WHzibnHiDh304aNQ")</f>
        <v>http://www.youtube.com/channel/UCdzoun2WHzibnHiDh304aNQ</v>
      </c>
      <c r="U458" s="81"/>
      <c r="V458" s="81" t="s">
        <v>1885</v>
      </c>
      <c r="W458" s="86" t="str">
        <f>HYPERLINK("https://www.youtube.com/watch?v=wadBvDPeE4E")</f>
        <v>https://www.youtube.com/watch?v=wadBvDPeE4E</v>
      </c>
      <c r="X458" s="81" t="s">
        <v>1886</v>
      </c>
      <c r="Y458" s="81">
        <v>0</v>
      </c>
      <c r="Z458" s="88">
        <v>42819.179618055554</v>
      </c>
      <c r="AA458" s="88">
        <v>42819.179618055554</v>
      </c>
      <c r="AB458" s="81"/>
      <c r="AC458" s="81"/>
      <c r="AD458" s="84" t="s">
        <v>1927</v>
      </c>
      <c r="AE458" s="82">
        <v>1</v>
      </c>
      <c r="AF458" s="83" t="str">
        <f>REPLACE(INDEX(GroupVertices[Group],MATCH(Edges[[#This Row],[Vertex 1]],GroupVertices[Vertex],0)),1,1,"")</f>
        <v>1</v>
      </c>
      <c r="AG458" s="83" t="str">
        <f>REPLACE(INDEX(GroupVertices[Group],MATCH(Edges[[#This Row],[Vertex 2]],GroupVertices[Vertex],0)),1,1,"")</f>
        <v>1</v>
      </c>
      <c r="AH458" s="111">
        <v>0</v>
      </c>
      <c r="AI458" s="112">
        <v>0</v>
      </c>
      <c r="AJ458" s="111">
        <v>0</v>
      </c>
      <c r="AK458" s="112">
        <v>0</v>
      </c>
      <c r="AL458" s="111">
        <v>0</v>
      </c>
      <c r="AM458" s="112">
        <v>0</v>
      </c>
      <c r="AN458" s="111">
        <v>18</v>
      </c>
      <c r="AO458" s="112">
        <v>100</v>
      </c>
      <c r="AP458" s="111">
        <v>18</v>
      </c>
    </row>
    <row r="459" spans="1:42" ht="15">
      <c r="A459" s="65" t="s">
        <v>657</v>
      </c>
      <c r="B459" s="65" t="s">
        <v>786</v>
      </c>
      <c r="C459" s="66" t="s">
        <v>4509</v>
      </c>
      <c r="D459" s="67">
        <v>3</v>
      </c>
      <c r="E459" s="68"/>
      <c r="F459" s="69">
        <v>40</v>
      </c>
      <c r="G459" s="66"/>
      <c r="H459" s="70"/>
      <c r="I459" s="71"/>
      <c r="J459" s="71"/>
      <c r="K459" s="35" t="s">
        <v>65</v>
      </c>
      <c r="L459" s="79">
        <v>459</v>
      </c>
      <c r="M459" s="79"/>
      <c r="N459" s="73"/>
      <c r="O459" s="81" t="s">
        <v>788</v>
      </c>
      <c r="P459" s="81" t="s">
        <v>325</v>
      </c>
      <c r="Q459" s="84" t="s">
        <v>1245</v>
      </c>
      <c r="R459" s="81" t="s">
        <v>657</v>
      </c>
      <c r="S459" s="81" t="s">
        <v>1724</v>
      </c>
      <c r="T459" s="86" t="str">
        <f>HYPERLINK("http://www.youtube.com/channel/UCYgwAbzdUQ9-IIz2emMDWTw")</f>
        <v>http://www.youtube.com/channel/UCYgwAbzdUQ9-IIz2emMDWTw</v>
      </c>
      <c r="U459" s="81"/>
      <c r="V459" s="81" t="s">
        <v>1885</v>
      </c>
      <c r="W459" s="86" t="str">
        <f>HYPERLINK("https://www.youtube.com/watch?v=wadBvDPeE4E")</f>
        <v>https://www.youtube.com/watch?v=wadBvDPeE4E</v>
      </c>
      <c r="X459" s="81" t="s">
        <v>1886</v>
      </c>
      <c r="Y459" s="81">
        <v>0</v>
      </c>
      <c r="Z459" s="88">
        <v>42850.230520833335</v>
      </c>
      <c r="AA459" s="88">
        <v>42850.230520833335</v>
      </c>
      <c r="AB459" s="81"/>
      <c r="AC459" s="81"/>
      <c r="AD459" s="84" t="s">
        <v>1927</v>
      </c>
      <c r="AE459" s="82">
        <v>1</v>
      </c>
      <c r="AF459" s="83" t="str">
        <f>REPLACE(INDEX(GroupVertices[Group],MATCH(Edges[[#This Row],[Vertex 1]],GroupVertices[Vertex],0)),1,1,"")</f>
        <v>1</v>
      </c>
      <c r="AG459" s="83" t="str">
        <f>REPLACE(INDEX(GroupVertices[Group],MATCH(Edges[[#This Row],[Vertex 2]],GroupVertices[Vertex],0)),1,1,"")</f>
        <v>1</v>
      </c>
      <c r="AH459" s="111">
        <v>1</v>
      </c>
      <c r="AI459" s="112">
        <v>4.166666666666667</v>
      </c>
      <c r="AJ459" s="111">
        <v>2</v>
      </c>
      <c r="AK459" s="112">
        <v>8.333333333333334</v>
      </c>
      <c r="AL459" s="111">
        <v>0</v>
      </c>
      <c r="AM459" s="112">
        <v>0</v>
      </c>
      <c r="AN459" s="111">
        <v>21</v>
      </c>
      <c r="AO459" s="112">
        <v>87.5</v>
      </c>
      <c r="AP459" s="111">
        <v>24</v>
      </c>
    </row>
    <row r="460" spans="1:42" ht="15">
      <c r="A460" s="65" t="s">
        <v>658</v>
      </c>
      <c r="B460" s="65" t="s">
        <v>786</v>
      </c>
      <c r="C460" s="66" t="s">
        <v>4509</v>
      </c>
      <c r="D460" s="67">
        <v>3</v>
      </c>
      <c r="E460" s="68"/>
      <c r="F460" s="69">
        <v>40</v>
      </c>
      <c r="G460" s="66"/>
      <c r="H460" s="70"/>
      <c r="I460" s="71"/>
      <c r="J460" s="71"/>
      <c r="K460" s="35" t="s">
        <v>65</v>
      </c>
      <c r="L460" s="79">
        <v>460</v>
      </c>
      <c r="M460" s="79"/>
      <c r="N460" s="73"/>
      <c r="O460" s="81" t="s">
        <v>788</v>
      </c>
      <c r="P460" s="81" t="s">
        <v>325</v>
      </c>
      <c r="Q460" s="84" t="s">
        <v>1246</v>
      </c>
      <c r="R460" s="81" t="s">
        <v>658</v>
      </c>
      <c r="S460" s="81" t="s">
        <v>1725</v>
      </c>
      <c r="T460" s="86" t="str">
        <f>HYPERLINK("http://www.youtube.com/channel/UCYosfwULRd5rJhnVNVvUU8g")</f>
        <v>http://www.youtube.com/channel/UCYosfwULRd5rJhnVNVvUU8g</v>
      </c>
      <c r="U460" s="81"/>
      <c r="V460" s="81" t="s">
        <v>1885</v>
      </c>
      <c r="W460" s="86" t="str">
        <f>HYPERLINK("https://www.youtube.com/watch?v=wadBvDPeE4E")</f>
        <v>https://www.youtube.com/watch?v=wadBvDPeE4E</v>
      </c>
      <c r="X460" s="81" t="s">
        <v>1886</v>
      </c>
      <c r="Y460" s="81">
        <v>7</v>
      </c>
      <c r="Z460" s="88">
        <v>42856.341840277775</v>
      </c>
      <c r="AA460" s="88">
        <v>42856.341840277775</v>
      </c>
      <c r="AB460" s="81"/>
      <c r="AC460" s="81"/>
      <c r="AD460" s="84" t="s">
        <v>1927</v>
      </c>
      <c r="AE460" s="82">
        <v>1</v>
      </c>
      <c r="AF460" s="83" t="str">
        <f>REPLACE(INDEX(GroupVertices[Group],MATCH(Edges[[#This Row],[Vertex 1]],GroupVertices[Vertex],0)),1,1,"")</f>
        <v>1</v>
      </c>
      <c r="AG460" s="83" t="str">
        <f>REPLACE(INDEX(GroupVertices[Group],MATCH(Edges[[#This Row],[Vertex 2]],GroupVertices[Vertex],0)),1,1,"")</f>
        <v>1</v>
      </c>
      <c r="AH460" s="111">
        <v>1</v>
      </c>
      <c r="AI460" s="112">
        <v>11.11111111111111</v>
      </c>
      <c r="AJ460" s="111">
        <v>0</v>
      </c>
      <c r="AK460" s="112">
        <v>0</v>
      </c>
      <c r="AL460" s="111">
        <v>0</v>
      </c>
      <c r="AM460" s="112">
        <v>0</v>
      </c>
      <c r="AN460" s="111">
        <v>8</v>
      </c>
      <c r="AO460" s="112">
        <v>88.88888888888889</v>
      </c>
      <c r="AP460" s="111">
        <v>9</v>
      </c>
    </row>
    <row r="461" spans="1:42" ht="15">
      <c r="A461" s="65" t="s">
        <v>659</v>
      </c>
      <c r="B461" s="65" t="s">
        <v>786</v>
      </c>
      <c r="C461" s="66" t="s">
        <v>4509</v>
      </c>
      <c r="D461" s="67">
        <v>3</v>
      </c>
      <c r="E461" s="68"/>
      <c r="F461" s="69">
        <v>40</v>
      </c>
      <c r="G461" s="66"/>
      <c r="H461" s="70"/>
      <c r="I461" s="71"/>
      <c r="J461" s="71"/>
      <c r="K461" s="35" t="s">
        <v>65</v>
      </c>
      <c r="L461" s="79">
        <v>461</v>
      </c>
      <c r="M461" s="79"/>
      <c r="N461" s="73"/>
      <c r="O461" s="81" t="s">
        <v>788</v>
      </c>
      <c r="P461" s="81" t="s">
        <v>325</v>
      </c>
      <c r="Q461" s="84" t="s">
        <v>1247</v>
      </c>
      <c r="R461" s="81" t="s">
        <v>659</v>
      </c>
      <c r="S461" s="81" t="s">
        <v>1726</v>
      </c>
      <c r="T461" s="86" t="str">
        <f>HYPERLINK("http://www.youtube.com/channel/UC1cpHtPcdvqbw4DjatDYNuQ")</f>
        <v>http://www.youtube.com/channel/UC1cpHtPcdvqbw4DjatDYNuQ</v>
      </c>
      <c r="U461" s="81"/>
      <c r="V461" s="81" t="s">
        <v>1885</v>
      </c>
      <c r="W461" s="86" t="str">
        <f>HYPERLINK("https://www.youtube.com/watch?v=wadBvDPeE4E")</f>
        <v>https://www.youtube.com/watch?v=wadBvDPeE4E</v>
      </c>
      <c r="X461" s="81" t="s">
        <v>1886</v>
      </c>
      <c r="Y461" s="81">
        <v>0</v>
      </c>
      <c r="Z461" s="88">
        <v>42882.717210648145</v>
      </c>
      <c r="AA461" s="88">
        <v>42882.717210648145</v>
      </c>
      <c r="AB461" s="81"/>
      <c r="AC461" s="81"/>
      <c r="AD461" s="84" t="s">
        <v>1927</v>
      </c>
      <c r="AE461" s="82">
        <v>1</v>
      </c>
      <c r="AF461" s="83" t="str">
        <f>REPLACE(INDEX(GroupVertices[Group],MATCH(Edges[[#This Row],[Vertex 1]],GroupVertices[Vertex],0)),1,1,"")</f>
        <v>1</v>
      </c>
      <c r="AG461" s="83" t="str">
        <f>REPLACE(INDEX(GroupVertices[Group],MATCH(Edges[[#This Row],[Vertex 2]],GroupVertices[Vertex],0)),1,1,"")</f>
        <v>1</v>
      </c>
      <c r="AH461" s="111">
        <v>0</v>
      </c>
      <c r="AI461" s="112">
        <v>0</v>
      </c>
      <c r="AJ461" s="111">
        <v>0</v>
      </c>
      <c r="AK461" s="112">
        <v>0</v>
      </c>
      <c r="AL461" s="111">
        <v>0</v>
      </c>
      <c r="AM461" s="112">
        <v>0</v>
      </c>
      <c r="AN461" s="111">
        <v>4</v>
      </c>
      <c r="AO461" s="112">
        <v>100</v>
      </c>
      <c r="AP461" s="111">
        <v>4</v>
      </c>
    </row>
    <row r="462" spans="1:42" ht="15">
      <c r="A462" s="65" t="s">
        <v>660</v>
      </c>
      <c r="B462" s="65" t="s">
        <v>786</v>
      </c>
      <c r="C462" s="66" t="s">
        <v>4509</v>
      </c>
      <c r="D462" s="67">
        <v>3</v>
      </c>
      <c r="E462" s="68"/>
      <c r="F462" s="69">
        <v>40</v>
      </c>
      <c r="G462" s="66"/>
      <c r="H462" s="70"/>
      <c r="I462" s="71"/>
      <c r="J462" s="71"/>
      <c r="K462" s="35" t="s">
        <v>65</v>
      </c>
      <c r="L462" s="79">
        <v>462</v>
      </c>
      <c r="M462" s="79"/>
      <c r="N462" s="73"/>
      <c r="O462" s="81" t="s">
        <v>788</v>
      </c>
      <c r="P462" s="81" t="s">
        <v>325</v>
      </c>
      <c r="Q462" s="84" t="s">
        <v>1248</v>
      </c>
      <c r="R462" s="81" t="s">
        <v>660</v>
      </c>
      <c r="S462" s="81" t="s">
        <v>1727</v>
      </c>
      <c r="T462" s="86" t="str">
        <f>HYPERLINK("http://www.youtube.com/channel/UCEDx-O32BKm9e3gEKO0t03w")</f>
        <v>http://www.youtube.com/channel/UCEDx-O32BKm9e3gEKO0t03w</v>
      </c>
      <c r="U462" s="81"/>
      <c r="V462" s="81" t="s">
        <v>1885</v>
      </c>
      <c r="W462" s="86" t="str">
        <f>HYPERLINK("https://www.youtube.com/watch?v=wadBvDPeE4E")</f>
        <v>https://www.youtube.com/watch?v=wadBvDPeE4E</v>
      </c>
      <c r="X462" s="81" t="s">
        <v>1886</v>
      </c>
      <c r="Y462" s="81">
        <v>0</v>
      </c>
      <c r="Z462" s="88">
        <v>42908.20921296296</v>
      </c>
      <c r="AA462" s="88">
        <v>42908.20921296296</v>
      </c>
      <c r="AB462" s="81"/>
      <c r="AC462" s="81"/>
      <c r="AD462" s="84" t="s">
        <v>1927</v>
      </c>
      <c r="AE462" s="82">
        <v>1</v>
      </c>
      <c r="AF462" s="83" t="str">
        <f>REPLACE(INDEX(GroupVertices[Group],MATCH(Edges[[#This Row],[Vertex 1]],GroupVertices[Vertex],0)),1,1,"")</f>
        <v>1</v>
      </c>
      <c r="AG462" s="83" t="str">
        <f>REPLACE(INDEX(GroupVertices[Group],MATCH(Edges[[#This Row],[Vertex 2]],GroupVertices[Vertex],0)),1,1,"")</f>
        <v>1</v>
      </c>
      <c r="AH462" s="111">
        <v>0</v>
      </c>
      <c r="AI462" s="112">
        <v>0</v>
      </c>
      <c r="AJ462" s="111">
        <v>0</v>
      </c>
      <c r="AK462" s="112">
        <v>0</v>
      </c>
      <c r="AL462" s="111">
        <v>0</v>
      </c>
      <c r="AM462" s="112">
        <v>0</v>
      </c>
      <c r="AN462" s="111">
        <v>6</v>
      </c>
      <c r="AO462" s="112">
        <v>100</v>
      </c>
      <c r="AP462" s="111">
        <v>6</v>
      </c>
    </row>
    <row r="463" spans="1:42" ht="15">
      <c r="A463" s="65" t="s">
        <v>661</v>
      </c>
      <c r="B463" s="65" t="s">
        <v>786</v>
      </c>
      <c r="C463" s="66" t="s">
        <v>4509</v>
      </c>
      <c r="D463" s="67">
        <v>3</v>
      </c>
      <c r="E463" s="68"/>
      <c r="F463" s="69">
        <v>40</v>
      </c>
      <c r="G463" s="66"/>
      <c r="H463" s="70"/>
      <c r="I463" s="71"/>
      <c r="J463" s="71"/>
      <c r="K463" s="35" t="s">
        <v>65</v>
      </c>
      <c r="L463" s="79">
        <v>463</v>
      </c>
      <c r="M463" s="79"/>
      <c r="N463" s="73"/>
      <c r="O463" s="81" t="s">
        <v>788</v>
      </c>
      <c r="P463" s="81" t="s">
        <v>325</v>
      </c>
      <c r="Q463" s="84" t="s">
        <v>1249</v>
      </c>
      <c r="R463" s="81" t="s">
        <v>661</v>
      </c>
      <c r="S463" s="81" t="s">
        <v>1728</v>
      </c>
      <c r="T463" s="86" t="str">
        <f>HYPERLINK("http://www.youtube.com/channel/UCG8E5cWZEf-qkjlpZd9lfSQ")</f>
        <v>http://www.youtube.com/channel/UCG8E5cWZEf-qkjlpZd9lfSQ</v>
      </c>
      <c r="U463" s="81"/>
      <c r="V463" s="81" t="s">
        <v>1885</v>
      </c>
      <c r="W463" s="86" t="str">
        <f>HYPERLINK("https://www.youtube.com/watch?v=wadBvDPeE4E")</f>
        <v>https://www.youtube.com/watch?v=wadBvDPeE4E</v>
      </c>
      <c r="X463" s="81" t="s">
        <v>1886</v>
      </c>
      <c r="Y463" s="81">
        <v>0</v>
      </c>
      <c r="Z463" s="88">
        <v>43016.46792824074</v>
      </c>
      <c r="AA463" s="88">
        <v>43016.46792824074</v>
      </c>
      <c r="AB463" s="81" t="s">
        <v>1893</v>
      </c>
      <c r="AC463" s="81" t="s">
        <v>1924</v>
      </c>
      <c r="AD463" s="84" t="s">
        <v>1927</v>
      </c>
      <c r="AE463" s="82">
        <v>1</v>
      </c>
      <c r="AF463" s="83" t="str">
        <f>REPLACE(INDEX(GroupVertices[Group],MATCH(Edges[[#This Row],[Vertex 1]],GroupVertices[Vertex],0)),1,1,"")</f>
        <v>1</v>
      </c>
      <c r="AG463" s="83" t="str">
        <f>REPLACE(INDEX(GroupVertices[Group],MATCH(Edges[[#This Row],[Vertex 2]],GroupVertices[Vertex],0)),1,1,"")</f>
        <v>1</v>
      </c>
      <c r="AH463" s="111">
        <v>1</v>
      </c>
      <c r="AI463" s="112">
        <v>6.666666666666667</v>
      </c>
      <c r="AJ463" s="111">
        <v>0</v>
      </c>
      <c r="AK463" s="112">
        <v>0</v>
      </c>
      <c r="AL463" s="111">
        <v>0</v>
      </c>
      <c r="AM463" s="112">
        <v>0</v>
      </c>
      <c r="AN463" s="111">
        <v>14</v>
      </c>
      <c r="AO463" s="112">
        <v>93.33333333333333</v>
      </c>
      <c r="AP463" s="111">
        <v>15</v>
      </c>
    </row>
    <row r="464" spans="1:42" ht="15">
      <c r="A464" s="65" t="s">
        <v>662</v>
      </c>
      <c r="B464" s="65" t="s">
        <v>786</v>
      </c>
      <c r="C464" s="66" t="s">
        <v>4509</v>
      </c>
      <c r="D464" s="67">
        <v>3</v>
      </c>
      <c r="E464" s="68"/>
      <c r="F464" s="69">
        <v>40</v>
      </c>
      <c r="G464" s="66"/>
      <c r="H464" s="70"/>
      <c r="I464" s="71"/>
      <c r="J464" s="71"/>
      <c r="K464" s="35" t="s">
        <v>65</v>
      </c>
      <c r="L464" s="79">
        <v>464</v>
      </c>
      <c r="M464" s="79"/>
      <c r="N464" s="73"/>
      <c r="O464" s="81" t="s">
        <v>788</v>
      </c>
      <c r="P464" s="81" t="s">
        <v>325</v>
      </c>
      <c r="Q464" s="84" t="s">
        <v>1250</v>
      </c>
      <c r="R464" s="81" t="s">
        <v>662</v>
      </c>
      <c r="S464" s="81" t="s">
        <v>1729</v>
      </c>
      <c r="T464" s="86" t="str">
        <f>HYPERLINK("http://www.youtube.com/channel/UCtdquYxMrJ-jWXFxLSDQOwQ")</f>
        <v>http://www.youtube.com/channel/UCtdquYxMrJ-jWXFxLSDQOwQ</v>
      </c>
      <c r="U464" s="81"/>
      <c r="V464" s="81" t="s">
        <v>1885</v>
      </c>
      <c r="W464" s="86" t="str">
        <f>HYPERLINK("https://www.youtube.com/watch?v=wadBvDPeE4E")</f>
        <v>https://www.youtube.com/watch?v=wadBvDPeE4E</v>
      </c>
      <c r="X464" s="81" t="s">
        <v>1886</v>
      </c>
      <c r="Y464" s="81">
        <v>0</v>
      </c>
      <c r="Z464" s="88">
        <v>43023.26579861111</v>
      </c>
      <c r="AA464" s="88">
        <v>43023.26579861111</v>
      </c>
      <c r="AB464" s="81" t="s">
        <v>1894</v>
      </c>
      <c r="AC464" s="81" t="s">
        <v>1922</v>
      </c>
      <c r="AD464" s="84" t="s">
        <v>1927</v>
      </c>
      <c r="AE464" s="82">
        <v>1</v>
      </c>
      <c r="AF464" s="83" t="str">
        <f>REPLACE(INDEX(GroupVertices[Group],MATCH(Edges[[#This Row],[Vertex 1]],GroupVertices[Vertex],0)),1,1,"")</f>
        <v>1</v>
      </c>
      <c r="AG464" s="83" t="str">
        <f>REPLACE(INDEX(GroupVertices[Group],MATCH(Edges[[#This Row],[Vertex 2]],GroupVertices[Vertex],0)),1,1,"")</f>
        <v>1</v>
      </c>
      <c r="AH464" s="111">
        <v>0</v>
      </c>
      <c r="AI464" s="112">
        <v>0</v>
      </c>
      <c r="AJ464" s="111">
        <v>2</v>
      </c>
      <c r="AK464" s="112">
        <v>7.142857142857143</v>
      </c>
      <c r="AL464" s="111">
        <v>0</v>
      </c>
      <c r="AM464" s="112">
        <v>0</v>
      </c>
      <c r="AN464" s="111">
        <v>26</v>
      </c>
      <c r="AO464" s="112">
        <v>92.85714285714286</v>
      </c>
      <c r="AP464" s="111">
        <v>28</v>
      </c>
    </row>
    <row r="465" spans="1:42" ht="15">
      <c r="A465" s="65" t="s">
        <v>663</v>
      </c>
      <c r="B465" s="65" t="s">
        <v>786</v>
      </c>
      <c r="C465" s="66" t="s">
        <v>4516</v>
      </c>
      <c r="D465" s="67">
        <v>10</v>
      </c>
      <c r="E465" s="68"/>
      <c r="F465" s="69">
        <v>15</v>
      </c>
      <c r="G465" s="66"/>
      <c r="H465" s="70"/>
      <c r="I465" s="71"/>
      <c r="J465" s="71"/>
      <c r="K465" s="35" t="s">
        <v>65</v>
      </c>
      <c r="L465" s="79">
        <v>465</v>
      </c>
      <c r="M465" s="79"/>
      <c r="N465" s="73"/>
      <c r="O465" s="81" t="s">
        <v>788</v>
      </c>
      <c r="P465" s="81" t="s">
        <v>325</v>
      </c>
      <c r="Q465" s="84" t="s">
        <v>1251</v>
      </c>
      <c r="R465" s="81" t="s">
        <v>663</v>
      </c>
      <c r="S465" s="81" t="s">
        <v>1730</v>
      </c>
      <c r="T465" s="86" t="str">
        <f>HYPERLINK("http://www.youtube.com/channel/UCdgnAdBCJ1ZR4qv4wg0_seQ")</f>
        <v>http://www.youtube.com/channel/UCdgnAdBCJ1ZR4qv4wg0_seQ</v>
      </c>
      <c r="U465" s="81"/>
      <c r="V465" s="81" t="s">
        <v>1885</v>
      </c>
      <c r="W465" s="86" t="str">
        <f>HYPERLINK("https://www.youtube.com/watch?v=wadBvDPeE4E")</f>
        <v>https://www.youtube.com/watch?v=wadBvDPeE4E</v>
      </c>
      <c r="X465" s="81" t="s">
        <v>1886</v>
      </c>
      <c r="Y465" s="81">
        <v>0</v>
      </c>
      <c r="Z465" s="88">
        <v>42598.75346064815</v>
      </c>
      <c r="AA465" s="88">
        <v>42598.75346064815</v>
      </c>
      <c r="AB465" s="81" t="s">
        <v>1895</v>
      </c>
      <c r="AC465" s="81" t="s">
        <v>1922</v>
      </c>
      <c r="AD465" s="84" t="s">
        <v>1927</v>
      </c>
      <c r="AE465" s="82">
        <v>12</v>
      </c>
      <c r="AF465" s="83" t="str">
        <f>REPLACE(INDEX(GroupVertices[Group],MATCH(Edges[[#This Row],[Vertex 1]],GroupVertices[Vertex],0)),1,1,"")</f>
        <v>1</v>
      </c>
      <c r="AG465" s="83" t="str">
        <f>REPLACE(INDEX(GroupVertices[Group],MATCH(Edges[[#This Row],[Vertex 2]],GroupVertices[Vertex],0)),1,1,"")</f>
        <v>1</v>
      </c>
      <c r="AH465" s="111">
        <v>0</v>
      </c>
      <c r="AI465" s="112">
        <v>0</v>
      </c>
      <c r="AJ465" s="111">
        <v>0</v>
      </c>
      <c r="AK465" s="112">
        <v>0</v>
      </c>
      <c r="AL465" s="111">
        <v>0</v>
      </c>
      <c r="AM465" s="112">
        <v>0</v>
      </c>
      <c r="AN465" s="111">
        <v>15</v>
      </c>
      <c r="AO465" s="112">
        <v>100</v>
      </c>
      <c r="AP465" s="111">
        <v>15</v>
      </c>
    </row>
    <row r="466" spans="1:42" ht="15">
      <c r="A466" s="65" t="s">
        <v>663</v>
      </c>
      <c r="B466" s="65" t="s">
        <v>786</v>
      </c>
      <c r="C466" s="66" t="s">
        <v>4516</v>
      </c>
      <c r="D466" s="67">
        <v>10</v>
      </c>
      <c r="E466" s="68"/>
      <c r="F466" s="69">
        <v>15</v>
      </c>
      <c r="G466" s="66"/>
      <c r="H466" s="70"/>
      <c r="I466" s="71"/>
      <c r="J466" s="71"/>
      <c r="K466" s="35" t="s">
        <v>65</v>
      </c>
      <c r="L466" s="79">
        <v>466</v>
      </c>
      <c r="M466" s="79"/>
      <c r="N466" s="73"/>
      <c r="O466" s="81" t="s">
        <v>788</v>
      </c>
      <c r="P466" s="81" t="s">
        <v>325</v>
      </c>
      <c r="Q466" s="84" t="s">
        <v>1252</v>
      </c>
      <c r="R466" s="81" t="s">
        <v>663</v>
      </c>
      <c r="S466" s="81" t="s">
        <v>1730</v>
      </c>
      <c r="T466" s="86" t="str">
        <f>HYPERLINK("http://www.youtube.com/channel/UCdgnAdBCJ1ZR4qv4wg0_seQ")</f>
        <v>http://www.youtube.com/channel/UCdgnAdBCJ1ZR4qv4wg0_seQ</v>
      </c>
      <c r="U466" s="81"/>
      <c r="V466" s="81" t="s">
        <v>1885</v>
      </c>
      <c r="W466" s="86" t="str">
        <f>HYPERLINK("https://www.youtube.com/watch?v=wadBvDPeE4E")</f>
        <v>https://www.youtube.com/watch?v=wadBvDPeE4E</v>
      </c>
      <c r="X466" s="81" t="s">
        <v>1886</v>
      </c>
      <c r="Y466" s="81">
        <v>0</v>
      </c>
      <c r="Z466" s="88">
        <v>42598.76541666667</v>
      </c>
      <c r="AA466" s="88">
        <v>42598.76541666667</v>
      </c>
      <c r="AB466" s="81" t="s">
        <v>1896</v>
      </c>
      <c r="AC466" s="81" t="s">
        <v>1922</v>
      </c>
      <c r="AD466" s="84" t="s">
        <v>1927</v>
      </c>
      <c r="AE466" s="82">
        <v>12</v>
      </c>
      <c r="AF466" s="83" t="str">
        <f>REPLACE(INDEX(GroupVertices[Group],MATCH(Edges[[#This Row],[Vertex 1]],GroupVertices[Vertex],0)),1,1,"")</f>
        <v>1</v>
      </c>
      <c r="AG466" s="83" t="str">
        <f>REPLACE(INDEX(GroupVertices[Group],MATCH(Edges[[#This Row],[Vertex 2]],GroupVertices[Vertex],0)),1,1,"")</f>
        <v>1</v>
      </c>
      <c r="AH466" s="111">
        <v>0</v>
      </c>
      <c r="AI466" s="112">
        <v>0</v>
      </c>
      <c r="AJ466" s="111">
        <v>0</v>
      </c>
      <c r="AK466" s="112">
        <v>0</v>
      </c>
      <c r="AL466" s="111">
        <v>0</v>
      </c>
      <c r="AM466" s="112">
        <v>0</v>
      </c>
      <c r="AN466" s="111">
        <v>15</v>
      </c>
      <c r="AO466" s="112">
        <v>100</v>
      </c>
      <c r="AP466" s="111">
        <v>15</v>
      </c>
    </row>
    <row r="467" spans="1:42" ht="15">
      <c r="A467" s="65" t="s">
        <v>663</v>
      </c>
      <c r="B467" s="65" t="s">
        <v>786</v>
      </c>
      <c r="C467" s="66" t="s">
        <v>4516</v>
      </c>
      <c r="D467" s="67">
        <v>10</v>
      </c>
      <c r="E467" s="68"/>
      <c r="F467" s="69">
        <v>15</v>
      </c>
      <c r="G467" s="66"/>
      <c r="H467" s="70"/>
      <c r="I467" s="71"/>
      <c r="J467" s="71"/>
      <c r="K467" s="35" t="s">
        <v>65</v>
      </c>
      <c r="L467" s="79">
        <v>467</v>
      </c>
      <c r="M467" s="79"/>
      <c r="N467" s="73"/>
      <c r="O467" s="81" t="s">
        <v>788</v>
      </c>
      <c r="P467" s="81" t="s">
        <v>325</v>
      </c>
      <c r="Q467" s="84" t="s">
        <v>1253</v>
      </c>
      <c r="R467" s="81" t="s">
        <v>663</v>
      </c>
      <c r="S467" s="81" t="s">
        <v>1730</v>
      </c>
      <c r="T467" s="86" t="str">
        <f>HYPERLINK("http://www.youtube.com/channel/UCdgnAdBCJ1ZR4qv4wg0_seQ")</f>
        <v>http://www.youtube.com/channel/UCdgnAdBCJ1ZR4qv4wg0_seQ</v>
      </c>
      <c r="U467" s="81"/>
      <c r="V467" s="81" t="s">
        <v>1885</v>
      </c>
      <c r="W467" s="86" t="str">
        <f>HYPERLINK("https://www.youtube.com/watch?v=wadBvDPeE4E")</f>
        <v>https://www.youtube.com/watch?v=wadBvDPeE4E</v>
      </c>
      <c r="X467" s="81" t="s">
        <v>1886</v>
      </c>
      <c r="Y467" s="81">
        <v>0</v>
      </c>
      <c r="Z467" s="88">
        <v>42600.340092592596</v>
      </c>
      <c r="AA467" s="88">
        <v>42600.340092592596</v>
      </c>
      <c r="AB467" s="81" t="s">
        <v>1897</v>
      </c>
      <c r="AC467" s="81" t="s">
        <v>1922</v>
      </c>
      <c r="AD467" s="84" t="s">
        <v>1927</v>
      </c>
      <c r="AE467" s="82">
        <v>12</v>
      </c>
      <c r="AF467" s="83" t="str">
        <f>REPLACE(INDEX(GroupVertices[Group],MATCH(Edges[[#This Row],[Vertex 1]],GroupVertices[Vertex],0)),1,1,"")</f>
        <v>1</v>
      </c>
      <c r="AG467" s="83" t="str">
        <f>REPLACE(INDEX(GroupVertices[Group],MATCH(Edges[[#This Row],[Vertex 2]],GroupVertices[Vertex],0)),1,1,"")</f>
        <v>1</v>
      </c>
      <c r="AH467" s="111">
        <v>0</v>
      </c>
      <c r="AI467" s="112">
        <v>0</v>
      </c>
      <c r="AJ467" s="111">
        <v>0</v>
      </c>
      <c r="AK467" s="112">
        <v>0</v>
      </c>
      <c r="AL467" s="111">
        <v>0</v>
      </c>
      <c r="AM467" s="112">
        <v>0</v>
      </c>
      <c r="AN467" s="111">
        <v>15</v>
      </c>
      <c r="AO467" s="112">
        <v>100</v>
      </c>
      <c r="AP467" s="111">
        <v>15</v>
      </c>
    </row>
    <row r="468" spans="1:42" ht="15">
      <c r="A468" s="65" t="s">
        <v>663</v>
      </c>
      <c r="B468" s="65" t="s">
        <v>786</v>
      </c>
      <c r="C468" s="66" t="s">
        <v>4516</v>
      </c>
      <c r="D468" s="67">
        <v>10</v>
      </c>
      <c r="E468" s="68"/>
      <c r="F468" s="69">
        <v>15</v>
      </c>
      <c r="G468" s="66"/>
      <c r="H468" s="70"/>
      <c r="I468" s="71"/>
      <c r="J468" s="71"/>
      <c r="K468" s="35" t="s">
        <v>65</v>
      </c>
      <c r="L468" s="79">
        <v>468</v>
      </c>
      <c r="M468" s="79"/>
      <c r="N468" s="73"/>
      <c r="O468" s="81" t="s">
        <v>788</v>
      </c>
      <c r="P468" s="81" t="s">
        <v>325</v>
      </c>
      <c r="Q468" s="84" t="s">
        <v>1254</v>
      </c>
      <c r="R468" s="81" t="s">
        <v>663</v>
      </c>
      <c r="S468" s="81" t="s">
        <v>1730</v>
      </c>
      <c r="T468" s="86" t="str">
        <f>HYPERLINK("http://www.youtube.com/channel/UCdgnAdBCJ1ZR4qv4wg0_seQ")</f>
        <v>http://www.youtube.com/channel/UCdgnAdBCJ1ZR4qv4wg0_seQ</v>
      </c>
      <c r="U468" s="81"/>
      <c r="V468" s="81" t="s">
        <v>1885</v>
      </c>
      <c r="W468" s="86" t="str">
        <f>HYPERLINK("https://www.youtube.com/watch?v=wadBvDPeE4E")</f>
        <v>https://www.youtube.com/watch?v=wadBvDPeE4E</v>
      </c>
      <c r="X468" s="81" t="s">
        <v>1886</v>
      </c>
      <c r="Y468" s="81">
        <v>0</v>
      </c>
      <c r="Z468" s="88">
        <v>42603.048796296294</v>
      </c>
      <c r="AA468" s="88">
        <v>42603.048796296294</v>
      </c>
      <c r="AB468" s="81" t="s">
        <v>1898</v>
      </c>
      <c r="AC468" s="81" t="s">
        <v>1922</v>
      </c>
      <c r="AD468" s="84" t="s">
        <v>1927</v>
      </c>
      <c r="AE468" s="82">
        <v>12</v>
      </c>
      <c r="AF468" s="83" t="str">
        <f>REPLACE(INDEX(GroupVertices[Group],MATCH(Edges[[#This Row],[Vertex 1]],GroupVertices[Vertex],0)),1,1,"")</f>
        <v>1</v>
      </c>
      <c r="AG468" s="83" t="str">
        <f>REPLACE(INDEX(GroupVertices[Group],MATCH(Edges[[#This Row],[Vertex 2]],GroupVertices[Vertex],0)),1,1,"")</f>
        <v>1</v>
      </c>
      <c r="AH468" s="111">
        <v>0</v>
      </c>
      <c r="AI468" s="112">
        <v>0</v>
      </c>
      <c r="AJ468" s="111">
        <v>0</v>
      </c>
      <c r="AK468" s="112">
        <v>0</v>
      </c>
      <c r="AL468" s="111">
        <v>0</v>
      </c>
      <c r="AM468" s="112">
        <v>0</v>
      </c>
      <c r="AN468" s="111">
        <v>15</v>
      </c>
      <c r="AO468" s="112">
        <v>100</v>
      </c>
      <c r="AP468" s="111">
        <v>15</v>
      </c>
    </row>
    <row r="469" spans="1:42" ht="15">
      <c r="A469" s="65" t="s">
        <v>663</v>
      </c>
      <c r="B469" s="65" t="s">
        <v>786</v>
      </c>
      <c r="C469" s="66" t="s">
        <v>4516</v>
      </c>
      <c r="D469" s="67">
        <v>10</v>
      </c>
      <c r="E469" s="68"/>
      <c r="F469" s="69">
        <v>15</v>
      </c>
      <c r="G469" s="66"/>
      <c r="H469" s="70"/>
      <c r="I469" s="71"/>
      <c r="J469" s="71"/>
      <c r="K469" s="35" t="s">
        <v>65</v>
      </c>
      <c r="L469" s="79">
        <v>469</v>
      </c>
      <c r="M469" s="79"/>
      <c r="N469" s="73"/>
      <c r="O469" s="81" t="s">
        <v>788</v>
      </c>
      <c r="P469" s="81" t="s">
        <v>325</v>
      </c>
      <c r="Q469" s="84" t="s">
        <v>1255</v>
      </c>
      <c r="R469" s="81" t="s">
        <v>663</v>
      </c>
      <c r="S469" s="81" t="s">
        <v>1730</v>
      </c>
      <c r="T469" s="86" t="str">
        <f>HYPERLINK("http://www.youtube.com/channel/UCdgnAdBCJ1ZR4qv4wg0_seQ")</f>
        <v>http://www.youtube.com/channel/UCdgnAdBCJ1ZR4qv4wg0_seQ</v>
      </c>
      <c r="U469" s="81"/>
      <c r="V469" s="81" t="s">
        <v>1885</v>
      </c>
      <c r="W469" s="86" t="str">
        <f>HYPERLINK("https://www.youtube.com/watch?v=wadBvDPeE4E")</f>
        <v>https://www.youtube.com/watch?v=wadBvDPeE4E</v>
      </c>
      <c r="X469" s="81" t="s">
        <v>1886</v>
      </c>
      <c r="Y469" s="81">
        <v>0</v>
      </c>
      <c r="Z469" s="88">
        <v>42609.19744212963</v>
      </c>
      <c r="AA469" s="88">
        <v>42609.19744212963</v>
      </c>
      <c r="AB469" s="81" t="s">
        <v>1899</v>
      </c>
      <c r="AC469" s="81" t="s">
        <v>1922</v>
      </c>
      <c r="AD469" s="84" t="s">
        <v>1927</v>
      </c>
      <c r="AE469" s="82">
        <v>12</v>
      </c>
      <c r="AF469" s="83" t="str">
        <f>REPLACE(INDEX(GroupVertices[Group],MATCH(Edges[[#This Row],[Vertex 1]],GroupVertices[Vertex],0)),1,1,"")</f>
        <v>1</v>
      </c>
      <c r="AG469" s="83" t="str">
        <f>REPLACE(INDEX(GroupVertices[Group],MATCH(Edges[[#This Row],[Vertex 2]],GroupVertices[Vertex],0)),1,1,"")</f>
        <v>1</v>
      </c>
      <c r="AH469" s="111">
        <v>0</v>
      </c>
      <c r="AI469" s="112">
        <v>0</v>
      </c>
      <c r="AJ469" s="111">
        <v>0</v>
      </c>
      <c r="AK469" s="112">
        <v>0</v>
      </c>
      <c r="AL469" s="111">
        <v>0</v>
      </c>
      <c r="AM469" s="112">
        <v>0</v>
      </c>
      <c r="AN469" s="111">
        <v>15</v>
      </c>
      <c r="AO469" s="112">
        <v>100</v>
      </c>
      <c r="AP469" s="111">
        <v>15</v>
      </c>
    </row>
    <row r="470" spans="1:42" ht="15">
      <c r="A470" s="65" t="s">
        <v>663</v>
      </c>
      <c r="B470" s="65" t="s">
        <v>786</v>
      </c>
      <c r="C470" s="66" t="s">
        <v>4516</v>
      </c>
      <c r="D470" s="67">
        <v>10</v>
      </c>
      <c r="E470" s="68"/>
      <c r="F470" s="69">
        <v>15</v>
      </c>
      <c r="G470" s="66"/>
      <c r="H470" s="70"/>
      <c r="I470" s="71"/>
      <c r="J470" s="71"/>
      <c r="K470" s="35" t="s">
        <v>65</v>
      </c>
      <c r="L470" s="79">
        <v>470</v>
      </c>
      <c r="M470" s="79"/>
      <c r="N470" s="73"/>
      <c r="O470" s="81" t="s">
        <v>788</v>
      </c>
      <c r="P470" s="81" t="s">
        <v>325</v>
      </c>
      <c r="Q470" s="84" t="s">
        <v>1256</v>
      </c>
      <c r="R470" s="81" t="s">
        <v>663</v>
      </c>
      <c r="S470" s="81" t="s">
        <v>1730</v>
      </c>
      <c r="T470" s="86" t="str">
        <f>HYPERLINK("http://www.youtube.com/channel/UCdgnAdBCJ1ZR4qv4wg0_seQ")</f>
        <v>http://www.youtube.com/channel/UCdgnAdBCJ1ZR4qv4wg0_seQ</v>
      </c>
      <c r="U470" s="81"/>
      <c r="V470" s="81" t="s">
        <v>1885</v>
      </c>
      <c r="W470" s="86" t="str">
        <f>HYPERLINK("https://www.youtube.com/watch?v=wadBvDPeE4E")</f>
        <v>https://www.youtube.com/watch?v=wadBvDPeE4E</v>
      </c>
      <c r="X470" s="81" t="s">
        <v>1886</v>
      </c>
      <c r="Y470" s="81">
        <v>0</v>
      </c>
      <c r="Z470" s="88">
        <v>42609.19856481482</v>
      </c>
      <c r="AA470" s="88">
        <v>42609.19856481482</v>
      </c>
      <c r="AB470" s="81" t="s">
        <v>1900</v>
      </c>
      <c r="AC470" s="81" t="s">
        <v>1922</v>
      </c>
      <c r="AD470" s="84" t="s">
        <v>1927</v>
      </c>
      <c r="AE470" s="82">
        <v>12</v>
      </c>
      <c r="AF470" s="83" t="str">
        <f>REPLACE(INDEX(GroupVertices[Group],MATCH(Edges[[#This Row],[Vertex 1]],GroupVertices[Vertex],0)),1,1,"")</f>
        <v>1</v>
      </c>
      <c r="AG470" s="83" t="str">
        <f>REPLACE(INDEX(GroupVertices[Group],MATCH(Edges[[#This Row],[Vertex 2]],GroupVertices[Vertex],0)),1,1,"")</f>
        <v>1</v>
      </c>
      <c r="AH470" s="111">
        <v>0</v>
      </c>
      <c r="AI470" s="112">
        <v>0</v>
      </c>
      <c r="AJ470" s="111">
        <v>0</v>
      </c>
      <c r="AK470" s="112">
        <v>0</v>
      </c>
      <c r="AL470" s="111">
        <v>0</v>
      </c>
      <c r="AM470" s="112">
        <v>0</v>
      </c>
      <c r="AN470" s="111">
        <v>15</v>
      </c>
      <c r="AO470" s="112">
        <v>100</v>
      </c>
      <c r="AP470" s="111">
        <v>15</v>
      </c>
    </row>
    <row r="471" spans="1:42" ht="15">
      <c r="A471" s="65" t="s">
        <v>663</v>
      </c>
      <c r="B471" s="65" t="s">
        <v>786</v>
      </c>
      <c r="C471" s="66" t="s">
        <v>4516</v>
      </c>
      <c r="D471" s="67">
        <v>10</v>
      </c>
      <c r="E471" s="68"/>
      <c r="F471" s="69">
        <v>15</v>
      </c>
      <c r="G471" s="66"/>
      <c r="H471" s="70"/>
      <c r="I471" s="71"/>
      <c r="J471" s="71"/>
      <c r="K471" s="35" t="s">
        <v>65</v>
      </c>
      <c r="L471" s="79">
        <v>471</v>
      </c>
      <c r="M471" s="79"/>
      <c r="N471" s="73"/>
      <c r="O471" s="81" t="s">
        <v>788</v>
      </c>
      <c r="P471" s="81" t="s">
        <v>325</v>
      </c>
      <c r="Q471" s="84" t="s">
        <v>1257</v>
      </c>
      <c r="R471" s="81" t="s">
        <v>663</v>
      </c>
      <c r="S471" s="81" t="s">
        <v>1730</v>
      </c>
      <c r="T471" s="86" t="str">
        <f>HYPERLINK("http://www.youtube.com/channel/UCdgnAdBCJ1ZR4qv4wg0_seQ")</f>
        <v>http://www.youtube.com/channel/UCdgnAdBCJ1ZR4qv4wg0_seQ</v>
      </c>
      <c r="U471" s="81"/>
      <c r="V471" s="81" t="s">
        <v>1885</v>
      </c>
      <c r="W471" s="86" t="str">
        <f>HYPERLINK("https://www.youtube.com/watch?v=wadBvDPeE4E")</f>
        <v>https://www.youtube.com/watch?v=wadBvDPeE4E</v>
      </c>
      <c r="X471" s="81" t="s">
        <v>1886</v>
      </c>
      <c r="Y471" s="81">
        <v>0</v>
      </c>
      <c r="Z471" s="88">
        <v>42619.95892361111</v>
      </c>
      <c r="AA471" s="88">
        <v>42619.95892361111</v>
      </c>
      <c r="AB471" s="81" t="s">
        <v>1901</v>
      </c>
      <c r="AC471" s="81" t="s">
        <v>1922</v>
      </c>
      <c r="AD471" s="84" t="s">
        <v>1927</v>
      </c>
      <c r="AE471" s="82">
        <v>12</v>
      </c>
      <c r="AF471" s="83" t="str">
        <f>REPLACE(INDEX(GroupVertices[Group],MATCH(Edges[[#This Row],[Vertex 1]],GroupVertices[Vertex],0)),1,1,"")</f>
        <v>1</v>
      </c>
      <c r="AG471" s="83" t="str">
        <f>REPLACE(INDEX(GroupVertices[Group],MATCH(Edges[[#This Row],[Vertex 2]],GroupVertices[Vertex],0)),1,1,"")</f>
        <v>1</v>
      </c>
      <c r="AH471" s="111">
        <v>0</v>
      </c>
      <c r="AI471" s="112">
        <v>0</v>
      </c>
      <c r="AJ471" s="111">
        <v>0</v>
      </c>
      <c r="AK471" s="112">
        <v>0</v>
      </c>
      <c r="AL471" s="111">
        <v>0</v>
      </c>
      <c r="AM471" s="112">
        <v>0</v>
      </c>
      <c r="AN471" s="111">
        <v>15</v>
      </c>
      <c r="AO471" s="112">
        <v>100</v>
      </c>
      <c r="AP471" s="111">
        <v>15</v>
      </c>
    </row>
    <row r="472" spans="1:42" ht="15">
      <c r="A472" s="65" t="s">
        <v>663</v>
      </c>
      <c r="B472" s="65" t="s">
        <v>786</v>
      </c>
      <c r="C472" s="66" t="s">
        <v>4516</v>
      </c>
      <c r="D472" s="67">
        <v>10</v>
      </c>
      <c r="E472" s="68"/>
      <c r="F472" s="69">
        <v>15</v>
      </c>
      <c r="G472" s="66"/>
      <c r="H472" s="70"/>
      <c r="I472" s="71"/>
      <c r="J472" s="71"/>
      <c r="K472" s="35" t="s">
        <v>65</v>
      </c>
      <c r="L472" s="79">
        <v>472</v>
      </c>
      <c r="M472" s="79"/>
      <c r="N472" s="73"/>
      <c r="O472" s="81" t="s">
        <v>788</v>
      </c>
      <c r="P472" s="81" t="s">
        <v>325</v>
      </c>
      <c r="Q472" s="84" t="s">
        <v>1258</v>
      </c>
      <c r="R472" s="81" t="s">
        <v>663</v>
      </c>
      <c r="S472" s="81" t="s">
        <v>1730</v>
      </c>
      <c r="T472" s="86" t="str">
        <f>HYPERLINK("http://www.youtube.com/channel/UCdgnAdBCJ1ZR4qv4wg0_seQ")</f>
        <v>http://www.youtube.com/channel/UCdgnAdBCJ1ZR4qv4wg0_seQ</v>
      </c>
      <c r="U472" s="81"/>
      <c r="V472" s="81" t="s">
        <v>1885</v>
      </c>
      <c r="W472" s="86" t="str">
        <f>HYPERLINK("https://www.youtube.com/watch?v=wadBvDPeE4E")</f>
        <v>https://www.youtube.com/watch?v=wadBvDPeE4E</v>
      </c>
      <c r="X472" s="81" t="s">
        <v>1886</v>
      </c>
      <c r="Y472" s="81">
        <v>0</v>
      </c>
      <c r="Z472" s="88">
        <v>43017.49649305556</v>
      </c>
      <c r="AA472" s="88">
        <v>43017.49649305556</v>
      </c>
      <c r="AB472" s="81" t="s">
        <v>1902</v>
      </c>
      <c r="AC472" s="81" t="s">
        <v>1922</v>
      </c>
      <c r="AD472" s="84" t="s">
        <v>1927</v>
      </c>
      <c r="AE472" s="82">
        <v>12</v>
      </c>
      <c r="AF472" s="83" t="str">
        <f>REPLACE(INDEX(GroupVertices[Group],MATCH(Edges[[#This Row],[Vertex 1]],GroupVertices[Vertex],0)),1,1,"")</f>
        <v>1</v>
      </c>
      <c r="AG472" s="83" t="str">
        <f>REPLACE(INDEX(GroupVertices[Group],MATCH(Edges[[#This Row],[Vertex 2]],GroupVertices[Vertex],0)),1,1,"")</f>
        <v>1</v>
      </c>
      <c r="AH472" s="111">
        <v>0</v>
      </c>
      <c r="AI472" s="112">
        <v>0</v>
      </c>
      <c r="AJ472" s="111">
        <v>0</v>
      </c>
      <c r="AK472" s="112">
        <v>0</v>
      </c>
      <c r="AL472" s="111">
        <v>0</v>
      </c>
      <c r="AM472" s="112">
        <v>0</v>
      </c>
      <c r="AN472" s="111">
        <v>15</v>
      </c>
      <c r="AO472" s="112">
        <v>100</v>
      </c>
      <c r="AP472" s="111">
        <v>15</v>
      </c>
    </row>
    <row r="473" spans="1:42" ht="15">
      <c r="A473" s="65" t="s">
        <v>663</v>
      </c>
      <c r="B473" s="65" t="s">
        <v>786</v>
      </c>
      <c r="C473" s="66" t="s">
        <v>4516</v>
      </c>
      <c r="D473" s="67">
        <v>10</v>
      </c>
      <c r="E473" s="68"/>
      <c r="F473" s="69">
        <v>15</v>
      </c>
      <c r="G473" s="66"/>
      <c r="H473" s="70"/>
      <c r="I473" s="71"/>
      <c r="J473" s="71"/>
      <c r="K473" s="35" t="s">
        <v>65</v>
      </c>
      <c r="L473" s="79">
        <v>473</v>
      </c>
      <c r="M473" s="79"/>
      <c r="N473" s="73"/>
      <c r="O473" s="81" t="s">
        <v>788</v>
      </c>
      <c r="P473" s="81" t="s">
        <v>325</v>
      </c>
      <c r="Q473" s="84" t="s">
        <v>1259</v>
      </c>
      <c r="R473" s="81" t="s">
        <v>663</v>
      </c>
      <c r="S473" s="81" t="s">
        <v>1730</v>
      </c>
      <c r="T473" s="86" t="str">
        <f>HYPERLINK("http://www.youtube.com/channel/UCdgnAdBCJ1ZR4qv4wg0_seQ")</f>
        <v>http://www.youtube.com/channel/UCdgnAdBCJ1ZR4qv4wg0_seQ</v>
      </c>
      <c r="U473" s="81"/>
      <c r="V473" s="81" t="s">
        <v>1885</v>
      </c>
      <c r="W473" s="86" t="str">
        <f>HYPERLINK("https://www.youtube.com/watch?v=wadBvDPeE4E")</f>
        <v>https://www.youtube.com/watch?v=wadBvDPeE4E</v>
      </c>
      <c r="X473" s="81" t="s">
        <v>1886</v>
      </c>
      <c r="Y473" s="81">
        <v>0</v>
      </c>
      <c r="Z473" s="88">
        <v>43022.22258101852</v>
      </c>
      <c r="AA473" s="88">
        <v>43022.22258101852</v>
      </c>
      <c r="AB473" s="81" t="s">
        <v>1903</v>
      </c>
      <c r="AC473" s="81" t="s">
        <v>1922</v>
      </c>
      <c r="AD473" s="84" t="s">
        <v>1927</v>
      </c>
      <c r="AE473" s="82">
        <v>12</v>
      </c>
      <c r="AF473" s="83" t="str">
        <f>REPLACE(INDEX(GroupVertices[Group],MATCH(Edges[[#This Row],[Vertex 1]],GroupVertices[Vertex],0)),1,1,"")</f>
        <v>1</v>
      </c>
      <c r="AG473" s="83" t="str">
        <f>REPLACE(INDEX(GroupVertices[Group],MATCH(Edges[[#This Row],[Vertex 2]],GroupVertices[Vertex],0)),1,1,"")</f>
        <v>1</v>
      </c>
      <c r="AH473" s="111">
        <v>0</v>
      </c>
      <c r="AI473" s="112">
        <v>0</v>
      </c>
      <c r="AJ473" s="111">
        <v>0</v>
      </c>
      <c r="AK473" s="112">
        <v>0</v>
      </c>
      <c r="AL473" s="111">
        <v>0</v>
      </c>
      <c r="AM473" s="112">
        <v>0</v>
      </c>
      <c r="AN473" s="111">
        <v>15</v>
      </c>
      <c r="AO473" s="112">
        <v>100</v>
      </c>
      <c r="AP473" s="111">
        <v>15</v>
      </c>
    </row>
    <row r="474" spans="1:42" ht="15">
      <c r="A474" s="65" t="s">
        <v>663</v>
      </c>
      <c r="B474" s="65" t="s">
        <v>786</v>
      </c>
      <c r="C474" s="66" t="s">
        <v>4516</v>
      </c>
      <c r="D474" s="67">
        <v>10</v>
      </c>
      <c r="E474" s="68"/>
      <c r="F474" s="69">
        <v>15</v>
      </c>
      <c r="G474" s="66"/>
      <c r="H474" s="70"/>
      <c r="I474" s="71"/>
      <c r="J474" s="71"/>
      <c r="K474" s="35" t="s">
        <v>65</v>
      </c>
      <c r="L474" s="79">
        <v>474</v>
      </c>
      <c r="M474" s="79"/>
      <c r="N474" s="73"/>
      <c r="O474" s="81" t="s">
        <v>788</v>
      </c>
      <c r="P474" s="81" t="s">
        <v>325</v>
      </c>
      <c r="Q474" s="84" t="s">
        <v>1260</v>
      </c>
      <c r="R474" s="81" t="s">
        <v>663</v>
      </c>
      <c r="S474" s="81" t="s">
        <v>1730</v>
      </c>
      <c r="T474" s="86" t="str">
        <f>HYPERLINK("http://www.youtube.com/channel/UCdgnAdBCJ1ZR4qv4wg0_seQ")</f>
        <v>http://www.youtube.com/channel/UCdgnAdBCJ1ZR4qv4wg0_seQ</v>
      </c>
      <c r="U474" s="81"/>
      <c r="V474" s="81" t="s">
        <v>1885</v>
      </c>
      <c r="W474" s="86" t="str">
        <f>HYPERLINK("https://www.youtube.com/watch?v=wadBvDPeE4E")</f>
        <v>https://www.youtube.com/watch?v=wadBvDPeE4E</v>
      </c>
      <c r="X474" s="81" t="s">
        <v>1886</v>
      </c>
      <c r="Y474" s="81">
        <v>0</v>
      </c>
      <c r="Z474" s="88">
        <v>43027.35092592592</v>
      </c>
      <c r="AA474" s="88">
        <v>43027.35092592592</v>
      </c>
      <c r="AB474" s="81" t="s">
        <v>1904</v>
      </c>
      <c r="AC474" s="81" t="s">
        <v>1922</v>
      </c>
      <c r="AD474" s="84" t="s">
        <v>1927</v>
      </c>
      <c r="AE474" s="82">
        <v>12</v>
      </c>
      <c r="AF474" s="83" t="str">
        <f>REPLACE(INDEX(GroupVertices[Group],MATCH(Edges[[#This Row],[Vertex 1]],GroupVertices[Vertex],0)),1,1,"")</f>
        <v>1</v>
      </c>
      <c r="AG474" s="83" t="str">
        <f>REPLACE(INDEX(GroupVertices[Group],MATCH(Edges[[#This Row],[Vertex 2]],GroupVertices[Vertex],0)),1,1,"")</f>
        <v>1</v>
      </c>
      <c r="AH474" s="111">
        <v>0</v>
      </c>
      <c r="AI474" s="112">
        <v>0</v>
      </c>
      <c r="AJ474" s="111">
        <v>0</v>
      </c>
      <c r="AK474" s="112">
        <v>0</v>
      </c>
      <c r="AL474" s="111">
        <v>0</v>
      </c>
      <c r="AM474" s="112">
        <v>0</v>
      </c>
      <c r="AN474" s="111">
        <v>15</v>
      </c>
      <c r="AO474" s="112">
        <v>100</v>
      </c>
      <c r="AP474" s="111">
        <v>15</v>
      </c>
    </row>
    <row r="475" spans="1:42" ht="15">
      <c r="A475" s="65" t="s">
        <v>663</v>
      </c>
      <c r="B475" s="65" t="s">
        <v>786</v>
      </c>
      <c r="C475" s="66" t="s">
        <v>4516</v>
      </c>
      <c r="D475" s="67">
        <v>10</v>
      </c>
      <c r="E475" s="68"/>
      <c r="F475" s="69">
        <v>15</v>
      </c>
      <c r="G475" s="66"/>
      <c r="H475" s="70"/>
      <c r="I475" s="71"/>
      <c r="J475" s="71"/>
      <c r="K475" s="35" t="s">
        <v>65</v>
      </c>
      <c r="L475" s="79">
        <v>475</v>
      </c>
      <c r="M475" s="79"/>
      <c r="N475" s="73"/>
      <c r="O475" s="81" t="s">
        <v>788</v>
      </c>
      <c r="P475" s="81" t="s">
        <v>325</v>
      </c>
      <c r="Q475" s="84" t="s">
        <v>1261</v>
      </c>
      <c r="R475" s="81" t="s">
        <v>663</v>
      </c>
      <c r="S475" s="81" t="s">
        <v>1730</v>
      </c>
      <c r="T475" s="86" t="str">
        <f>HYPERLINK("http://www.youtube.com/channel/UCdgnAdBCJ1ZR4qv4wg0_seQ")</f>
        <v>http://www.youtube.com/channel/UCdgnAdBCJ1ZR4qv4wg0_seQ</v>
      </c>
      <c r="U475" s="81"/>
      <c r="V475" s="81" t="s">
        <v>1885</v>
      </c>
      <c r="W475" s="86" t="str">
        <f>HYPERLINK("https://www.youtube.com/watch?v=wadBvDPeE4E")</f>
        <v>https://www.youtube.com/watch?v=wadBvDPeE4E</v>
      </c>
      <c r="X475" s="81" t="s">
        <v>1886</v>
      </c>
      <c r="Y475" s="81">
        <v>0</v>
      </c>
      <c r="Z475" s="88">
        <v>43030.35903935185</v>
      </c>
      <c r="AA475" s="88">
        <v>43030.35903935185</v>
      </c>
      <c r="AB475" s="81" t="s">
        <v>1905</v>
      </c>
      <c r="AC475" s="81" t="s">
        <v>1922</v>
      </c>
      <c r="AD475" s="84" t="s">
        <v>1927</v>
      </c>
      <c r="AE475" s="82">
        <v>12</v>
      </c>
      <c r="AF475" s="83" t="str">
        <f>REPLACE(INDEX(GroupVertices[Group],MATCH(Edges[[#This Row],[Vertex 1]],GroupVertices[Vertex],0)),1,1,"")</f>
        <v>1</v>
      </c>
      <c r="AG475" s="83" t="str">
        <f>REPLACE(INDEX(GroupVertices[Group],MATCH(Edges[[#This Row],[Vertex 2]],GroupVertices[Vertex],0)),1,1,"")</f>
        <v>1</v>
      </c>
      <c r="AH475" s="111">
        <v>0</v>
      </c>
      <c r="AI475" s="112">
        <v>0</v>
      </c>
      <c r="AJ475" s="111">
        <v>0</v>
      </c>
      <c r="AK475" s="112">
        <v>0</v>
      </c>
      <c r="AL475" s="111">
        <v>0</v>
      </c>
      <c r="AM475" s="112">
        <v>0</v>
      </c>
      <c r="AN475" s="111">
        <v>15</v>
      </c>
      <c r="AO475" s="112">
        <v>100</v>
      </c>
      <c r="AP475" s="111">
        <v>15</v>
      </c>
    </row>
    <row r="476" spans="1:42" ht="15">
      <c r="A476" s="65" t="s">
        <v>663</v>
      </c>
      <c r="B476" s="65" t="s">
        <v>786</v>
      </c>
      <c r="C476" s="66" t="s">
        <v>4516</v>
      </c>
      <c r="D476" s="67">
        <v>10</v>
      </c>
      <c r="E476" s="68"/>
      <c r="F476" s="69">
        <v>15</v>
      </c>
      <c r="G476" s="66"/>
      <c r="H476" s="70"/>
      <c r="I476" s="71"/>
      <c r="J476" s="71"/>
      <c r="K476" s="35" t="s">
        <v>65</v>
      </c>
      <c r="L476" s="79">
        <v>476</v>
      </c>
      <c r="M476" s="79"/>
      <c r="N476" s="73"/>
      <c r="O476" s="81" t="s">
        <v>788</v>
      </c>
      <c r="P476" s="81" t="s">
        <v>325</v>
      </c>
      <c r="Q476" s="84" t="s">
        <v>1262</v>
      </c>
      <c r="R476" s="81" t="s">
        <v>663</v>
      </c>
      <c r="S476" s="81" t="s">
        <v>1730</v>
      </c>
      <c r="T476" s="86" t="str">
        <f>HYPERLINK("http://www.youtube.com/channel/UCdgnAdBCJ1ZR4qv4wg0_seQ")</f>
        <v>http://www.youtube.com/channel/UCdgnAdBCJ1ZR4qv4wg0_seQ</v>
      </c>
      <c r="U476" s="81"/>
      <c r="V476" s="81" t="s">
        <v>1885</v>
      </c>
      <c r="W476" s="86" t="str">
        <f>HYPERLINK("https://www.youtube.com/watch?v=wadBvDPeE4E")</f>
        <v>https://www.youtube.com/watch?v=wadBvDPeE4E</v>
      </c>
      <c r="X476" s="81" t="s">
        <v>1886</v>
      </c>
      <c r="Y476" s="81">
        <v>0</v>
      </c>
      <c r="Z476" s="88">
        <v>43034.53091435185</v>
      </c>
      <c r="AA476" s="88">
        <v>43034.53091435185</v>
      </c>
      <c r="AB476" s="81" t="s">
        <v>1906</v>
      </c>
      <c r="AC476" s="81" t="s">
        <v>1922</v>
      </c>
      <c r="AD476" s="84" t="s">
        <v>1927</v>
      </c>
      <c r="AE476" s="82">
        <v>12</v>
      </c>
      <c r="AF476" s="83" t="str">
        <f>REPLACE(INDEX(GroupVertices[Group],MATCH(Edges[[#This Row],[Vertex 1]],GroupVertices[Vertex],0)),1,1,"")</f>
        <v>1</v>
      </c>
      <c r="AG476" s="83" t="str">
        <f>REPLACE(INDEX(GroupVertices[Group],MATCH(Edges[[#This Row],[Vertex 2]],GroupVertices[Vertex],0)),1,1,"")</f>
        <v>1</v>
      </c>
      <c r="AH476" s="111">
        <v>0</v>
      </c>
      <c r="AI476" s="112">
        <v>0</v>
      </c>
      <c r="AJ476" s="111">
        <v>0</v>
      </c>
      <c r="AK476" s="112">
        <v>0</v>
      </c>
      <c r="AL476" s="111">
        <v>0</v>
      </c>
      <c r="AM476" s="112">
        <v>0</v>
      </c>
      <c r="AN476" s="111">
        <v>15</v>
      </c>
      <c r="AO476" s="112">
        <v>100</v>
      </c>
      <c r="AP476" s="111">
        <v>15</v>
      </c>
    </row>
    <row r="477" spans="1:42" ht="15">
      <c r="A477" s="65" t="s">
        <v>664</v>
      </c>
      <c r="B477" s="65" t="s">
        <v>786</v>
      </c>
      <c r="C477" s="66" t="s">
        <v>4509</v>
      </c>
      <c r="D477" s="67">
        <v>3</v>
      </c>
      <c r="E477" s="68"/>
      <c r="F477" s="69">
        <v>40</v>
      </c>
      <c r="G477" s="66"/>
      <c r="H477" s="70"/>
      <c r="I477" s="71"/>
      <c r="J477" s="71"/>
      <c r="K477" s="35" t="s">
        <v>65</v>
      </c>
      <c r="L477" s="79">
        <v>477</v>
      </c>
      <c r="M477" s="79"/>
      <c r="N477" s="73"/>
      <c r="O477" s="81" t="s">
        <v>788</v>
      </c>
      <c r="P477" s="81" t="s">
        <v>325</v>
      </c>
      <c r="Q477" s="84" t="s">
        <v>1263</v>
      </c>
      <c r="R477" s="81" t="s">
        <v>664</v>
      </c>
      <c r="S477" s="81" t="s">
        <v>1731</v>
      </c>
      <c r="T477" s="86" t="str">
        <f>HYPERLINK("http://www.youtube.com/channel/UCAav2uWG5aOa1jvallyXLqw")</f>
        <v>http://www.youtube.com/channel/UCAav2uWG5aOa1jvallyXLqw</v>
      </c>
      <c r="U477" s="81"/>
      <c r="V477" s="81" t="s">
        <v>1885</v>
      </c>
      <c r="W477" s="86" t="str">
        <f>HYPERLINK("https://www.youtube.com/watch?v=wadBvDPeE4E")</f>
        <v>https://www.youtube.com/watch?v=wadBvDPeE4E</v>
      </c>
      <c r="X477" s="81" t="s">
        <v>1886</v>
      </c>
      <c r="Y477" s="81">
        <v>1</v>
      </c>
      <c r="Z477" s="88">
        <v>43061.27957175926</v>
      </c>
      <c r="AA477" s="88">
        <v>43061.27957175926</v>
      </c>
      <c r="AB477" s="81"/>
      <c r="AC477" s="81"/>
      <c r="AD477" s="84" t="s">
        <v>1927</v>
      </c>
      <c r="AE477" s="82">
        <v>1</v>
      </c>
      <c r="AF477" s="83" t="str">
        <f>REPLACE(INDEX(GroupVertices[Group],MATCH(Edges[[#This Row],[Vertex 1]],GroupVertices[Vertex],0)),1,1,"")</f>
        <v>1</v>
      </c>
      <c r="AG477" s="83" t="str">
        <f>REPLACE(INDEX(GroupVertices[Group],MATCH(Edges[[#This Row],[Vertex 2]],GroupVertices[Vertex],0)),1,1,"")</f>
        <v>1</v>
      </c>
      <c r="AH477" s="111">
        <v>3</v>
      </c>
      <c r="AI477" s="112">
        <v>5.660377358490566</v>
      </c>
      <c r="AJ477" s="111">
        <v>2</v>
      </c>
      <c r="AK477" s="112">
        <v>3.7735849056603774</v>
      </c>
      <c r="AL477" s="111">
        <v>0</v>
      </c>
      <c r="AM477" s="112">
        <v>0</v>
      </c>
      <c r="AN477" s="111">
        <v>48</v>
      </c>
      <c r="AO477" s="112">
        <v>90.56603773584905</v>
      </c>
      <c r="AP477" s="111">
        <v>53</v>
      </c>
    </row>
    <row r="478" spans="1:42" ht="15">
      <c r="A478" s="65" t="s">
        <v>665</v>
      </c>
      <c r="B478" s="65" t="s">
        <v>786</v>
      </c>
      <c r="C478" s="66" t="s">
        <v>4509</v>
      </c>
      <c r="D478" s="67">
        <v>3</v>
      </c>
      <c r="E478" s="68"/>
      <c r="F478" s="69">
        <v>40</v>
      </c>
      <c r="G478" s="66"/>
      <c r="H478" s="70"/>
      <c r="I478" s="71"/>
      <c r="J478" s="71"/>
      <c r="K478" s="35" t="s">
        <v>65</v>
      </c>
      <c r="L478" s="79">
        <v>478</v>
      </c>
      <c r="M478" s="79"/>
      <c r="N478" s="73"/>
      <c r="O478" s="81" t="s">
        <v>788</v>
      </c>
      <c r="P478" s="81" t="s">
        <v>325</v>
      </c>
      <c r="Q478" s="84" t="s">
        <v>1264</v>
      </c>
      <c r="R478" s="81" t="s">
        <v>665</v>
      </c>
      <c r="S478" s="81" t="s">
        <v>1732</v>
      </c>
      <c r="T478" s="86" t="str">
        <f>HYPERLINK("http://www.youtube.com/channel/UCgxaYSe6khXCJDxA7ggbZtQ")</f>
        <v>http://www.youtube.com/channel/UCgxaYSe6khXCJDxA7ggbZtQ</v>
      </c>
      <c r="U478" s="81"/>
      <c r="V478" s="81" t="s">
        <v>1885</v>
      </c>
      <c r="W478" s="86" t="str">
        <f>HYPERLINK("https://www.youtube.com/watch?v=wadBvDPeE4E")</f>
        <v>https://www.youtube.com/watch?v=wadBvDPeE4E</v>
      </c>
      <c r="X478" s="81" t="s">
        <v>1886</v>
      </c>
      <c r="Y478" s="81">
        <v>3</v>
      </c>
      <c r="Z478" s="88">
        <v>43138.72346064815</v>
      </c>
      <c r="AA478" s="88">
        <v>43138.72346064815</v>
      </c>
      <c r="AB478" s="81"/>
      <c r="AC478" s="81"/>
      <c r="AD478" s="84" t="s">
        <v>1927</v>
      </c>
      <c r="AE478" s="82">
        <v>1</v>
      </c>
      <c r="AF478" s="83" t="str">
        <f>REPLACE(INDEX(GroupVertices[Group],MATCH(Edges[[#This Row],[Vertex 1]],GroupVertices[Vertex],0)),1,1,"")</f>
        <v>1</v>
      </c>
      <c r="AG478" s="83" t="str">
        <f>REPLACE(INDEX(GroupVertices[Group],MATCH(Edges[[#This Row],[Vertex 2]],GroupVertices[Vertex],0)),1,1,"")</f>
        <v>1</v>
      </c>
      <c r="AH478" s="111">
        <v>1</v>
      </c>
      <c r="AI478" s="112">
        <v>5.555555555555555</v>
      </c>
      <c r="AJ478" s="111">
        <v>0</v>
      </c>
      <c r="AK478" s="112">
        <v>0</v>
      </c>
      <c r="AL478" s="111">
        <v>0</v>
      </c>
      <c r="AM478" s="112">
        <v>0</v>
      </c>
      <c r="AN478" s="111">
        <v>17</v>
      </c>
      <c r="AO478" s="112">
        <v>94.44444444444444</v>
      </c>
      <c r="AP478" s="111">
        <v>18</v>
      </c>
    </row>
    <row r="479" spans="1:42" ht="15">
      <c r="A479" s="65" t="s">
        <v>666</v>
      </c>
      <c r="B479" s="65" t="s">
        <v>786</v>
      </c>
      <c r="C479" s="66" t="s">
        <v>4511</v>
      </c>
      <c r="D479" s="67">
        <v>7.666666666666667</v>
      </c>
      <c r="E479" s="68"/>
      <c r="F479" s="69">
        <v>23.333333333333332</v>
      </c>
      <c r="G479" s="66"/>
      <c r="H479" s="70"/>
      <c r="I479" s="71"/>
      <c r="J479" s="71"/>
      <c r="K479" s="35" t="s">
        <v>65</v>
      </c>
      <c r="L479" s="79">
        <v>479</v>
      </c>
      <c r="M479" s="79"/>
      <c r="N479" s="73"/>
      <c r="O479" s="81" t="s">
        <v>788</v>
      </c>
      <c r="P479" s="81" t="s">
        <v>325</v>
      </c>
      <c r="Q479" s="84" t="s">
        <v>1265</v>
      </c>
      <c r="R479" s="81" t="s">
        <v>666</v>
      </c>
      <c r="S479" s="81" t="s">
        <v>1733</v>
      </c>
      <c r="T479" s="86" t="str">
        <f>HYPERLINK("http://www.youtube.com/channel/UCpy1V9O-Z8V6bYxLe-Jf3VQ")</f>
        <v>http://www.youtube.com/channel/UCpy1V9O-Z8V6bYxLe-Jf3VQ</v>
      </c>
      <c r="U479" s="81"/>
      <c r="V479" s="81" t="s">
        <v>1885</v>
      </c>
      <c r="W479" s="86" t="str">
        <f>HYPERLINK("https://www.youtube.com/watch?v=wadBvDPeE4E")</f>
        <v>https://www.youtube.com/watch?v=wadBvDPeE4E</v>
      </c>
      <c r="X479" s="81" t="s">
        <v>1886</v>
      </c>
      <c r="Y479" s="81">
        <v>0</v>
      </c>
      <c r="Z479" s="88">
        <v>43165.014074074075</v>
      </c>
      <c r="AA479" s="88">
        <v>43165.014074074075</v>
      </c>
      <c r="AB479" s="81"/>
      <c r="AC479" s="81"/>
      <c r="AD479" s="84" t="s">
        <v>1927</v>
      </c>
      <c r="AE479" s="82">
        <v>3</v>
      </c>
      <c r="AF479" s="83" t="str">
        <f>REPLACE(INDEX(GroupVertices[Group],MATCH(Edges[[#This Row],[Vertex 1]],GroupVertices[Vertex],0)),1,1,"")</f>
        <v>1</v>
      </c>
      <c r="AG479" s="83" t="str">
        <f>REPLACE(INDEX(GroupVertices[Group],MATCH(Edges[[#This Row],[Vertex 2]],GroupVertices[Vertex],0)),1,1,"")</f>
        <v>1</v>
      </c>
      <c r="AH479" s="111">
        <v>1</v>
      </c>
      <c r="AI479" s="112">
        <v>14.285714285714286</v>
      </c>
      <c r="AJ479" s="111">
        <v>1</v>
      </c>
      <c r="AK479" s="112">
        <v>14.285714285714286</v>
      </c>
      <c r="AL479" s="111">
        <v>0</v>
      </c>
      <c r="AM479" s="112">
        <v>0</v>
      </c>
      <c r="AN479" s="111">
        <v>5</v>
      </c>
      <c r="AO479" s="112">
        <v>71.42857142857143</v>
      </c>
      <c r="AP479" s="111">
        <v>7</v>
      </c>
    </row>
    <row r="480" spans="1:42" ht="15">
      <c r="A480" s="65" t="s">
        <v>666</v>
      </c>
      <c r="B480" s="65" t="s">
        <v>786</v>
      </c>
      <c r="C480" s="66" t="s">
        <v>4511</v>
      </c>
      <c r="D480" s="67">
        <v>7.666666666666667</v>
      </c>
      <c r="E480" s="68"/>
      <c r="F480" s="69">
        <v>23.333333333333332</v>
      </c>
      <c r="G480" s="66"/>
      <c r="H480" s="70"/>
      <c r="I480" s="71"/>
      <c r="J480" s="71"/>
      <c r="K480" s="35" t="s">
        <v>65</v>
      </c>
      <c r="L480" s="79">
        <v>480</v>
      </c>
      <c r="M480" s="79"/>
      <c r="N480" s="73"/>
      <c r="O480" s="81" t="s">
        <v>788</v>
      </c>
      <c r="P480" s="81" t="s">
        <v>325</v>
      </c>
      <c r="Q480" s="84" t="s">
        <v>1266</v>
      </c>
      <c r="R480" s="81" t="s">
        <v>666</v>
      </c>
      <c r="S480" s="81" t="s">
        <v>1733</v>
      </c>
      <c r="T480" s="86" t="str">
        <f>HYPERLINK("http://www.youtube.com/channel/UCpy1V9O-Z8V6bYxLe-Jf3VQ")</f>
        <v>http://www.youtube.com/channel/UCpy1V9O-Z8V6bYxLe-Jf3VQ</v>
      </c>
      <c r="U480" s="81"/>
      <c r="V480" s="81" t="s">
        <v>1885</v>
      </c>
      <c r="W480" s="86" t="str">
        <f>HYPERLINK("https://www.youtube.com/watch?v=wadBvDPeE4E")</f>
        <v>https://www.youtube.com/watch?v=wadBvDPeE4E</v>
      </c>
      <c r="X480" s="81" t="s">
        <v>1886</v>
      </c>
      <c r="Y480" s="81">
        <v>0</v>
      </c>
      <c r="Z480" s="88">
        <v>43165.01939814815</v>
      </c>
      <c r="AA480" s="88">
        <v>43165.01939814815</v>
      </c>
      <c r="AB480" s="81" t="s">
        <v>1907</v>
      </c>
      <c r="AC480" s="81" t="s">
        <v>1925</v>
      </c>
      <c r="AD480" s="84" t="s">
        <v>1927</v>
      </c>
      <c r="AE480" s="82">
        <v>3</v>
      </c>
      <c r="AF480" s="83" t="str">
        <f>REPLACE(INDEX(GroupVertices[Group],MATCH(Edges[[#This Row],[Vertex 1]],GroupVertices[Vertex],0)),1,1,"")</f>
        <v>1</v>
      </c>
      <c r="AG480" s="83" t="str">
        <f>REPLACE(INDEX(GroupVertices[Group],MATCH(Edges[[#This Row],[Vertex 2]],GroupVertices[Vertex],0)),1,1,"")</f>
        <v>1</v>
      </c>
      <c r="AH480" s="111">
        <v>0</v>
      </c>
      <c r="AI480" s="112">
        <v>0</v>
      </c>
      <c r="AJ480" s="111">
        <v>0</v>
      </c>
      <c r="AK480" s="112">
        <v>0</v>
      </c>
      <c r="AL480" s="111">
        <v>0</v>
      </c>
      <c r="AM480" s="112">
        <v>0</v>
      </c>
      <c r="AN480" s="111">
        <v>30</v>
      </c>
      <c r="AO480" s="112">
        <v>100</v>
      </c>
      <c r="AP480" s="111">
        <v>30</v>
      </c>
    </row>
    <row r="481" spans="1:42" ht="15">
      <c r="A481" s="65" t="s">
        <v>666</v>
      </c>
      <c r="B481" s="65" t="s">
        <v>786</v>
      </c>
      <c r="C481" s="66" t="s">
        <v>4511</v>
      </c>
      <c r="D481" s="67">
        <v>7.666666666666667</v>
      </c>
      <c r="E481" s="68"/>
      <c r="F481" s="69">
        <v>23.333333333333332</v>
      </c>
      <c r="G481" s="66"/>
      <c r="H481" s="70"/>
      <c r="I481" s="71"/>
      <c r="J481" s="71"/>
      <c r="K481" s="35" t="s">
        <v>65</v>
      </c>
      <c r="L481" s="79">
        <v>481</v>
      </c>
      <c r="M481" s="79"/>
      <c r="N481" s="73"/>
      <c r="O481" s="81" t="s">
        <v>788</v>
      </c>
      <c r="P481" s="81" t="s">
        <v>325</v>
      </c>
      <c r="Q481" s="84" t="s">
        <v>1266</v>
      </c>
      <c r="R481" s="81" t="s">
        <v>666</v>
      </c>
      <c r="S481" s="81" t="s">
        <v>1733</v>
      </c>
      <c r="T481" s="86" t="str">
        <f>HYPERLINK("http://www.youtube.com/channel/UCpy1V9O-Z8V6bYxLe-Jf3VQ")</f>
        <v>http://www.youtube.com/channel/UCpy1V9O-Z8V6bYxLe-Jf3VQ</v>
      </c>
      <c r="U481" s="81"/>
      <c r="V481" s="81" t="s">
        <v>1885</v>
      </c>
      <c r="W481" s="86" t="str">
        <f>HYPERLINK("https://www.youtube.com/watch?v=wadBvDPeE4E")</f>
        <v>https://www.youtube.com/watch?v=wadBvDPeE4E</v>
      </c>
      <c r="X481" s="81" t="s">
        <v>1886</v>
      </c>
      <c r="Y481" s="81">
        <v>0</v>
      </c>
      <c r="Z481" s="88">
        <v>43165.019583333335</v>
      </c>
      <c r="AA481" s="88">
        <v>43165.019583333335</v>
      </c>
      <c r="AB481" s="81" t="s">
        <v>1907</v>
      </c>
      <c r="AC481" s="81" t="s">
        <v>1925</v>
      </c>
      <c r="AD481" s="84" t="s">
        <v>1927</v>
      </c>
      <c r="AE481" s="82">
        <v>3</v>
      </c>
      <c r="AF481" s="83" t="str">
        <f>REPLACE(INDEX(GroupVertices[Group],MATCH(Edges[[#This Row],[Vertex 1]],GroupVertices[Vertex],0)),1,1,"")</f>
        <v>1</v>
      </c>
      <c r="AG481" s="83" t="str">
        <f>REPLACE(INDEX(GroupVertices[Group],MATCH(Edges[[#This Row],[Vertex 2]],GroupVertices[Vertex],0)),1,1,"")</f>
        <v>1</v>
      </c>
      <c r="AH481" s="111">
        <v>0</v>
      </c>
      <c r="AI481" s="112">
        <v>0</v>
      </c>
      <c r="AJ481" s="111">
        <v>0</v>
      </c>
      <c r="AK481" s="112">
        <v>0</v>
      </c>
      <c r="AL481" s="111">
        <v>0</v>
      </c>
      <c r="AM481" s="112">
        <v>0</v>
      </c>
      <c r="AN481" s="111">
        <v>30</v>
      </c>
      <c r="AO481" s="112">
        <v>100</v>
      </c>
      <c r="AP481" s="111">
        <v>30</v>
      </c>
    </row>
    <row r="482" spans="1:42" ht="15">
      <c r="A482" s="65" t="s">
        <v>667</v>
      </c>
      <c r="B482" s="65" t="s">
        <v>786</v>
      </c>
      <c r="C482" s="66" t="s">
        <v>4509</v>
      </c>
      <c r="D482" s="67">
        <v>3</v>
      </c>
      <c r="E482" s="68"/>
      <c r="F482" s="69">
        <v>40</v>
      </c>
      <c r="G482" s="66"/>
      <c r="H482" s="70"/>
      <c r="I482" s="71"/>
      <c r="J482" s="71"/>
      <c r="K482" s="35" t="s">
        <v>65</v>
      </c>
      <c r="L482" s="79">
        <v>482</v>
      </c>
      <c r="M482" s="79"/>
      <c r="N482" s="73"/>
      <c r="O482" s="81" t="s">
        <v>788</v>
      </c>
      <c r="P482" s="81" t="s">
        <v>325</v>
      </c>
      <c r="Q482" s="84" t="s">
        <v>1267</v>
      </c>
      <c r="R482" s="81" t="s">
        <v>667</v>
      </c>
      <c r="S482" s="81" t="s">
        <v>1734</v>
      </c>
      <c r="T482" s="86" t="str">
        <f>HYPERLINK("http://www.youtube.com/channel/UCJ0cj3GvMi85PjDJXD0XqTg")</f>
        <v>http://www.youtube.com/channel/UCJ0cj3GvMi85PjDJXD0XqTg</v>
      </c>
      <c r="U482" s="81"/>
      <c r="V482" s="81" t="s">
        <v>1885</v>
      </c>
      <c r="W482" s="86" t="str">
        <f>HYPERLINK("https://www.youtube.com/watch?v=wadBvDPeE4E")</f>
        <v>https://www.youtube.com/watch?v=wadBvDPeE4E</v>
      </c>
      <c r="X482" s="81" t="s">
        <v>1886</v>
      </c>
      <c r="Y482" s="81">
        <v>1</v>
      </c>
      <c r="Z482" s="88">
        <v>43175.25990740741</v>
      </c>
      <c r="AA482" s="88">
        <v>43175.25990740741</v>
      </c>
      <c r="AB482" s="81"/>
      <c r="AC482" s="81"/>
      <c r="AD482" s="84" t="s">
        <v>1927</v>
      </c>
      <c r="AE482" s="82">
        <v>1</v>
      </c>
      <c r="AF482" s="83" t="str">
        <f>REPLACE(INDEX(GroupVertices[Group],MATCH(Edges[[#This Row],[Vertex 1]],GroupVertices[Vertex],0)),1,1,"")</f>
        <v>1</v>
      </c>
      <c r="AG482" s="83" t="str">
        <f>REPLACE(INDEX(GroupVertices[Group],MATCH(Edges[[#This Row],[Vertex 2]],GroupVertices[Vertex],0)),1,1,"")</f>
        <v>1</v>
      </c>
      <c r="AH482" s="111">
        <v>1</v>
      </c>
      <c r="AI482" s="112">
        <v>33.333333333333336</v>
      </c>
      <c r="AJ482" s="111">
        <v>0</v>
      </c>
      <c r="AK482" s="112">
        <v>0</v>
      </c>
      <c r="AL482" s="111">
        <v>0</v>
      </c>
      <c r="AM482" s="112">
        <v>0</v>
      </c>
      <c r="AN482" s="111">
        <v>2</v>
      </c>
      <c r="AO482" s="112">
        <v>66.66666666666667</v>
      </c>
      <c r="AP482" s="111">
        <v>3</v>
      </c>
    </row>
    <row r="483" spans="1:42" ht="15">
      <c r="A483" s="65" t="s">
        <v>668</v>
      </c>
      <c r="B483" s="65" t="s">
        <v>786</v>
      </c>
      <c r="C483" s="66" t="s">
        <v>4509</v>
      </c>
      <c r="D483" s="67">
        <v>3</v>
      </c>
      <c r="E483" s="68"/>
      <c r="F483" s="69">
        <v>40</v>
      </c>
      <c r="G483" s="66"/>
      <c r="H483" s="70"/>
      <c r="I483" s="71"/>
      <c r="J483" s="71"/>
      <c r="K483" s="35" t="s">
        <v>65</v>
      </c>
      <c r="L483" s="79">
        <v>483</v>
      </c>
      <c r="M483" s="79"/>
      <c r="N483" s="73"/>
      <c r="O483" s="81" t="s">
        <v>788</v>
      </c>
      <c r="P483" s="81" t="s">
        <v>325</v>
      </c>
      <c r="Q483" s="84" t="s">
        <v>1268</v>
      </c>
      <c r="R483" s="81" t="s">
        <v>668</v>
      </c>
      <c r="S483" s="81" t="s">
        <v>1735</v>
      </c>
      <c r="T483" s="86" t="str">
        <f>HYPERLINK("http://www.youtube.com/channel/UC-KWommSB3rIBtK-U1bwjDA")</f>
        <v>http://www.youtube.com/channel/UC-KWommSB3rIBtK-U1bwjDA</v>
      </c>
      <c r="U483" s="81"/>
      <c r="V483" s="81" t="s">
        <v>1885</v>
      </c>
      <c r="W483" s="86" t="str">
        <f>HYPERLINK("https://www.youtube.com/watch?v=wadBvDPeE4E")</f>
        <v>https://www.youtube.com/watch?v=wadBvDPeE4E</v>
      </c>
      <c r="X483" s="81" t="s">
        <v>1886</v>
      </c>
      <c r="Y483" s="81">
        <v>0</v>
      </c>
      <c r="Z483" s="88">
        <v>43206.3591087963</v>
      </c>
      <c r="AA483" s="88">
        <v>43206.3591087963</v>
      </c>
      <c r="AB483" s="81"/>
      <c r="AC483" s="81"/>
      <c r="AD483" s="84" t="s">
        <v>1927</v>
      </c>
      <c r="AE483" s="82">
        <v>1</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1</v>
      </c>
      <c r="AO483" s="112">
        <v>100</v>
      </c>
      <c r="AP483" s="111">
        <v>1</v>
      </c>
    </row>
    <row r="484" spans="1:42" ht="15">
      <c r="A484" s="65" t="s">
        <v>669</v>
      </c>
      <c r="B484" s="65" t="s">
        <v>786</v>
      </c>
      <c r="C484" s="66" t="s">
        <v>4509</v>
      </c>
      <c r="D484" s="67">
        <v>3</v>
      </c>
      <c r="E484" s="68"/>
      <c r="F484" s="69">
        <v>40</v>
      </c>
      <c r="G484" s="66"/>
      <c r="H484" s="70"/>
      <c r="I484" s="71"/>
      <c r="J484" s="71"/>
      <c r="K484" s="35" t="s">
        <v>65</v>
      </c>
      <c r="L484" s="79">
        <v>484</v>
      </c>
      <c r="M484" s="79"/>
      <c r="N484" s="73"/>
      <c r="O484" s="81" t="s">
        <v>788</v>
      </c>
      <c r="P484" s="81" t="s">
        <v>325</v>
      </c>
      <c r="Q484" s="84" t="s">
        <v>1269</v>
      </c>
      <c r="R484" s="81" t="s">
        <v>669</v>
      </c>
      <c r="S484" s="81" t="s">
        <v>1736</v>
      </c>
      <c r="T484" s="86" t="str">
        <f>HYPERLINK("http://www.youtube.com/channel/UCzWwr9fSROw2liph1qK7psQ")</f>
        <v>http://www.youtube.com/channel/UCzWwr9fSROw2liph1qK7psQ</v>
      </c>
      <c r="U484" s="81"/>
      <c r="V484" s="81" t="s">
        <v>1885</v>
      </c>
      <c r="W484" s="86" t="str">
        <f>HYPERLINK("https://www.youtube.com/watch?v=wadBvDPeE4E")</f>
        <v>https://www.youtube.com/watch?v=wadBvDPeE4E</v>
      </c>
      <c r="X484" s="81" t="s">
        <v>1886</v>
      </c>
      <c r="Y484" s="81">
        <v>4</v>
      </c>
      <c r="Z484" s="88">
        <v>43226.85800925926</v>
      </c>
      <c r="AA484" s="88">
        <v>43226.85800925926</v>
      </c>
      <c r="AB484" s="81"/>
      <c r="AC484" s="81"/>
      <c r="AD484" s="84" t="s">
        <v>1927</v>
      </c>
      <c r="AE484" s="82">
        <v>1</v>
      </c>
      <c r="AF484" s="83" t="str">
        <f>REPLACE(INDEX(GroupVertices[Group],MATCH(Edges[[#This Row],[Vertex 1]],GroupVertices[Vertex],0)),1,1,"")</f>
        <v>1</v>
      </c>
      <c r="AG484" s="83" t="str">
        <f>REPLACE(INDEX(GroupVertices[Group],MATCH(Edges[[#This Row],[Vertex 2]],GroupVertices[Vertex],0)),1,1,"")</f>
        <v>1</v>
      </c>
      <c r="AH484" s="111">
        <v>2</v>
      </c>
      <c r="AI484" s="112">
        <v>2.6666666666666665</v>
      </c>
      <c r="AJ484" s="111">
        <v>0</v>
      </c>
      <c r="AK484" s="112">
        <v>0</v>
      </c>
      <c r="AL484" s="111">
        <v>0</v>
      </c>
      <c r="AM484" s="112">
        <v>0</v>
      </c>
      <c r="AN484" s="111">
        <v>73</v>
      </c>
      <c r="AO484" s="112">
        <v>97.33333333333333</v>
      </c>
      <c r="AP484" s="111">
        <v>75</v>
      </c>
    </row>
    <row r="485" spans="1:42" ht="15">
      <c r="A485" s="65" t="s">
        <v>670</v>
      </c>
      <c r="B485" s="65" t="s">
        <v>673</v>
      </c>
      <c r="C485" s="66" t="s">
        <v>4509</v>
      </c>
      <c r="D485" s="67">
        <v>3</v>
      </c>
      <c r="E485" s="68"/>
      <c r="F485" s="69">
        <v>40</v>
      </c>
      <c r="G485" s="66"/>
      <c r="H485" s="70"/>
      <c r="I485" s="71"/>
      <c r="J485" s="71"/>
      <c r="K485" s="35" t="s">
        <v>65</v>
      </c>
      <c r="L485" s="79">
        <v>485</v>
      </c>
      <c r="M485" s="79"/>
      <c r="N485" s="73"/>
      <c r="O485" s="81" t="s">
        <v>789</v>
      </c>
      <c r="P485" s="81" t="s">
        <v>791</v>
      </c>
      <c r="Q485" s="84" t="s">
        <v>1270</v>
      </c>
      <c r="R485" s="81" t="s">
        <v>670</v>
      </c>
      <c r="S485" s="81" t="s">
        <v>1737</v>
      </c>
      <c r="T485" s="86" t="str">
        <f>HYPERLINK("http://www.youtube.com/channel/UCjo1tpnRd6fLgPXelK-I-Yg")</f>
        <v>http://www.youtube.com/channel/UCjo1tpnRd6fLgPXelK-I-Yg</v>
      </c>
      <c r="U485" s="81" t="s">
        <v>1879</v>
      </c>
      <c r="V485" s="81" t="s">
        <v>1885</v>
      </c>
      <c r="W485" s="86" t="str">
        <f>HYPERLINK("https://www.youtube.com/watch?v=wadBvDPeE4E")</f>
        <v>https://www.youtube.com/watch?v=wadBvDPeE4E</v>
      </c>
      <c r="X485" s="81" t="s">
        <v>1886</v>
      </c>
      <c r="Y485" s="81">
        <v>0</v>
      </c>
      <c r="Z485" s="88">
        <v>44524.33300925926</v>
      </c>
      <c r="AA485" s="88">
        <v>44524.33300925926</v>
      </c>
      <c r="AB485" s="81"/>
      <c r="AC485" s="81"/>
      <c r="AD485" s="84" t="s">
        <v>1927</v>
      </c>
      <c r="AE485" s="82">
        <v>1</v>
      </c>
      <c r="AF485" s="83" t="str">
        <f>REPLACE(INDEX(GroupVertices[Group],MATCH(Edges[[#This Row],[Vertex 1]],GroupVertices[Vertex],0)),1,1,"")</f>
        <v>7</v>
      </c>
      <c r="AG485" s="83" t="str">
        <f>REPLACE(INDEX(GroupVertices[Group],MATCH(Edges[[#This Row],[Vertex 2]],GroupVertices[Vertex],0)),1,1,"")</f>
        <v>7</v>
      </c>
      <c r="AH485" s="111">
        <v>1</v>
      </c>
      <c r="AI485" s="112">
        <v>2.857142857142857</v>
      </c>
      <c r="AJ485" s="111">
        <v>0</v>
      </c>
      <c r="AK485" s="112">
        <v>0</v>
      </c>
      <c r="AL485" s="111">
        <v>0</v>
      </c>
      <c r="AM485" s="112">
        <v>0</v>
      </c>
      <c r="AN485" s="111">
        <v>34</v>
      </c>
      <c r="AO485" s="112">
        <v>97.14285714285714</v>
      </c>
      <c r="AP485" s="111">
        <v>35</v>
      </c>
    </row>
    <row r="486" spans="1:42" ht="15">
      <c r="A486" s="65" t="s">
        <v>671</v>
      </c>
      <c r="B486" s="65" t="s">
        <v>673</v>
      </c>
      <c r="C486" s="66" t="s">
        <v>4509</v>
      </c>
      <c r="D486" s="67">
        <v>3</v>
      </c>
      <c r="E486" s="68"/>
      <c r="F486" s="69">
        <v>40</v>
      </c>
      <c r="G486" s="66"/>
      <c r="H486" s="70"/>
      <c r="I486" s="71"/>
      <c r="J486" s="71"/>
      <c r="K486" s="35" t="s">
        <v>65</v>
      </c>
      <c r="L486" s="79">
        <v>486</v>
      </c>
      <c r="M486" s="79"/>
      <c r="N486" s="73"/>
      <c r="O486" s="81" t="s">
        <v>789</v>
      </c>
      <c r="P486" s="81" t="s">
        <v>791</v>
      </c>
      <c r="Q486" s="84" t="s">
        <v>1271</v>
      </c>
      <c r="R486" s="81" t="s">
        <v>671</v>
      </c>
      <c r="S486" s="81" t="s">
        <v>1738</v>
      </c>
      <c r="T486" s="86" t="str">
        <f>HYPERLINK("http://www.youtube.com/channel/UC09RWcegnsrTtN5Y1qQwPFQ")</f>
        <v>http://www.youtube.com/channel/UC09RWcegnsrTtN5Y1qQwPFQ</v>
      </c>
      <c r="U486" s="81" t="s">
        <v>1879</v>
      </c>
      <c r="V486" s="81" t="s">
        <v>1885</v>
      </c>
      <c r="W486" s="86" t="str">
        <f>HYPERLINK("https://www.youtube.com/watch?v=wadBvDPeE4E")</f>
        <v>https://www.youtube.com/watch?v=wadBvDPeE4E</v>
      </c>
      <c r="X486" s="81" t="s">
        <v>1886</v>
      </c>
      <c r="Y486" s="81">
        <v>0</v>
      </c>
      <c r="Z486" s="88">
        <v>44710.75949074074</v>
      </c>
      <c r="AA486" s="88">
        <v>44710.76460648148</v>
      </c>
      <c r="AB486" s="81"/>
      <c r="AC486" s="81"/>
      <c r="AD486" s="84" t="s">
        <v>1927</v>
      </c>
      <c r="AE486" s="82">
        <v>1</v>
      </c>
      <c r="AF486" s="83" t="str">
        <f>REPLACE(INDEX(GroupVertices[Group],MATCH(Edges[[#This Row],[Vertex 1]],GroupVertices[Vertex],0)),1,1,"")</f>
        <v>7</v>
      </c>
      <c r="AG486" s="83" t="str">
        <f>REPLACE(INDEX(GroupVertices[Group],MATCH(Edges[[#This Row],[Vertex 2]],GroupVertices[Vertex],0)),1,1,"")</f>
        <v>7</v>
      </c>
      <c r="AH486" s="111">
        <v>14</v>
      </c>
      <c r="AI486" s="112">
        <v>3.4146341463414633</v>
      </c>
      <c r="AJ486" s="111">
        <v>5</v>
      </c>
      <c r="AK486" s="112">
        <v>1.2195121951219512</v>
      </c>
      <c r="AL486" s="111">
        <v>0</v>
      </c>
      <c r="AM486" s="112">
        <v>0</v>
      </c>
      <c r="AN486" s="111">
        <v>391</v>
      </c>
      <c r="AO486" s="112">
        <v>95.36585365853658</v>
      </c>
      <c r="AP486" s="111">
        <v>410</v>
      </c>
    </row>
    <row r="487" spans="1:42" ht="15">
      <c r="A487" s="65" t="s">
        <v>672</v>
      </c>
      <c r="B487" s="65" t="s">
        <v>673</v>
      </c>
      <c r="C487" s="66" t="s">
        <v>4509</v>
      </c>
      <c r="D487" s="67">
        <v>3</v>
      </c>
      <c r="E487" s="68"/>
      <c r="F487" s="69">
        <v>40</v>
      </c>
      <c r="G487" s="66"/>
      <c r="H487" s="70"/>
      <c r="I487" s="71"/>
      <c r="J487" s="71"/>
      <c r="K487" s="35" t="s">
        <v>65</v>
      </c>
      <c r="L487" s="79">
        <v>487</v>
      </c>
      <c r="M487" s="79"/>
      <c r="N487" s="73"/>
      <c r="O487" s="81" t="s">
        <v>789</v>
      </c>
      <c r="P487" s="81" t="s">
        <v>791</v>
      </c>
      <c r="Q487" s="84" t="s">
        <v>1272</v>
      </c>
      <c r="R487" s="81" t="s">
        <v>672</v>
      </c>
      <c r="S487" s="81" t="s">
        <v>1739</v>
      </c>
      <c r="T487" s="86" t="str">
        <f>HYPERLINK("http://www.youtube.com/channel/UC_-FIxHPBnhLkE9cGbL2ZiQ")</f>
        <v>http://www.youtube.com/channel/UC_-FIxHPBnhLkE9cGbL2ZiQ</v>
      </c>
      <c r="U487" s="81" t="s">
        <v>1879</v>
      </c>
      <c r="V487" s="81" t="s">
        <v>1885</v>
      </c>
      <c r="W487" s="86" t="str">
        <f>HYPERLINK("https://www.youtube.com/watch?v=wadBvDPeE4E")</f>
        <v>https://www.youtube.com/watch?v=wadBvDPeE4E</v>
      </c>
      <c r="X487" s="81" t="s">
        <v>1886</v>
      </c>
      <c r="Y487" s="81">
        <v>0</v>
      </c>
      <c r="Z487" s="88">
        <v>44693.709872685184</v>
      </c>
      <c r="AA487" s="88">
        <v>44693.709872685184</v>
      </c>
      <c r="AB487" s="81"/>
      <c r="AC487" s="81"/>
      <c r="AD487" s="84" t="s">
        <v>1927</v>
      </c>
      <c r="AE487" s="82">
        <v>1</v>
      </c>
      <c r="AF487" s="83" t="str">
        <f>REPLACE(INDEX(GroupVertices[Group],MATCH(Edges[[#This Row],[Vertex 1]],GroupVertices[Vertex],0)),1,1,"")</f>
        <v>7</v>
      </c>
      <c r="AG487" s="83" t="str">
        <f>REPLACE(INDEX(GroupVertices[Group],MATCH(Edges[[#This Row],[Vertex 2]],GroupVertices[Vertex],0)),1,1,"")</f>
        <v>7</v>
      </c>
      <c r="AH487" s="111">
        <v>1</v>
      </c>
      <c r="AI487" s="112">
        <v>4.761904761904762</v>
      </c>
      <c r="AJ487" s="111">
        <v>1</v>
      </c>
      <c r="AK487" s="112">
        <v>4.761904761904762</v>
      </c>
      <c r="AL487" s="111">
        <v>0</v>
      </c>
      <c r="AM487" s="112">
        <v>0</v>
      </c>
      <c r="AN487" s="111">
        <v>19</v>
      </c>
      <c r="AO487" s="112">
        <v>90.47619047619048</v>
      </c>
      <c r="AP487" s="111">
        <v>21</v>
      </c>
    </row>
    <row r="488" spans="1:42" ht="15">
      <c r="A488" s="65" t="s">
        <v>673</v>
      </c>
      <c r="B488" s="65" t="s">
        <v>786</v>
      </c>
      <c r="C488" s="66" t="s">
        <v>4509</v>
      </c>
      <c r="D488" s="67">
        <v>3</v>
      </c>
      <c r="E488" s="68"/>
      <c r="F488" s="69">
        <v>40</v>
      </c>
      <c r="G488" s="66"/>
      <c r="H488" s="70"/>
      <c r="I488" s="71"/>
      <c r="J488" s="71"/>
      <c r="K488" s="35" t="s">
        <v>65</v>
      </c>
      <c r="L488" s="79">
        <v>488</v>
      </c>
      <c r="M488" s="79"/>
      <c r="N488" s="73"/>
      <c r="O488" s="81" t="s">
        <v>788</v>
      </c>
      <c r="P488" s="81" t="s">
        <v>325</v>
      </c>
      <c r="Q488" s="84" t="s">
        <v>1273</v>
      </c>
      <c r="R488" s="81" t="s">
        <v>673</v>
      </c>
      <c r="S488" s="81" t="s">
        <v>1740</v>
      </c>
      <c r="T488" s="86" t="str">
        <f>HYPERLINK("http://www.youtube.com/channel/UCklG6ilxW_PeYeDSpKSRGZQ")</f>
        <v>http://www.youtube.com/channel/UCklG6ilxW_PeYeDSpKSRGZQ</v>
      </c>
      <c r="U488" s="81"/>
      <c r="V488" s="81" t="s">
        <v>1885</v>
      </c>
      <c r="W488" s="86" t="str">
        <f>HYPERLINK("https://www.youtube.com/watch?v=wadBvDPeE4E")</f>
        <v>https://www.youtube.com/watch?v=wadBvDPeE4E</v>
      </c>
      <c r="X488" s="81" t="s">
        <v>1886</v>
      </c>
      <c r="Y488" s="81">
        <v>6</v>
      </c>
      <c r="Z488" s="88">
        <v>43239.33693287037</v>
      </c>
      <c r="AA488" s="88">
        <v>43241.73724537037</v>
      </c>
      <c r="AB488" s="81"/>
      <c r="AC488" s="81"/>
      <c r="AD488" s="84" t="s">
        <v>1927</v>
      </c>
      <c r="AE488" s="82">
        <v>1</v>
      </c>
      <c r="AF488" s="83" t="str">
        <f>REPLACE(INDEX(GroupVertices[Group],MATCH(Edges[[#This Row],[Vertex 1]],GroupVertices[Vertex],0)),1,1,"")</f>
        <v>7</v>
      </c>
      <c r="AG488" s="83" t="str">
        <f>REPLACE(INDEX(GroupVertices[Group],MATCH(Edges[[#This Row],[Vertex 2]],GroupVertices[Vertex],0)),1,1,"")</f>
        <v>1</v>
      </c>
      <c r="AH488" s="111">
        <v>11</v>
      </c>
      <c r="AI488" s="112">
        <v>4.621848739495798</v>
      </c>
      <c r="AJ488" s="111">
        <v>4</v>
      </c>
      <c r="AK488" s="112">
        <v>1.680672268907563</v>
      </c>
      <c r="AL488" s="111">
        <v>0</v>
      </c>
      <c r="AM488" s="112">
        <v>0</v>
      </c>
      <c r="AN488" s="111">
        <v>223</v>
      </c>
      <c r="AO488" s="112">
        <v>93.69747899159664</v>
      </c>
      <c r="AP488" s="111">
        <v>238</v>
      </c>
    </row>
    <row r="489" spans="1:42" ht="15">
      <c r="A489" s="65" t="s">
        <v>674</v>
      </c>
      <c r="B489" s="65" t="s">
        <v>786</v>
      </c>
      <c r="C489" s="66" t="s">
        <v>4509</v>
      </c>
      <c r="D489" s="67">
        <v>3</v>
      </c>
      <c r="E489" s="68"/>
      <c r="F489" s="69">
        <v>40</v>
      </c>
      <c r="G489" s="66"/>
      <c r="H489" s="70"/>
      <c r="I489" s="71"/>
      <c r="J489" s="71"/>
      <c r="K489" s="35" t="s">
        <v>65</v>
      </c>
      <c r="L489" s="79">
        <v>489</v>
      </c>
      <c r="M489" s="79"/>
      <c r="N489" s="73"/>
      <c r="O489" s="81" t="s">
        <v>788</v>
      </c>
      <c r="P489" s="81" t="s">
        <v>325</v>
      </c>
      <c r="Q489" s="84" t="s">
        <v>1274</v>
      </c>
      <c r="R489" s="81" t="s">
        <v>674</v>
      </c>
      <c r="S489" s="81" t="s">
        <v>1741</v>
      </c>
      <c r="T489" s="86" t="str">
        <f>HYPERLINK("http://www.youtube.com/channel/UCsOHhRRni2fF3EWgvpz7lig")</f>
        <v>http://www.youtube.com/channel/UCsOHhRRni2fF3EWgvpz7lig</v>
      </c>
      <c r="U489" s="81"/>
      <c r="V489" s="81" t="s">
        <v>1885</v>
      </c>
      <c r="W489" s="86" t="str">
        <f>HYPERLINK("https://www.youtube.com/watch?v=wadBvDPeE4E")</f>
        <v>https://www.youtube.com/watch?v=wadBvDPeE4E</v>
      </c>
      <c r="X489" s="81" t="s">
        <v>1886</v>
      </c>
      <c r="Y489" s="81">
        <v>0</v>
      </c>
      <c r="Z489" s="88">
        <v>43264.405069444445</v>
      </c>
      <c r="AA489" s="88">
        <v>43264.405069444445</v>
      </c>
      <c r="AB489" s="81"/>
      <c r="AC489" s="81"/>
      <c r="AD489" s="84" t="s">
        <v>1927</v>
      </c>
      <c r="AE489" s="82">
        <v>1</v>
      </c>
      <c r="AF489" s="83" t="str">
        <f>REPLACE(INDEX(GroupVertices[Group],MATCH(Edges[[#This Row],[Vertex 1]],GroupVertices[Vertex],0)),1,1,"")</f>
        <v>1</v>
      </c>
      <c r="AG489" s="83" t="str">
        <f>REPLACE(INDEX(GroupVertices[Group],MATCH(Edges[[#This Row],[Vertex 2]],GroupVertices[Vertex],0)),1,1,"")</f>
        <v>1</v>
      </c>
      <c r="AH489" s="111">
        <v>0</v>
      </c>
      <c r="AI489" s="112">
        <v>0</v>
      </c>
      <c r="AJ489" s="111">
        <v>1</v>
      </c>
      <c r="AK489" s="112">
        <v>50</v>
      </c>
      <c r="AL489" s="111">
        <v>0</v>
      </c>
      <c r="AM489" s="112">
        <v>0</v>
      </c>
      <c r="AN489" s="111">
        <v>1</v>
      </c>
      <c r="AO489" s="112">
        <v>50</v>
      </c>
      <c r="AP489" s="111">
        <v>2</v>
      </c>
    </row>
    <row r="490" spans="1:42" ht="15">
      <c r="A490" s="65" t="s">
        <v>579</v>
      </c>
      <c r="B490" s="65" t="s">
        <v>786</v>
      </c>
      <c r="C490" s="66" t="s">
        <v>4509</v>
      </c>
      <c r="D490" s="67">
        <v>3</v>
      </c>
      <c r="E490" s="68"/>
      <c r="F490" s="69">
        <v>40</v>
      </c>
      <c r="G490" s="66"/>
      <c r="H490" s="70"/>
      <c r="I490" s="71"/>
      <c r="J490" s="71"/>
      <c r="K490" s="35" t="s">
        <v>65</v>
      </c>
      <c r="L490" s="79">
        <v>490</v>
      </c>
      <c r="M490" s="79"/>
      <c r="N490" s="73"/>
      <c r="O490" s="81" t="s">
        <v>788</v>
      </c>
      <c r="P490" s="81" t="s">
        <v>325</v>
      </c>
      <c r="Q490" s="84" t="s">
        <v>1275</v>
      </c>
      <c r="R490" s="81" t="s">
        <v>579</v>
      </c>
      <c r="S490" s="81" t="s">
        <v>1647</v>
      </c>
      <c r="T490" s="86" t="str">
        <f>HYPERLINK("http://www.youtube.com/channel/UCwkEMAb2hKoyywsozegFGMQ")</f>
        <v>http://www.youtube.com/channel/UCwkEMAb2hKoyywsozegFGMQ</v>
      </c>
      <c r="U490" s="81"/>
      <c r="V490" s="81" t="s">
        <v>1885</v>
      </c>
      <c r="W490" s="86" t="str">
        <f>HYPERLINK("https://www.youtube.com/watch?v=wadBvDPeE4E")</f>
        <v>https://www.youtube.com/watch?v=wadBvDPeE4E</v>
      </c>
      <c r="X490" s="81" t="s">
        <v>1886</v>
      </c>
      <c r="Y490" s="81">
        <v>1</v>
      </c>
      <c r="Z490" s="88">
        <v>43325.652604166666</v>
      </c>
      <c r="AA490" s="88">
        <v>43325.652604166666</v>
      </c>
      <c r="AB490" s="81"/>
      <c r="AC490" s="81"/>
      <c r="AD490" s="84" t="s">
        <v>1927</v>
      </c>
      <c r="AE490" s="82">
        <v>1</v>
      </c>
      <c r="AF490" s="83" t="str">
        <f>REPLACE(INDEX(GroupVertices[Group],MATCH(Edges[[#This Row],[Vertex 1]],GroupVertices[Vertex],0)),1,1,"")</f>
        <v>2</v>
      </c>
      <c r="AG490" s="83" t="str">
        <f>REPLACE(INDEX(GroupVertices[Group],MATCH(Edges[[#This Row],[Vertex 2]],GroupVertices[Vertex],0)),1,1,"")</f>
        <v>1</v>
      </c>
      <c r="AH490" s="111">
        <v>2</v>
      </c>
      <c r="AI490" s="112">
        <v>20</v>
      </c>
      <c r="AJ490" s="111">
        <v>0</v>
      </c>
      <c r="AK490" s="112">
        <v>0</v>
      </c>
      <c r="AL490" s="111">
        <v>0</v>
      </c>
      <c r="AM490" s="112">
        <v>0</v>
      </c>
      <c r="AN490" s="111">
        <v>8</v>
      </c>
      <c r="AO490" s="112">
        <v>80</v>
      </c>
      <c r="AP490" s="111">
        <v>10</v>
      </c>
    </row>
    <row r="491" spans="1:42" ht="15">
      <c r="A491" s="65" t="s">
        <v>675</v>
      </c>
      <c r="B491" s="65" t="s">
        <v>786</v>
      </c>
      <c r="C491" s="66" t="s">
        <v>4509</v>
      </c>
      <c r="D491" s="67">
        <v>3</v>
      </c>
      <c r="E491" s="68"/>
      <c r="F491" s="69">
        <v>40</v>
      </c>
      <c r="G491" s="66"/>
      <c r="H491" s="70"/>
      <c r="I491" s="71"/>
      <c r="J491" s="71"/>
      <c r="K491" s="35" t="s">
        <v>65</v>
      </c>
      <c r="L491" s="79">
        <v>491</v>
      </c>
      <c r="M491" s="79"/>
      <c r="N491" s="73"/>
      <c r="O491" s="81" t="s">
        <v>788</v>
      </c>
      <c r="P491" s="81" t="s">
        <v>325</v>
      </c>
      <c r="Q491" s="84" t="s">
        <v>1276</v>
      </c>
      <c r="R491" s="81" t="s">
        <v>675</v>
      </c>
      <c r="S491" s="81" t="s">
        <v>1742</v>
      </c>
      <c r="T491" s="86" t="str">
        <f>HYPERLINK("http://www.youtube.com/channel/UCNZUddA0ZXKFrzglJQfdI0g")</f>
        <v>http://www.youtube.com/channel/UCNZUddA0ZXKFrzglJQfdI0g</v>
      </c>
      <c r="U491" s="81"/>
      <c r="V491" s="81" t="s">
        <v>1885</v>
      </c>
      <c r="W491" s="86" t="str">
        <f>HYPERLINK("https://www.youtube.com/watch?v=wadBvDPeE4E")</f>
        <v>https://www.youtube.com/watch?v=wadBvDPeE4E</v>
      </c>
      <c r="X491" s="81" t="s">
        <v>1886</v>
      </c>
      <c r="Y491" s="81">
        <v>2</v>
      </c>
      <c r="Z491" s="88">
        <v>43326.752858796295</v>
      </c>
      <c r="AA491" s="88">
        <v>43326.752858796295</v>
      </c>
      <c r="AB491" s="81"/>
      <c r="AC491" s="81"/>
      <c r="AD491" s="84" t="s">
        <v>1927</v>
      </c>
      <c r="AE491" s="82">
        <v>1</v>
      </c>
      <c r="AF491" s="83" t="str">
        <f>REPLACE(INDEX(GroupVertices[Group],MATCH(Edges[[#This Row],[Vertex 1]],GroupVertices[Vertex],0)),1,1,"")</f>
        <v>1</v>
      </c>
      <c r="AG491" s="83" t="str">
        <f>REPLACE(INDEX(GroupVertices[Group],MATCH(Edges[[#This Row],[Vertex 2]],GroupVertices[Vertex],0)),1,1,"")</f>
        <v>1</v>
      </c>
      <c r="AH491" s="111">
        <v>3</v>
      </c>
      <c r="AI491" s="112">
        <v>60</v>
      </c>
      <c r="AJ491" s="111">
        <v>0</v>
      </c>
      <c r="AK491" s="112">
        <v>0</v>
      </c>
      <c r="AL491" s="111">
        <v>0</v>
      </c>
      <c r="AM491" s="112">
        <v>0</v>
      </c>
      <c r="AN491" s="111">
        <v>2</v>
      </c>
      <c r="AO491" s="112">
        <v>40</v>
      </c>
      <c r="AP491" s="111">
        <v>5</v>
      </c>
    </row>
    <row r="492" spans="1:42" ht="15">
      <c r="A492" s="65" t="s">
        <v>676</v>
      </c>
      <c r="B492" s="65" t="s">
        <v>786</v>
      </c>
      <c r="C492" s="66" t="s">
        <v>4509</v>
      </c>
      <c r="D492" s="67">
        <v>3</v>
      </c>
      <c r="E492" s="68"/>
      <c r="F492" s="69">
        <v>40</v>
      </c>
      <c r="G492" s="66"/>
      <c r="H492" s="70"/>
      <c r="I492" s="71"/>
      <c r="J492" s="71"/>
      <c r="K492" s="35" t="s">
        <v>65</v>
      </c>
      <c r="L492" s="79">
        <v>492</v>
      </c>
      <c r="M492" s="79"/>
      <c r="N492" s="73"/>
      <c r="O492" s="81" t="s">
        <v>788</v>
      </c>
      <c r="P492" s="81" t="s">
        <v>325</v>
      </c>
      <c r="Q492" s="84" t="s">
        <v>1277</v>
      </c>
      <c r="R492" s="81" t="s">
        <v>676</v>
      </c>
      <c r="S492" s="81" t="s">
        <v>1743</v>
      </c>
      <c r="T492" s="86" t="str">
        <f>HYPERLINK("http://www.youtube.com/channel/UCRnUIJVZ6DOmqnLf-kDH72g")</f>
        <v>http://www.youtube.com/channel/UCRnUIJVZ6DOmqnLf-kDH72g</v>
      </c>
      <c r="U492" s="81"/>
      <c r="V492" s="81" t="s">
        <v>1885</v>
      </c>
      <c r="W492" s="86" t="str">
        <f>HYPERLINK("https://www.youtube.com/watch?v=wadBvDPeE4E")</f>
        <v>https://www.youtube.com/watch?v=wadBvDPeE4E</v>
      </c>
      <c r="X492" s="81" t="s">
        <v>1886</v>
      </c>
      <c r="Y492" s="81">
        <v>0</v>
      </c>
      <c r="Z492" s="88">
        <v>43487.30446759259</v>
      </c>
      <c r="AA492" s="88">
        <v>43487.3049537037</v>
      </c>
      <c r="AB492" s="81"/>
      <c r="AC492" s="81"/>
      <c r="AD492" s="84" t="s">
        <v>1927</v>
      </c>
      <c r="AE492" s="82">
        <v>1</v>
      </c>
      <c r="AF492" s="83" t="str">
        <f>REPLACE(INDEX(GroupVertices[Group],MATCH(Edges[[#This Row],[Vertex 1]],GroupVertices[Vertex],0)),1,1,"")</f>
        <v>1</v>
      </c>
      <c r="AG492" s="83" t="str">
        <f>REPLACE(INDEX(GroupVertices[Group],MATCH(Edges[[#This Row],[Vertex 2]],GroupVertices[Vertex],0)),1,1,"")</f>
        <v>1</v>
      </c>
      <c r="AH492" s="111">
        <v>0</v>
      </c>
      <c r="AI492" s="112">
        <v>0</v>
      </c>
      <c r="AJ492" s="111">
        <v>0</v>
      </c>
      <c r="AK492" s="112">
        <v>0</v>
      </c>
      <c r="AL492" s="111">
        <v>0</v>
      </c>
      <c r="AM492" s="112">
        <v>0</v>
      </c>
      <c r="AN492" s="111">
        <v>16</v>
      </c>
      <c r="AO492" s="112">
        <v>100</v>
      </c>
      <c r="AP492" s="111">
        <v>16</v>
      </c>
    </row>
    <row r="493" spans="1:42" ht="15">
      <c r="A493" s="65" t="s">
        <v>677</v>
      </c>
      <c r="B493" s="65" t="s">
        <v>786</v>
      </c>
      <c r="C493" s="66" t="s">
        <v>4509</v>
      </c>
      <c r="D493" s="67">
        <v>3</v>
      </c>
      <c r="E493" s="68"/>
      <c r="F493" s="69">
        <v>40</v>
      </c>
      <c r="G493" s="66"/>
      <c r="H493" s="70"/>
      <c r="I493" s="71"/>
      <c r="J493" s="71"/>
      <c r="K493" s="35" t="s">
        <v>65</v>
      </c>
      <c r="L493" s="79">
        <v>493</v>
      </c>
      <c r="M493" s="79"/>
      <c r="N493" s="73"/>
      <c r="O493" s="81" t="s">
        <v>788</v>
      </c>
      <c r="P493" s="81" t="s">
        <v>325</v>
      </c>
      <c r="Q493" s="84" t="s">
        <v>1278</v>
      </c>
      <c r="R493" s="81" t="s">
        <v>677</v>
      </c>
      <c r="S493" s="81" t="s">
        <v>1744</v>
      </c>
      <c r="T493" s="86" t="str">
        <f>HYPERLINK("http://www.youtube.com/channel/UCYSDe3eNHFL6qqq5368Niig")</f>
        <v>http://www.youtube.com/channel/UCYSDe3eNHFL6qqq5368Niig</v>
      </c>
      <c r="U493" s="81"/>
      <c r="V493" s="81" t="s">
        <v>1885</v>
      </c>
      <c r="W493" s="86" t="str">
        <f>HYPERLINK("https://www.youtube.com/watch?v=wadBvDPeE4E")</f>
        <v>https://www.youtube.com/watch?v=wadBvDPeE4E</v>
      </c>
      <c r="X493" s="81" t="s">
        <v>1886</v>
      </c>
      <c r="Y493" s="81">
        <v>0</v>
      </c>
      <c r="Z493" s="88">
        <v>43523.67314814815</v>
      </c>
      <c r="AA493" s="88">
        <v>43523.67314814815</v>
      </c>
      <c r="AB493" s="81" t="s">
        <v>1908</v>
      </c>
      <c r="AC493" s="81" t="s">
        <v>1925</v>
      </c>
      <c r="AD493" s="84" t="s">
        <v>1927</v>
      </c>
      <c r="AE493" s="82">
        <v>1</v>
      </c>
      <c r="AF493" s="83" t="str">
        <f>REPLACE(INDEX(GroupVertices[Group],MATCH(Edges[[#This Row],[Vertex 1]],GroupVertices[Vertex],0)),1,1,"")</f>
        <v>1</v>
      </c>
      <c r="AG493" s="83" t="str">
        <f>REPLACE(INDEX(GroupVertices[Group],MATCH(Edges[[#This Row],[Vertex 2]],GroupVertices[Vertex],0)),1,1,"")</f>
        <v>1</v>
      </c>
      <c r="AH493" s="111">
        <v>6</v>
      </c>
      <c r="AI493" s="112">
        <v>5.9405940594059405</v>
      </c>
      <c r="AJ493" s="111">
        <v>0</v>
      </c>
      <c r="AK493" s="112">
        <v>0</v>
      </c>
      <c r="AL493" s="111">
        <v>0</v>
      </c>
      <c r="AM493" s="112">
        <v>0</v>
      </c>
      <c r="AN493" s="111">
        <v>95</v>
      </c>
      <c r="AO493" s="112">
        <v>94.05940594059406</v>
      </c>
      <c r="AP493" s="111">
        <v>101</v>
      </c>
    </row>
    <row r="494" spans="1:42" ht="15">
      <c r="A494" s="65" t="s">
        <v>678</v>
      </c>
      <c r="B494" s="65" t="s">
        <v>786</v>
      </c>
      <c r="C494" s="66" t="s">
        <v>4509</v>
      </c>
      <c r="D494" s="67">
        <v>3</v>
      </c>
      <c r="E494" s="68"/>
      <c r="F494" s="69">
        <v>40</v>
      </c>
      <c r="G494" s="66"/>
      <c r="H494" s="70"/>
      <c r="I494" s="71"/>
      <c r="J494" s="71"/>
      <c r="K494" s="35" t="s">
        <v>65</v>
      </c>
      <c r="L494" s="79">
        <v>494</v>
      </c>
      <c r="M494" s="79"/>
      <c r="N494" s="73"/>
      <c r="O494" s="81" t="s">
        <v>788</v>
      </c>
      <c r="P494" s="81" t="s">
        <v>325</v>
      </c>
      <c r="Q494" s="84" t="s">
        <v>1279</v>
      </c>
      <c r="R494" s="81" t="s">
        <v>678</v>
      </c>
      <c r="S494" s="81" t="s">
        <v>1745</v>
      </c>
      <c r="T494" s="86" t="str">
        <f>HYPERLINK("http://www.youtube.com/channel/UCbM82w6bCQYpP31QHuSJfTw")</f>
        <v>http://www.youtube.com/channel/UCbM82w6bCQYpP31QHuSJfTw</v>
      </c>
      <c r="U494" s="81"/>
      <c r="V494" s="81" t="s">
        <v>1885</v>
      </c>
      <c r="W494" s="86" t="str">
        <f>HYPERLINK("https://www.youtube.com/watch?v=wadBvDPeE4E")</f>
        <v>https://www.youtube.com/watch?v=wadBvDPeE4E</v>
      </c>
      <c r="X494" s="81" t="s">
        <v>1886</v>
      </c>
      <c r="Y494" s="81">
        <v>0</v>
      </c>
      <c r="Z494" s="88">
        <v>43535.38700231481</v>
      </c>
      <c r="AA494" s="88">
        <v>43535.38700231481</v>
      </c>
      <c r="AB494" s="81" t="s">
        <v>1909</v>
      </c>
      <c r="AC494" s="81" t="s">
        <v>1922</v>
      </c>
      <c r="AD494" s="84" t="s">
        <v>1927</v>
      </c>
      <c r="AE494" s="82">
        <v>1</v>
      </c>
      <c r="AF494" s="83" t="str">
        <f>REPLACE(INDEX(GroupVertices[Group],MATCH(Edges[[#This Row],[Vertex 1]],GroupVertices[Vertex],0)),1,1,"")</f>
        <v>1</v>
      </c>
      <c r="AG494" s="83" t="str">
        <f>REPLACE(INDEX(GroupVertices[Group],MATCH(Edges[[#This Row],[Vertex 2]],GroupVertices[Vertex],0)),1,1,"")</f>
        <v>1</v>
      </c>
      <c r="AH494" s="111">
        <v>0</v>
      </c>
      <c r="AI494" s="112">
        <v>0</v>
      </c>
      <c r="AJ494" s="111">
        <v>0</v>
      </c>
      <c r="AK494" s="112">
        <v>0</v>
      </c>
      <c r="AL494" s="111">
        <v>0</v>
      </c>
      <c r="AM494" s="112">
        <v>0</v>
      </c>
      <c r="AN494" s="111">
        <v>23</v>
      </c>
      <c r="AO494" s="112">
        <v>100</v>
      </c>
      <c r="AP494" s="111">
        <v>23</v>
      </c>
    </row>
    <row r="495" spans="1:42" ht="15">
      <c r="A495" s="65" t="s">
        <v>679</v>
      </c>
      <c r="B495" s="65" t="s">
        <v>786</v>
      </c>
      <c r="C495" s="66" t="s">
        <v>4509</v>
      </c>
      <c r="D495" s="67">
        <v>3</v>
      </c>
      <c r="E495" s="68"/>
      <c r="F495" s="69">
        <v>40</v>
      </c>
      <c r="G495" s="66"/>
      <c r="H495" s="70"/>
      <c r="I495" s="71"/>
      <c r="J495" s="71"/>
      <c r="K495" s="35" t="s">
        <v>65</v>
      </c>
      <c r="L495" s="79">
        <v>495</v>
      </c>
      <c r="M495" s="79"/>
      <c r="N495" s="73"/>
      <c r="O495" s="81" t="s">
        <v>788</v>
      </c>
      <c r="P495" s="81" t="s">
        <v>325</v>
      </c>
      <c r="Q495" s="84" t="s">
        <v>1280</v>
      </c>
      <c r="R495" s="81" t="s">
        <v>679</v>
      </c>
      <c r="S495" s="81" t="s">
        <v>1746</v>
      </c>
      <c r="T495" s="86" t="str">
        <f>HYPERLINK("http://www.youtube.com/channel/UC36wQpC1Q9SwSajBrHQSzJw")</f>
        <v>http://www.youtube.com/channel/UC36wQpC1Q9SwSajBrHQSzJw</v>
      </c>
      <c r="U495" s="81"/>
      <c r="V495" s="81" t="s">
        <v>1885</v>
      </c>
      <c r="W495" s="86" t="str">
        <f>HYPERLINK("https://www.youtube.com/watch?v=wadBvDPeE4E")</f>
        <v>https://www.youtube.com/watch?v=wadBvDPeE4E</v>
      </c>
      <c r="X495" s="81" t="s">
        <v>1886</v>
      </c>
      <c r="Y495" s="81">
        <v>0</v>
      </c>
      <c r="Z495" s="88">
        <v>43542.59799768519</v>
      </c>
      <c r="AA495" s="88">
        <v>43542.59799768519</v>
      </c>
      <c r="AB495" s="81"/>
      <c r="AC495" s="81"/>
      <c r="AD495" s="84" t="s">
        <v>1927</v>
      </c>
      <c r="AE495" s="82">
        <v>1</v>
      </c>
      <c r="AF495" s="83" t="str">
        <f>REPLACE(INDEX(GroupVertices[Group],MATCH(Edges[[#This Row],[Vertex 1]],GroupVertices[Vertex],0)),1,1,"")</f>
        <v>1</v>
      </c>
      <c r="AG495" s="83" t="str">
        <f>REPLACE(INDEX(GroupVertices[Group],MATCH(Edges[[#This Row],[Vertex 2]],GroupVertices[Vertex],0)),1,1,"")</f>
        <v>1</v>
      </c>
      <c r="AH495" s="111">
        <v>1</v>
      </c>
      <c r="AI495" s="112">
        <v>11.11111111111111</v>
      </c>
      <c r="AJ495" s="111">
        <v>0</v>
      </c>
      <c r="AK495" s="112">
        <v>0</v>
      </c>
      <c r="AL495" s="111">
        <v>0</v>
      </c>
      <c r="AM495" s="112">
        <v>0</v>
      </c>
      <c r="AN495" s="111">
        <v>8</v>
      </c>
      <c r="AO495" s="112">
        <v>88.88888888888889</v>
      </c>
      <c r="AP495" s="111">
        <v>9</v>
      </c>
    </row>
    <row r="496" spans="1:42" ht="15">
      <c r="A496" s="65" t="s">
        <v>680</v>
      </c>
      <c r="B496" s="65" t="s">
        <v>786</v>
      </c>
      <c r="C496" s="66" t="s">
        <v>4509</v>
      </c>
      <c r="D496" s="67">
        <v>3</v>
      </c>
      <c r="E496" s="68"/>
      <c r="F496" s="69">
        <v>40</v>
      </c>
      <c r="G496" s="66"/>
      <c r="H496" s="70"/>
      <c r="I496" s="71"/>
      <c r="J496" s="71"/>
      <c r="K496" s="35" t="s">
        <v>65</v>
      </c>
      <c r="L496" s="79">
        <v>496</v>
      </c>
      <c r="M496" s="79"/>
      <c r="N496" s="73"/>
      <c r="O496" s="81" t="s">
        <v>788</v>
      </c>
      <c r="P496" s="81" t="s">
        <v>325</v>
      </c>
      <c r="Q496" s="84" t="s">
        <v>1281</v>
      </c>
      <c r="R496" s="81" t="s">
        <v>680</v>
      </c>
      <c r="S496" s="81" t="s">
        <v>1747</v>
      </c>
      <c r="T496" s="86" t="str">
        <f>HYPERLINK("http://www.youtube.com/channel/UCfhMIRcf8JtZXrcwoyPpEjg")</f>
        <v>http://www.youtube.com/channel/UCfhMIRcf8JtZXrcwoyPpEjg</v>
      </c>
      <c r="U496" s="81"/>
      <c r="V496" s="81" t="s">
        <v>1885</v>
      </c>
      <c r="W496" s="86" t="str">
        <f>HYPERLINK("https://www.youtube.com/watch?v=wadBvDPeE4E")</f>
        <v>https://www.youtube.com/watch?v=wadBvDPeE4E</v>
      </c>
      <c r="X496" s="81" t="s">
        <v>1886</v>
      </c>
      <c r="Y496" s="81">
        <v>0</v>
      </c>
      <c r="Z496" s="88">
        <v>43598.83012731482</v>
      </c>
      <c r="AA496" s="88">
        <v>43598.83012731482</v>
      </c>
      <c r="AB496" s="81"/>
      <c r="AC496" s="81"/>
      <c r="AD496" s="84" t="s">
        <v>1927</v>
      </c>
      <c r="AE496" s="82">
        <v>1</v>
      </c>
      <c r="AF496" s="83" t="str">
        <f>REPLACE(INDEX(GroupVertices[Group],MATCH(Edges[[#This Row],[Vertex 1]],GroupVertices[Vertex],0)),1,1,"")</f>
        <v>1</v>
      </c>
      <c r="AG496" s="83" t="str">
        <f>REPLACE(INDEX(GroupVertices[Group],MATCH(Edges[[#This Row],[Vertex 2]],GroupVertices[Vertex],0)),1,1,"")</f>
        <v>1</v>
      </c>
      <c r="AH496" s="111">
        <v>1</v>
      </c>
      <c r="AI496" s="112">
        <v>7.6923076923076925</v>
      </c>
      <c r="AJ496" s="111">
        <v>1</v>
      </c>
      <c r="AK496" s="112">
        <v>7.6923076923076925</v>
      </c>
      <c r="AL496" s="111">
        <v>0</v>
      </c>
      <c r="AM496" s="112">
        <v>0</v>
      </c>
      <c r="AN496" s="111">
        <v>11</v>
      </c>
      <c r="AO496" s="112">
        <v>84.61538461538461</v>
      </c>
      <c r="AP496" s="111">
        <v>13</v>
      </c>
    </row>
    <row r="497" spans="1:42" ht="15">
      <c r="A497" s="65" t="s">
        <v>681</v>
      </c>
      <c r="B497" s="65" t="s">
        <v>786</v>
      </c>
      <c r="C497" s="66" t="s">
        <v>4509</v>
      </c>
      <c r="D497" s="67">
        <v>3</v>
      </c>
      <c r="E497" s="68"/>
      <c r="F497" s="69">
        <v>40</v>
      </c>
      <c r="G497" s="66"/>
      <c r="H497" s="70"/>
      <c r="I497" s="71"/>
      <c r="J497" s="71"/>
      <c r="K497" s="35" t="s">
        <v>65</v>
      </c>
      <c r="L497" s="79">
        <v>497</v>
      </c>
      <c r="M497" s="79"/>
      <c r="N497" s="73"/>
      <c r="O497" s="81" t="s">
        <v>788</v>
      </c>
      <c r="P497" s="81" t="s">
        <v>325</v>
      </c>
      <c r="Q497" s="84" t="s">
        <v>1282</v>
      </c>
      <c r="R497" s="81" t="s">
        <v>681</v>
      </c>
      <c r="S497" s="81" t="s">
        <v>1748</v>
      </c>
      <c r="T497" s="86" t="str">
        <f>HYPERLINK("http://www.youtube.com/channel/UC9fJsqLvoU6cFvofkzPfgZQ")</f>
        <v>http://www.youtube.com/channel/UC9fJsqLvoU6cFvofkzPfgZQ</v>
      </c>
      <c r="U497" s="81"/>
      <c r="V497" s="81" t="s">
        <v>1885</v>
      </c>
      <c r="W497" s="86" t="str">
        <f>HYPERLINK("https://www.youtube.com/watch?v=wadBvDPeE4E")</f>
        <v>https://www.youtube.com/watch?v=wadBvDPeE4E</v>
      </c>
      <c r="X497" s="81" t="s">
        <v>1886</v>
      </c>
      <c r="Y497" s="81">
        <v>2</v>
      </c>
      <c r="Z497" s="88">
        <v>43719.03113425926</v>
      </c>
      <c r="AA497" s="88">
        <v>43719.03113425926</v>
      </c>
      <c r="AB497" s="81"/>
      <c r="AC497" s="81"/>
      <c r="AD497" s="84" t="s">
        <v>1927</v>
      </c>
      <c r="AE497" s="82">
        <v>1</v>
      </c>
      <c r="AF497" s="83" t="str">
        <f>REPLACE(INDEX(GroupVertices[Group],MATCH(Edges[[#This Row],[Vertex 1]],GroupVertices[Vertex],0)),1,1,"")</f>
        <v>1</v>
      </c>
      <c r="AG497" s="83" t="str">
        <f>REPLACE(INDEX(GroupVertices[Group],MATCH(Edges[[#This Row],[Vertex 2]],GroupVertices[Vertex],0)),1,1,"")</f>
        <v>1</v>
      </c>
      <c r="AH497" s="111">
        <v>2</v>
      </c>
      <c r="AI497" s="112">
        <v>50</v>
      </c>
      <c r="AJ497" s="111">
        <v>0</v>
      </c>
      <c r="AK497" s="112">
        <v>0</v>
      </c>
      <c r="AL497" s="111">
        <v>0</v>
      </c>
      <c r="AM497" s="112">
        <v>0</v>
      </c>
      <c r="AN497" s="111">
        <v>2</v>
      </c>
      <c r="AO497" s="112">
        <v>50</v>
      </c>
      <c r="AP497" s="111">
        <v>4</v>
      </c>
    </row>
    <row r="498" spans="1:42" ht="15">
      <c r="A498" s="65" t="s">
        <v>682</v>
      </c>
      <c r="B498" s="65" t="s">
        <v>786</v>
      </c>
      <c r="C498" s="66" t="s">
        <v>4509</v>
      </c>
      <c r="D498" s="67">
        <v>3</v>
      </c>
      <c r="E498" s="68"/>
      <c r="F498" s="69">
        <v>40</v>
      </c>
      <c r="G498" s="66"/>
      <c r="H498" s="70"/>
      <c r="I498" s="71"/>
      <c r="J498" s="71"/>
      <c r="K498" s="35" t="s">
        <v>65</v>
      </c>
      <c r="L498" s="79">
        <v>498</v>
      </c>
      <c r="M498" s="79"/>
      <c r="N498" s="73"/>
      <c r="O498" s="81" t="s">
        <v>788</v>
      </c>
      <c r="P498" s="81" t="s">
        <v>325</v>
      </c>
      <c r="Q498" s="84" t="s">
        <v>1283</v>
      </c>
      <c r="R498" s="81" t="s">
        <v>682</v>
      </c>
      <c r="S498" s="81" t="s">
        <v>1749</v>
      </c>
      <c r="T498" s="86" t="str">
        <f>HYPERLINK("http://www.youtube.com/channel/UCu7t9a69EsHoff5-gNTZfsw")</f>
        <v>http://www.youtube.com/channel/UCu7t9a69EsHoff5-gNTZfsw</v>
      </c>
      <c r="U498" s="81"/>
      <c r="V498" s="81" t="s">
        <v>1885</v>
      </c>
      <c r="W498" s="86" t="str">
        <f>HYPERLINK("https://www.youtube.com/watch?v=wadBvDPeE4E")</f>
        <v>https://www.youtube.com/watch?v=wadBvDPeE4E</v>
      </c>
      <c r="X498" s="81" t="s">
        <v>1886</v>
      </c>
      <c r="Y498" s="81">
        <v>0</v>
      </c>
      <c r="Z498" s="88">
        <v>43878.000659722224</v>
      </c>
      <c r="AA498" s="88">
        <v>43878.000659722224</v>
      </c>
      <c r="AB498" s="81"/>
      <c r="AC498" s="81"/>
      <c r="AD498" s="84" t="s">
        <v>1927</v>
      </c>
      <c r="AE498" s="82">
        <v>1</v>
      </c>
      <c r="AF498" s="83" t="str">
        <f>REPLACE(INDEX(GroupVertices[Group],MATCH(Edges[[#This Row],[Vertex 1]],GroupVertices[Vertex],0)),1,1,"")</f>
        <v>1</v>
      </c>
      <c r="AG498" s="83" t="str">
        <f>REPLACE(INDEX(GroupVertices[Group],MATCH(Edges[[#This Row],[Vertex 2]],GroupVertices[Vertex],0)),1,1,"")</f>
        <v>1</v>
      </c>
      <c r="AH498" s="111">
        <v>2</v>
      </c>
      <c r="AI498" s="112">
        <v>4.25531914893617</v>
      </c>
      <c r="AJ498" s="111">
        <v>1</v>
      </c>
      <c r="AK498" s="112">
        <v>2.127659574468085</v>
      </c>
      <c r="AL498" s="111">
        <v>0</v>
      </c>
      <c r="AM498" s="112">
        <v>0</v>
      </c>
      <c r="AN498" s="111">
        <v>44</v>
      </c>
      <c r="AO498" s="112">
        <v>93.61702127659575</v>
      </c>
      <c r="AP498" s="111">
        <v>47</v>
      </c>
    </row>
    <row r="499" spans="1:42" ht="15">
      <c r="A499" s="65" t="s">
        <v>683</v>
      </c>
      <c r="B499" s="65" t="s">
        <v>786</v>
      </c>
      <c r="C499" s="66" t="s">
        <v>4509</v>
      </c>
      <c r="D499" s="67">
        <v>3</v>
      </c>
      <c r="E499" s="68"/>
      <c r="F499" s="69">
        <v>40</v>
      </c>
      <c r="G499" s="66"/>
      <c r="H499" s="70"/>
      <c r="I499" s="71"/>
      <c r="J499" s="71"/>
      <c r="K499" s="35" t="s">
        <v>65</v>
      </c>
      <c r="L499" s="79">
        <v>499</v>
      </c>
      <c r="M499" s="79"/>
      <c r="N499" s="73"/>
      <c r="O499" s="81" t="s">
        <v>788</v>
      </c>
      <c r="P499" s="81" t="s">
        <v>325</v>
      </c>
      <c r="Q499" s="84" t="s">
        <v>1284</v>
      </c>
      <c r="R499" s="81" t="s">
        <v>683</v>
      </c>
      <c r="S499" s="81" t="s">
        <v>1750</v>
      </c>
      <c r="T499" s="86" t="str">
        <f>HYPERLINK("http://www.youtube.com/channel/UCe-YYZwDoUk1oKCH8-mdN2w")</f>
        <v>http://www.youtube.com/channel/UCe-YYZwDoUk1oKCH8-mdN2w</v>
      </c>
      <c r="U499" s="81"/>
      <c r="V499" s="81" t="s">
        <v>1885</v>
      </c>
      <c r="W499" s="86" t="str">
        <f>HYPERLINK("https://www.youtube.com/watch?v=wadBvDPeE4E")</f>
        <v>https://www.youtube.com/watch?v=wadBvDPeE4E</v>
      </c>
      <c r="X499" s="81" t="s">
        <v>1886</v>
      </c>
      <c r="Y499" s="81">
        <v>0</v>
      </c>
      <c r="Z499" s="88">
        <v>43904.43439814815</v>
      </c>
      <c r="AA499" s="88">
        <v>43904.43439814815</v>
      </c>
      <c r="AB499" s="81" t="s">
        <v>1910</v>
      </c>
      <c r="AC499" s="81" t="s">
        <v>1922</v>
      </c>
      <c r="AD499" s="84" t="s">
        <v>1927</v>
      </c>
      <c r="AE499" s="82">
        <v>1</v>
      </c>
      <c r="AF499" s="83" t="str">
        <f>REPLACE(INDEX(GroupVertices[Group],MATCH(Edges[[#This Row],[Vertex 1]],GroupVertices[Vertex],0)),1,1,"")</f>
        <v>1</v>
      </c>
      <c r="AG499" s="83" t="str">
        <f>REPLACE(INDEX(GroupVertices[Group],MATCH(Edges[[#This Row],[Vertex 2]],GroupVertices[Vertex],0)),1,1,"")</f>
        <v>1</v>
      </c>
      <c r="AH499" s="111">
        <v>0</v>
      </c>
      <c r="AI499" s="112">
        <v>0</v>
      </c>
      <c r="AJ499" s="111">
        <v>0</v>
      </c>
      <c r="AK499" s="112">
        <v>0</v>
      </c>
      <c r="AL499" s="111">
        <v>0</v>
      </c>
      <c r="AM499" s="112">
        <v>0</v>
      </c>
      <c r="AN499" s="111">
        <v>15</v>
      </c>
      <c r="AO499" s="112">
        <v>100</v>
      </c>
      <c r="AP499" s="111">
        <v>15</v>
      </c>
    </row>
    <row r="500" spans="1:42" ht="15">
      <c r="A500" s="65" t="s">
        <v>684</v>
      </c>
      <c r="B500" s="65" t="s">
        <v>786</v>
      </c>
      <c r="C500" s="66" t="s">
        <v>4509</v>
      </c>
      <c r="D500" s="67">
        <v>3</v>
      </c>
      <c r="E500" s="68"/>
      <c r="F500" s="69">
        <v>40</v>
      </c>
      <c r="G500" s="66"/>
      <c r="H500" s="70"/>
      <c r="I500" s="71"/>
      <c r="J500" s="71"/>
      <c r="K500" s="35" t="s">
        <v>65</v>
      </c>
      <c r="L500" s="79">
        <v>500</v>
      </c>
      <c r="M500" s="79"/>
      <c r="N500" s="73"/>
      <c r="O500" s="81" t="s">
        <v>788</v>
      </c>
      <c r="P500" s="81" t="s">
        <v>325</v>
      </c>
      <c r="Q500" s="84" t="s">
        <v>1285</v>
      </c>
      <c r="R500" s="81" t="s">
        <v>684</v>
      </c>
      <c r="S500" s="81" t="s">
        <v>1751</v>
      </c>
      <c r="T500" s="86" t="str">
        <f>HYPERLINK("http://www.youtube.com/channel/UCIGaMxgyboLhBnRairRbykQ")</f>
        <v>http://www.youtube.com/channel/UCIGaMxgyboLhBnRairRbykQ</v>
      </c>
      <c r="U500" s="81"/>
      <c r="V500" s="81" t="s">
        <v>1885</v>
      </c>
      <c r="W500" s="86" t="str">
        <f>HYPERLINK("https://www.youtube.com/watch?v=wadBvDPeE4E")</f>
        <v>https://www.youtube.com/watch?v=wadBvDPeE4E</v>
      </c>
      <c r="X500" s="81" t="s">
        <v>1886</v>
      </c>
      <c r="Y500" s="81">
        <v>4</v>
      </c>
      <c r="Z500" s="88">
        <v>43977.73923611111</v>
      </c>
      <c r="AA500" s="88">
        <v>43977.73923611111</v>
      </c>
      <c r="AB500" s="81"/>
      <c r="AC500" s="81"/>
      <c r="AD500" s="84" t="s">
        <v>1927</v>
      </c>
      <c r="AE500" s="82">
        <v>1</v>
      </c>
      <c r="AF500" s="83" t="str">
        <f>REPLACE(INDEX(GroupVertices[Group],MATCH(Edges[[#This Row],[Vertex 1]],GroupVertices[Vertex],0)),1,1,"")</f>
        <v>1</v>
      </c>
      <c r="AG500" s="83" t="str">
        <f>REPLACE(INDEX(GroupVertices[Group],MATCH(Edges[[#This Row],[Vertex 2]],GroupVertices[Vertex],0)),1,1,"")</f>
        <v>1</v>
      </c>
      <c r="AH500" s="111">
        <v>2</v>
      </c>
      <c r="AI500" s="112">
        <v>9.523809523809524</v>
      </c>
      <c r="AJ500" s="111">
        <v>1</v>
      </c>
      <c r="AK500" s="112">
        <v>4.761904761904762</v>
      </c>
      <c r="AL500" s="111">
        <v>0</v>
      </c>
      <c r="AM500" s="112">
        <v>0</v>
      </c>
      <c r="AN500" s="111">
        <v>18</v>
      </c>
      <c r="AO500" s="112">
        <v>85.71428571428571</v>
      </c>
      <c r="AP500" s="111">
        <v>21</v>
      </c>
    </row>
    <row r="501" spans="1:42" ht="15">
      <c r="A501" s="65" t="s">
        <v>685</v>
      </c>
      <c r="B501" s="65" t="s">
        <v>786</v>
      </c>
      <c r="C501" s="66" t="s">
        <v>4509</v>
      </c>
      <c r="D501" s="67">
        <v>3</v>
      </c>
      <c r="E501" s="68"/>
      <c r="F501" s="69">
        <v>40</v>
      </c>
      <c r="G501" s="66"/>
      <c r="H501" s="70"/>
      <c r="I501" s="71"/>
      <c r="J501" s="71"/>
      <c r="K501" s="35" t="s">
        <v>65</v>
      </c>
      <c r="L501" s="79">
        <v>501</v>
      </c>
      <c r="M501" s="79"/>
      <c r="N501" s="73"/>
      <c r="O501" s="81" t="s">
        <v>788</v>
      </c>
      <c r="P501" s="81" t="s">
        <v>325</v>
      </c>
      <c r="Q501" s="84" t="s">
        <v>1286</v>
      </c>
      <c r="R501" s="81" t="s">
        <v>685</v>
      </c>
      <c r="S501" s="81" t="s">
        <v>1752</v>
      </c>
      <c r="T501" s="86" t="str">
        <f>HYPERLINK("http://www.youtube.com/channel/UCCN2uvSe7tJBPPzS-ov5VuA")</f>
        <v>http://www.youtube.com/channel/UCCN2uvSe7tJBPPzS-ov5VuA</v>
      </c>
      <c r="U501" s="81"/>
      <c r="V501" s="81" t="s">
        <v>1885</v>
      </c>
      <c r="W501" s="86" t="str">
        <f>HYPERLINK("https://www.youtube.com/watch?v=wadBvDPeE4E")</f>
        <v>https://www.youtube.com/watch?v=wadBvDPeE4E</v>
      </c>
      <c r="X501" s="81" t="s">
        <v>1886</v>
      </c>
      <c r="Y501" s="81">
        <v>0</v>
      </c>
      <c r="Z501" s="88">
        <v>44009.867997685185</v>
      </c>
      <c r="AA501" s="88">
        <v>44009.867997685185</v>
      </c>
      <c r="AB501" s="81"/>
      <c r="AC501" s="81"/>
      <c r="AD501" s="84" t="s">
        <v>1927</v>
      </c>
      <c r="AE501" s="82">
        <v>1</v>
      </c>
      <c r="AF501" s="83" t="str">
        <f>REPLACE(INDEX(GroupVertices[Group],MATCH(Edges[[#This Row],[Vertex 1]],GroupVertices[Vertex],0)),1,1,"")</f>
        <v>1</v>
      </c>
      <c r="AG501" s="83" t="str">
        <f>REPLACE(INDEX(GroupVertices[Group],MATCH(Edges[[#This Row],[Vertex 2]],GroupVertices[Vertex],0)),1,1,"")</f>
        <v>1</v>
      </c>
      <c r="AH501" s="111">
        <v>1</v>
      </c>
      <c r="AI501" s="112">
        <v>2.127659574468085</v>
      </c>
      <c r="AJ501" s="111">
        <v>2</v>
      </c>
      <c r="AK501" s="112">
        <v>4.25531914893617</v>
      </c>
      <c r="AL501" s="111">
        <v>0</v>
      </c>
      <c r="AM501" s="112">
        <v>0</v>
      </c>
      <c r="AN501" s="111">
        <v>44</v>
      </c>
      <c r="AO501" s="112">
        <v>93.61702127659575</v>
      </c>
      <c r="AP501" s="111">
        <v>47</v>
      </c>
    </row>
    <row r="502" spans="1:42" ht="15">
      <c r="A502" s="65" t="s">
        <v>686</v>
      </c>
      <c r="B502" s="65" t="s">
        <v>786</v>
      </c>
      <c r="C502" s="66" t="s">
        <v>4509</v>
      </c>
      <c r="D502" s="67">
        <v>3</v>
      </c>
      <c r="E502" s="68"/>
      <c r="F502" s="69">
        <v>40</v>
      </c>
      <c r="G502" s="66"/>
      <c r="H502" s="70"/>
      <c r="I502" s="71"/>
      <c r="J502" s="71"/>
      <c r="K502" s="35" t="s">
        <v>65</v>
      </c>
      <c r="L502" s="79">
        <v>502</v>
      </c>
      <c r="M502" s="79"/>
      <c r="N502" s="73"/>
      <c r="O502" s="81" t="s">
        <v>788</v>
      </c>
      <c r="P502" s="81" t="s">
        <v>325</v>
      </c>
      <c r="Q502" s="84" t="s">
        <v>1287</v>
      </c>
      <c r="R502" s="81" t="s">
        <v>686</v>
      </c>
      <c r="S502" s="81" t="s">
        <v>1753</v>
      </c>
      <c r="T502" s="86" t="str">
        <f>HYPERLINK("http://www.youtube.com/channel/UC2haiTorx4l2U33kSmbb-zg")</f>
        <v>http://www.youtube.com/channel/UC2haiTorx4l2U33kSmbb-zg</v>
      </c>
      <c r="U502" s="81"/>
      <c r="V502" s="81" t="s">
        <v>1885</v>
      </c>
      <c r="W502" s="86" t="str">
        <f>HYPERLINK("https://www.youtube.com/watch?v=wadBvDPeE4E")</f>
        <v>https://www.youtube.com/watch?v=wadBvDPeE4E</v>
      </c>
      <c r="X502" s="81" t="s">
        <v>1886</v>
      </c>
      <c r="Y502" s="81">
        <v>0</v>
      </c>
      <c r="Z502" s="88">
        <v>44021.92444444444</v>
      </c>
      <c r="AA502" s="88">
        <v>44021.92444444444</v>
      </c>
      <c r="AB502" s="81"/>
      <c r="AC502" s="81"/>
      <c r="AD502" s="84" t="s">
        <v>1927</v>
      </c>
      <c r="AE502" s="82">
        <v>1</v>
      </c>
      <c r="AF502" s="83" t="str">
        <f>REPLACE(INDEX(GroupVertices[Group],MATCH(Edges[[#This Row],[Vertex 1]],GroupVertices[Vertex],0)),1,1,"")</f>
        <v>1</v>
      </c>
      <c r="AG502" s="83" t="str">
        <f>REPLACE(INDEX(GroupVertices[Group],MATCH(Edges[[#This Row],[Vertex 2]],GroupVertices[Vertex],0)),1,1,"")</f>
        <v>1</v>
      </c>
      <c r="AH502" s="111">
        <v>3</v>
      </c>
      <c r="AI502" s="112">
        <v>14.285714285714286</v>
      </c>
      <c r="AJ502" s="111">
        <v>0</v>
      </c>
      <c r="AK502" s="112">
        <v>0</v>
      </c>
      <c r="AL502" s="111">
        <v>0</v>
      </c>
      <c r="AM502" s="112">
        <v>0</v>
      </c>
      <c r="AN502" s="111">
        <v>18</v>
      </c>
      <c r="AO502" s="112">
        <v>85.71428571428571</v>
      </c>
      <c r="AP502" s="111">
        <v>21</v>
      </c>
    </row>
    <row r="503" spans="1:42" ht="15">
      <c r="A503" s="65" t="s">
        <v>687</v>
      </c>
      <c r="B503" s="65" t="s">
        <v>786</v>
      </c>
      <c r="C503" s="66" t="s">
        <v>4509</v>
      </c>
      <c r="D503" s="67">
        <v>3</v>
      </c>
      <c r="E503" s="68"/>
      <c r="F503" s="69">
        <v>40</v>
      </c>
      <c r="G503" s="66"/>
      <c r="H503" s="70"/>
      <c r="I503" s="71"/>
      <c r="J503" s="71"/>
      <c r="K503" s="35" t="s">
        <v>65</v>
      </c>
      <c r="L503" s="79">
        <v>503</v>
      </c>
      <c r="M503" s="79"/>
      <c r="N503" s="73"/>
      <c r="O503" s="81" t="s">
        <v>788</v>
      </c>
      <c r="P503" s="81" t="s">
        <v>325</v>
      </c>
      <c r="Q503" s="84" t="s">
        <v>1288</v>
      </c>
      <c r="R503" s="81" t="s">
        <v>687</v>
      </c>
      <c r="S503" s="81" t="s">
        <v>1754</v>
      </c>
      <c r="T503" s="86" t="str">
        <f>HYPERLINK("http://www.youtube.com/channel/UCNLP7KjukD8237DEPYRWiWQ")</f>
        <v>http://www.youtube.com/channel/UCNLP7KjukD8237DEPYRWiWQ</v>
      </c>
      <c r="U503" s="81"/>
      <c r="V503" s="81" t="s">
        <v>1885</v>
      </c>
      <c r="W503" s="86" t="str">
        <f>HYPERLINK("https://www.youtube.com/watch?v=wadBvDPeE4E")</f>
        <v>https://www.youtube.com/watch?v=wadBvDPeE4E</v>
      </c>
      <c r="X503" s="81" t="s">
        <v>1886</v>
      </c>
      <c r="Y503" s="81">
        <v>0</v>
      </c>
      <c r="Z503" s="88">
        <v>44031.5444212963</v>
      </c>
      <c r="AA503" s="88">
        <v>44031.5444212963</v>
      </c>
      <c r="AB503" s="81" t="s">
        <v>1911</v>
      </c>
      <c r="AC503" s="81" t="s">
        <v>1922</v>
      </c>
      <c r="AD503" s="84" t="s">
        <v>1927</v>
      </c>
      <c r="AE503" s="82">
        <v>1</v>
      </c>
      <c r="AF503" s="83" t="str">
        <f>REPLACE(INDEX(GroupVertices[Group],MATCH(Edges[[#This Row],[Vertex 1]],GroupVertices[Vertex],0)),1,1,"")</f>
        <v>1</v>
      </c>
      <c r="AG503" s="83" t="str">
        <f>REPLACE(INDEX(GroupVertices[Group],MATCH(Edges[[#This Row],[Vertex 2]],GroupVertices[Vertex],0)),1,1,"")</f>
        <v>1</v>
      </c>
      <c r="AH503" s="111">
        <v>0</v>
      </c>
      <c r="AI503" s="112">
        <v>0</v>
      </c>
      <c r="AJ503" s="111">
        <v>1</v>
      </c>
      <c r="AK503" s="112">
        <v>2.9411764705882355</v>
      </c>
      <c r="AL503" s="111">
        <v>0</v>
      </c>
      <c r="AM503" s="112">
        <v>0</v>
      </c>
      <c r="AN503" s="111">
        <v>33</v>
      </c>
      <c r="AO503" s="112">
        <v>97.05882352941177</v>
      </c>
      <c r="AP503" s="111">
        <v>34</v>
      </c>
    </row>
    <row r="504" spans="1:42" ht="15">
      <c r="A504" s="65" t="s">
        <v>688</v>
      </c>
      <c r="B504" s="65" t="s">
        <v>786</v>
      </c>
      <c r="C504" s="66" t="s">
        <v>4509</v>
      </c>
      <c r="D504" s="67">
        <v>3</v>
      </c>
      <c r="E504" s="68"/>
      <c r="F504" s="69">
        <v>40</v>
      </c>
      <c r="G504" s="66"/>
      <c r="H504" s="70"/>
      <c r="I504" s="71"/>
      <c r="J504" s="71"/>
      <c r="K504" s="35" t="s">
        <v>65</v>
      </c>
      <c r="L504" s="79">
        <v>504</v>
      </c>
      <c r="M504" s="79"/>
      <c r="N504" s="73"/>
      <c r="O504" s="81" t="s">
        <v>788</v>
      </c>
      <c r="P504" s="81" t="s">
        <v>325</v>
      </c>
      <c r="Q504" s="84" t="s">
        <v>1289</v>
      </c>
      <c r="R504" s="81" t="s">
        <v>688</v>
      </c>
      <c r="S504" s="81" t="s">
        <v>1755</v>
      </c>
      <c r="T504" s="86" t="str">
        <f>HYPERLINK("http://www.youtube.com/channel/UCRcw7MuIF7CQkK-O_mdiDPw")</f>
        <v>http://www.youtube.com/channel/UCRcw7MuIF7CQkK-O_mdiDPw</v>
      </c>
      <c r="U504" s="81"/>
      <c r="V504" s="81" t="s">
        <v>1885</v>
      </c>
      <c r="W504" s="86" t="str">
        <f>HYPERLINK("https://www.youtube.com/watch?v=wadBvDPeE4E")</f>
        <v>https://www.youtube.com/watch?v=wadBvDPeE4E</v>
      </c>
      <c r="X504" s="81" t="s">
        <v>1886</v>
      </c>
      <c r="Y504" s="81">
        <v>0</v>
      </c>
      <c r="Z504" s="88">
        <v>44092.030277777776</v>
      </c>
      <c r="AA504" s="88">
        <v>44092.030277777776</v>
      </c>
      <c r="AB504" s="81"/>
      <c r="AC504" s="81"/>
      <c r="AD504" s="84" t="s">
        <v>1927</v>
      </c>
      <c r="AE504" s="82">
        <v>1</v>
      </c>
      <c r="AF504" s="83" t="str">
        <f>REPLACE(INDEX(GroupVertices[Group],MATCH(Edges[[#This Row],[Vertex 1]],GroupVertices[Vertex],0)),1,1,"")</f>
        <v>1</v>
      </c>
      <c r="AG504" s="83" t="str">
        <f>REPLACE(INDEX(GroupVertices[Group],MATCH(Edges[[#This Row],[Vertex 2]],GroupVertices[Vertex],0)),1,1,"")</f>
        <v>1</v>
      </c>
      <c r="AH504" s="111">
        <v>0</v>
      </c>
      <c r="AI504" s="112">
        <v>0</v>
      </c>
      <c r="AJ504" s="111">
        <v>0</v>
      </c>
      <c r="AK504" s="112">
        <v>0</v>
      </c>
      <c r="AL504" s="111">
        <v>0</v>
      </c>
      <c r="AM504" s="112">
        <v>0</v>
      </c>
      <c r="AN504" s="111">
        <v>7</v>
      </c>
      <c r="AO504" s="112">
        <v>100</v>
      </c>
      <c r="AP504" s="111">
        <v>7</v>
      </c>
    </row>
    <row r="505" spans="1:42" ht="15">
      <c r="A505" s="65" t="s">
        <v>689</v>
      </c>
      <c r="B505" s="65" t="s">
        <v>786</v>
      </c>
      <c r="C505" s="66" t="s">
        <v>4509</v>
      </c>
      <c r="D505" s="67">
        <v>3</v>
      </c>
      <c r="E505" s="68"/>
      <c r="F505" s="69">
        <v>40</v>
      </c>
      <c r="G505" s="66"/>
      <c r="H505" s="70"/>
      <c r="I505" s="71"/>
      <c r="J505" s="71"/>
      <c r="K505" s="35" t="s">
        <v>65</v>
      </c>
      <c r="L505" s="79">
        <v>505</v>
      </c>
      <c r="M505" s="79"/>
      <c r="N505" s="73"/>
      <c r="O505" s="81" t="s">
        <v>788</v>
      </c>
      <c r="P505" s="81" t="s">
        <v>325</v>
      </c>
      <c r="Q505" s="84" t="s">
        <v>1290</v>
      </c>
      <c r="R505" s="81" t="s">
        <v>689</v>
      </c>
      <c r="S505" s="81" t="s">
        <v>1756</v>
      </c>
      <c r="T505" s="86" t="str">
        <f>HYPERLINK("http://www.youtube.com/channel/UCIUcF2ZE7yu7bZ5cM-f4uPA")</f>
        <v>http://www.youtube.com/channel/UCIUcF2ZE7yu7bZ5cM-f4uPA</v>
      </c>
      <c r="U505" s="81"/>
      <c r="V505" s="81" t="s">
        <v>1885</v>
      </c>
      <c r="W505" s="86" t="str">
        <f>HYPERLINK("https://www.youtube.com/watch?v=wadBvDPeE4E")</f>
        <v>https://www.youtube.com/watch?v=wadBvDPeE4E</v>
      </c>
      <c r="X505" s="81" t="s">
        <v>1886</v>
      </c>
      <c r="Y505" s="81">
        <v>0</v>
      </c>
      <c r="Z505" s="88">
        <v>44129.405752314815</v>
      </c>
      <c r="AA505" s="88">
        <v>44129.405752314815</v>
      </c>
      <c r="AB505" s="81"/>
      <c r="AC505" s="81"/>
      <c r="AD505" s="84" t="s">
        <v>1927</v>
      </c>
      <c r="AE505" s="82">
        <v>1</v>
      </c>
      <c r="AF505" s="83" t="str">
        <f>REPLACE(INDEX(GroupVertices[Group],MATCH(Edges[[#This Row],[Vertex 1]],GroupVertices[Vertex],0)),1,1,"")</f>
        <v>1</v>
      </c>
      <c r="AG505" s="83" t="str">
        <f>REPLACE(INDEX(GroupVertices[Group],MATCH(Edges[[#This Row],[Vertex 2]],GroupVertices[Vertex],0)),1,1,"")</f>
        <v>1</v>
      </c>
      <c r="AH505" s="111">
        <v>1</v>
      </c>
      <c r="AI505" s="112">
        <v>25</v>
      </c>
      <c r="AJ505" s="111">
        <v>0</v>
      </c>
      <c r="AK505" s="112">
        <v>0</v>
      </c>
      <c r="AL505" s="111">
        <v>0</v>
      </c>
      <c r="AM505" s="112">
        <v>0</v>
      </c>
      <c r="AN505" s="111">
        <v>3</v>
      </c>
      <c r="AO505" s="112">
        <v>75</v>
      </c>
      <c r="AP505" s="111">
        <v>4</v>
      </c>
    </row>
    <row r="506" spans="1:42" ht="15">
      <c r="A506" s="65" t="s">
        <v>690</v>
      </c>
      <c r="B506" s="65" t="s">
        <v>786</v>
      </c>
      <c r="C506" s="66" t="s">
        <v>4509</v>
      </c>
      <c r="D506" s="67">
        <v>3</v>
      </c>
      <c r="E506" s="68"/>
      <c r="F506" s="69">
        <v>40</v>
      </c>
      <c r="G506" s="66"/>
      <c r="H506" s="70"/>
      <c r="I506" s="71"/>
      <c r="J506" s="71"/>
      <c r="K506" s="35" t="s">
        <v>65</v>
      </c>
      <c r="L506" s="79">
        <v>506</v>
      </c>
      <c r="M506" s="79"/>
      <c r="N506" s="73"/>
      <c r="O506" s="81" t="s">
        <v>788</v>
      </c>
      <c r="P506" s="81" t="s">
        <v>325</v>
      </c>
      <c r="Q506" s="84" t="s">
        <v>1291</v>
      </c>
      <c r="R506" s="81" t="s">
        <v>690</v>
      </c>
      <c r="S506" s="81" t="s">
        <v>1757</v>
      </c>
      <c r="T506" s="86" t="str">
        <f>HYPERLINK("http://www.youtube.com/channel/UCaEJ2eUVzs7V0iFjYhWQpaQ")</f>
        <v>http://www.youtube.com/channel/UCaEJ2eUVzs7V0iFjYhWQpaQ</v>
      </c>
      <c r="U506" s="81"/>
      <c r="V506" s="81" t="s">
        <v>1885</v>
      </c>
      <c r="W506" s="86" t="str">
        <f>HYPERLINK("https://www.youtube.com/watch?v=wadBvDPeE4E")</f>
        <v>https://www.youtube.com/watch?v=wadBvDPeE4E</v>
      </c>
      <c r="X506" s="81" t="s">
        <v>1886</v>
      </c>
      <c r="Y506" s="81">
        <v>0</v>
      </c>
      <c r="Z506" s="88">
        <v>44168.8097337963</v>
      </c>
      <c r="AA506" s="88">
        <v>44168.8097337963</v>
      </c>
      <c r="AB506" s="81"/>
      <c r="AC506" s="81"/>
      <c r="AD506" s="84" t="s">
        <v>1927</v>
      </c>
      <c r="AE506" s="82">
        <v>1</v>
      </c>
      <c r="AF506" s="83" t="str">
        <f>REPLACE(INDEX(GroupVertices[Group],MATCH(Edges[[#This Row],[Vertex 1]],GroupVertices[Vertex],0)),1,1,"")</f>
        <v>1</v>
      </c>
      <c r="AG506" s="83" t="str">
        <f>REPLACE(INDEX(GroupVertices[Group],MATCH(Edges[[#This Row],[Vertex 2]],GroupVertices[Vertex],0)),1,1,"")</f>
        <v>1</v>
      </c>
      <c r="AH506" s="111">
        <v>1</v>
      </c>
      <c r="AI506" s="112">
        <v>33.333333333333336</v>
      </c>
      <c r="AJ506" s="111">
        <v>0</v>
      </c>
      <c r="AK506" s="112">
        <v>0</v>
      </c>
      <c r="AL506" s="111">
        <v>0</v>
      </c>
      <c r="AM506" s="112">
        <v>0</v>
      </c>
      <c r="AN506" s="111">
        <v>2</v>
      </c>
      <c r="AO506" s="112">
        <v>66.66666666666667</v>
      </c>
      <c r="AP506" s="111">
        <v>3</v>
      </c>
    </row>
    <row r="507" spans="1:42" ht="15">
      <c r="A507" s="65" t="s">
        <v>691</v>
      </c>
      <c r="B507" s="65" t="s">
        <v>786</v>
      </c>
      <c r="C507" s="66" t="s">
        <v>4509</v>
      </c>
      <c r="D507" s="67">
        <v>3</v>
      </c>
      <c r="E507" s="68"/>
      <c r="F507" s="69">
        <v>40</v>
      </c>
      <c r="G507" s="66"/>
      <c r="H507" s="70"/>
      <c r="I507" s="71"/>
      <c r="J507" s="71"/>
      <c r="K507" s="35" t="s">
        <v>65</v>
      </c>
      <c r="L507" s="79">
        <v>507</v>
      </c>
      <c r="M507" s="79"/>
      <c r="N507" s="73"/>
      <c r="O507" s="81" t="s">
        <v>788</v>
      </c>
      <c r="P507" s="81" t="s">
        <v>325</v>
      </c>
      <c r="Q507" s="84" t="s">
        <v>1292</v>
      </c>
      <c r="R507" s="81" t="s">
        <v>691</v>
      </c>
      <c r="S507" s="81" t="s">
        <v>1758</v>
      </c>
      <c r="T507" s="86" t="str">
        <f>HYPERLINK("http://www.youtube.com/channel/UC8pWHhTmT2hjNwNxxK6Q5PA")</f>
        <v>http://www.youtube.com/channel/UC8pWHhTmT2hjNwNxxK6Q5PA</v>
      </c>
      <c r="U507" s="81"/>
      <c r="V507" s="81" t="s">
        <v>1885</v>
      </c>
      <c r="W507" s="86" t="str">
        <f>HYPERLINK("https://www.youtube.com/watch?v=wadBvDPeE4E")</f>
        <v>https://www.youtube.com/watch?v=wadBvDPeE4E</v>
      </c>
      <c r="X507" s="81" t="s">
        <v>1886</v>
      </c>
      <c r="Y507" s="81">
        <v>1</v>
      </c>
      <c r="Z507" s="88">
        <v>44178.73778935185</v>
      </c>
      <c r="AA507" s="88">
        <v>44178.73778935185</v>
      </c>
      <c r="AB507" s="81"/>
      <c r="AC507" s="81"/>
      <c r="AD507" s="84" t="s">
        <v>1927</v>
      </c>
      <c r="AE507" s="82">
        <v>1</v>
      </c>
      <c r="AF507" s="83" t="str">
        <f>REPLACE(INDEX(GroupVertices[Group],MATCH(Edges[[#This Row],[Vertex 1]],GroupVertices[Vertex],0)),1,1,"")</f>
        <v>1</v>
      </c>
      <c r="AG507" s="83" t="str">
        <f>REPLACE(INDEX(GroupVertices[Group],MATCH(Edges[[#This Row],[Vertex 2]],GroupVertices[Vertex],0)),1,1,"")</f>
        <v>1</v>
      </c>
      <c r="AH507" s="111">
        <v>3</v>
      </c>
      <c r="AI507" s="112">
        <v>6.666666666666667</v>
      </c>
      <c r="AJ507" s="111">
        <v>1</v>
      </c>
      <c r="AK507" s="112">
        <v>2.2222222222222223</v>
      </c>
      <c r="AL507" s="111">
        <v>0</v>
      </c>
      <c r="AM507" s="112">
        <v>0</v>
      </c>
      <c r="AN507" s="111">
        <v>41</v>
      </c>
      <c r="AO507" s="112">
        <v>91.11111111111111</v>
      </c>
      <c r="AP507" s="111">
        <v>45</v>
      </c>
    </row>
    <row r="508" spans="1:42" ht="15">
      <c r="A508" s="65" t="s">
        <v>692</v>
      </c>
      <c r="B508" s="65" t="s">
        <v>786</v>
      </c>
      <c r="C508" s="66" t="s">
        <v>4509</v>
      </c>
      <c r="D508" s="67">
        <v>3</v>
      </c>
      <c r="E508" s="68"/>
      <c r="F508" s="69">
        <v>40</v>
      </c>
      <c r="G508" s="66"/>
      <c r="H508" s="70"/>
      <c r="I508" s="71"/>
      <c r="J508" s="71"/>
      <c r="K508" s="35" t="s">
        <v>65</v>
      </c>
      <c r="L508" s="79">
        <v>508</v>
      </c>
      <c r="M508" s="79"/>
      <c r="N508" s="73"/>
      <c r="O508" s="81" t="s">
        <v>788</v>
      </c>
      <c r="P508" s="81" t="s">
        <v>325</v>
      </c>
      <c r="Q508" s="84" t="s">
        <v>1293</v>
      </c>
      <c r="R508" s="81" t="s">
        <v>692</v>
      </c>
      <c r="S508" s="81" t="s">
        <v>1759</v>
      </c>
      <c r="T508" s="86" t="str">
        <f>HYPERLINK("http://www.youtube.com/channel/UCAkGw6_oazVTvTsoqbp7OiA")</f>
        <v>http://www.youtube.com/channel/UCAkGw6_oazVTvTsoqbp7OiA</v>
      </c>
      <c r="U508" s="81"/>
      <c r="V508" s="81" t="s">
        <v>1885</v>
      </c>
      <c r="W508" s="86" t="str">
        <f>HYPERLINK("https://www.youtube.com/watch?v=wadBvDPeE4E")</f>
        <v>https://www.youtube.com/watch?v=wadBvDPeE4E</v>
      </c>
      <c r="X508" s="81" t="s">
        <v>1886</v>
      </c>
      <c r="Y508" s="81">
        <v>1</v>
      </c>
      <c r="Z508" s="88">
        <v>44217.732766203706</v>
      </c>
      <c r="AA508" s="88">
        <v>44217.732766203706</v>
      </c>
      <c r="AB508" s="81"/>
      <c r="AC508" s="81"/>
      <c r="AD508" s="84" t="s">
        <v>1927</v>
      </c>
      <c r="AE508" s="82">
        <v>1</v>
      </c>
      <c r="AF508" s="83" t="str">
        <f>REPLACE(INDEX(GroupVertices[Group],MATCH(Edges[[#This Row],[Vertex 1]],GroupVertices[Vertex],0)),1,1,"")</f>
        <v>1</v>
      </c>
      <c r="AG508" s="83" t="str">
        <f>REPLACE(INDEX(GroupVertices[Group],MATCH(Edges[[#This Row],[Vertex 2]],GroupVertices[Vertex],0)),1,1,"")</f>
        <v>1</v>
      </c>
      <c r="AH508" s="111">
        <v>1</v>
      </c>
      <c r="AI508" s="112">
        <v>3.8461538461538463</v>
      </c>
      <c r="AJ508" s="111">
        <v>1</v>
      </c>
      <c r="AK508" s="112">
        <v>3.8461538461538463</v>
      </c>
      <c r="AL508" s="111">
        <v>0</v>
      </c>
      <c r="AM508" s="112">
        <v>0</v>
      </c>
      <c r="AN508" s="111">
        <v>24</v>
      </c>
      <c r="AO508" s="112">
        <v>92.3076923076923</v>
      </c>
      <c r="AP508" s="111">
        <v>26</v>
      </c>
    </row>
    <row r="509" spans="1:42" ht="15">
      <c r="A509" s="65" t="s">
        <v>693</v>
      </c>
      <c r="B509" s="65" t="s">
        <v>786</v>
      </c>
      <c r="C509" s="66" t="s">
        <v>4509</v>
      </c>
      <c r="D509" s="67">
        <v>3</v>
      </c>
      <c r="E509" s="68"/>
      <c r="F509" s="69">
        <v>40</v>
      </c>
      <c r="G509" s="66"/>
      <c r="H509" s="70"/>
      <c r="I509" s="71"/>
      <c r="J509" s="71"/>
      <c r="K509" s="35" t="s">
        <v>65</v>
      </c>
      <c r="L509" s="79">
        <v>509</v>
      </c>
      <c r="M509" s="79"/>
      <c r="N509" s="73"/>
      <c r="O509" s="81" t="s">
        <v>788</v>
      </c>
      <c r="P509" s="81" t="s">
        <v>325</v>
      </c>
      <c r="Q509" s="84" t="s">
        <v>1294</v>
      </c>
      <c r="R509" s="81" t="s">
        <v>693</v>
      </c>
      <c r="S509" s="81" t="s">
        <v>1760</v>
      </c>
      <c r="T509" s="86" t="str">
        <f>HYPERLINK("http://www.youtube.com/channel/UCfFAasAAdGcptCfutet8Sfw")</f>
        <v>http://www.youtube.com/channel/UCfFAasAAdGcptCfutet8Sfw</v>
      </c>
      <c r="U509" s="81"/>
      <c r="V509" s="81" t="s">
        <v>1885</v>
      </c>
      <c r="W509" s="86" t="str">
        <f>HYPERLINK("https://www.youtube.com/watch?v=wadBvDPeE4E")</f>
        <v>https://www.youtube.com/watch?v=wadBvDPeE4E</v>
      </c>
      <c r="X509" s="81" t="s">
        <v>1886</v>
      </c>
      <c r="Y509" s="81">
        <v>0</v>
      </c>
      <c r="Z509" s="88">
        <v>44222.35005787037</v>
      </c>
      <c r="AA509" s="88">
        <v>44222.35005787037</v>
      </c>
      <c r="AB509" s="81"/>
      <c r="AC509" s="81"/>
      <c r="AD509" s="84" t="s">
        <v>1927</v>
      </c>
      <c r="AE509" s="82">
        <v>1</v>
      </c>
      <c r="AF509" s="83" t="str">
        <f>REPLACE(INDEX(GroupVertices[Group],MATCH(Edges[[#This Row],[Vertex 1]],GroupVertices[Vertex],0)),1,1,"")</f>
        <v>1</v>
      </c>
      <c r="AG509" s="83" t="str">
        <f>REPLACE(INDEX(GroupVertices[Group],MATCH(Edges[[#This Row],[Vertex 2]],GroupVertices[Vertex],0)),1,1,"")</f>
        <v>1</v>
      </c>
      <c r="AH509" s="111">
        <v>0</v>
      </c>
      <c r="AI509" s="112">
        <v>0</v>
      </c>
      <c r="AJ509" s="111">
        <v>0</v>
      </c>
      <c r="AK509" s="112">
        <v>0</v>
      </c>
      <c r="AL509" s="111">
        <v>0</v>
      </c>
      <c r="AM509" s="112">
        <v>0</v>
      </c>
      <c r="AN509" s="111">
        <v>11</v>
      </c>
      <c r="AO509" s="112">
        <v>100</v>
      </c>
      <c r="AP509" s="111">
        <v>11</v>
      </c>
    </row>
    <row r="510" spans="1:42" ht="15">
      <c r="A510" s="65" t="s">
        <v>694</v>
      </c>
      <c r="B510" s="65" t="s">
        <v>786</v>
      </c>
      <c r="C510" s="66" t="s">
        <v>4509</v>
      </c>
      <c r="D510" s="67">
        <v>3</v>
      </c>
      <c r="E510" s="68"/>
      <c r="F510" s="69">
        <v>40</v>
      </c>
      <c r="G510" s="66"/>
      <c r="H510" s="70"/>
      <c r="I510" s="71"/>
      <c r="J510" s="71"/>
      <c r="K510" s="35" t="s">
        <v>65</v>
      </c>
      <c r="L510" s="79">
        <v>510</v>
      </c>
      <c r="M510" s="79"/>
      <c r="N510" s="73"/>
      <c r="O510" s="81" t="s">
        <v>788</v>
      </c>
      <c r="P510" s="81" t="s">
        <v>325</v>
      </c>
      <c r="Q510" s="84" t="s">
        <v>1295</v>
      </c>
      <c r="R510" s="81" t="s">
        <v>694</v>
      </c>
      <c r="S510" s="81" t="s">
        <v>1761</v>
      </c>
      <c r="T510" s="86" t="str">
        <f>HYPERLINK("http://www.youtube.com/channel/UC5OttGzPjtnEhGeYA0maenA")</f>
        <v>http://www.youtube.com/channel/UC5OttGzPjtnEhGeYA0maenA</v>
      </c>
      <c r="U510" s="81"/>
      <c r="V510" s="81" t="s">
        <v>1885</v>
      </c>
      <c r="W510" s="86" t="str">
        <f>HYPERLINK("https://www.youtube.com/watch?v=wadBvDPeE4E")</f>
        <v>https://www.youtube.com/watch?v=wadBvDPeE4E</v>
      </c>
      <c r="X510" s="81" t="s">
        <v>1886</v>
      </c>
      <c r="Y510" s="81">
        <v>0</v>
      </c>
      <c r="Z510" s="88">
        <v>44243.039513888885</v>
      </c>
      <c r="AA510" s="88">
        <v>44243.039513888885</v>
      </c>
      <c r="AB510" s="81"/>
      <c r="AC510" s="81"/>
      <c r="AD510" s="84" t="s">
        <v>1927</v>
      </c>
      <c r="AE510" s="82">
        <v>1</v>
      </c>
      <c r="AF510" s="83" t="str">
        <f>REPLACE(INDEX(GroupVertices[Group],MATCH(Edges[[#This Row],[Vertex 1]],GroupVertices[Vertex],0)),1,1,"")</f>
        <v>1</v>
      </c>
      <c r="AG510" s="83" t="str">
        <f>REPLACE(INDEX(GroupVertices[Group],MATCH(Edges[[#This Row],[Vertex 2]],GroupVertices[Vertex],0)),1,1,"")</f>
        <v>1</v>
      </c>
      <c r="AH510" s="111">
        <v>1</v>
      </c>
      <c r="AI510" s="112">
        <v>3.0303030303030303</v>
      </c>
      <c r="AJ510" s="111">
        <v>1</v>
      </c>
      <c r="AK510" s="112">
        <v>3.0303030303030303</v>
      </c>
      <c r="AL510" s="111">
        <v>0</v>
      </c>
      <c r="AM510" s="112">
        <v>0</v>
      </c>
      <c r="AN510" s="111">
        <v>31</v>
      </c>
      <c r="AO510" s="112">
        <v>93.93939393939394</v>
      </c>
      <c r="AP510" s="111">
        <v>33</v>
      </c>
    </row>
    <row r="511" spans="1:42" ht="15">
      <c r="A511" s="65" t="s">
        <v>695</v>
      </c>
      <c r="B511" s="65" t="s">
        <v>786</v>
      </c>
      <c r="C511" s="66" t="s">
        <v>4510</v>
      </c>
      <c r="D511" s="67">
        <v>5.333333333333334</v>
      </c>
      <c r="E511" s="68"/>
      <c r="F511" s="69">
        <v>31.666666666666664</v>
      </c>
      <c r="G511" s="66"/>
      <c r="H511" s="70"/>
      <c r="I511" s="71"/>
      <c r="J511" s="71"/>
      <c r="K511" s="35" t="s">
        <v>65</v>
      </c>
      <c r="L511" s="79">
        <v>511</v>
      </c>
      <c r="M511" s="79"/>
      <c r="N511" s="73"/>
      <c r="O511" s="81" t="s">
        <v>788</v>
      </c>
      <c r="P511" s="81" t="s">
        <v>325</v>
      </c>
      <c r="Q511" s="84" t="s">
        <v>1296</v>
      </c>
      <c r="R511" s="81" t="s">
        <v>695</v>
      </c>
      <c r="S511" s="81" t="s">
        <v>1762</v>
      </c>
      <c r="T511" s="86" t="str">
        <f>HYPERLINK("http://www.youtube.com/channel/UCtykHqniLsvCit_SYfWBWng")</f>
        <v>http://www.youtube.com/channel/UCtykHqniLsvCit_SYfWBWng</v>
      </c>
      <c r="U511" s="81"/>
      <c r="V511" s="81" t="s">
        <v>1885</v>
      </c>
      <c r="W511" s="86" t="str">
        <f>HYPERLINK("https://www.youtube.com/watch?v=wadBvDPeE4E")</f>
        <v>https://www.youtube.com/watch?v=wadBvDPeE4E</v>
      </c>
      <c r="X511" s="81" t="s">
        <v>1886</v>
      </c>
      <c r="Y511" s="81">
        <v>0</v>
      </c>
      <c r="Z511" s="88">
        <v>44243.366956018515</v>
      </c>
      <c r="AA511" s="88">
        <v>44243.366956018515</v>
      </c>
      <c r="AB511" s="81"/>
      <c r="AC511" s="81"/>
      <c r="AD511" s="84" t="s">
        <v>1927</v>
      </c>
      <c r="AE511" s="82">
        <v>2</v>
      </c>
      <c r="AF511" s="83" t="str">
        <f>REPLACE(INDEX(GroupVertices[Group],MATCH(Edges[[#This Row],[Vertex 1]],GroupVertices[Vertex],0)),1,1,"")</f>
        <v>1</v>
      </c>
      <c r="AG511" s="83" t="str">
        <f>REPLACE(INDEX(GroupVertices[Group],MATCH(Edges[[#This Row],[Vertex 2]],GroupVertices[Vertex],0)),1,1,"")</f>
        <v>1</v>
      </c>
      <c r="AH511" s="111">
        <v>2</v>
      </c>
      <c r="AI511" s="112">
        <v>8.333333333333334</v>
      </c>
      <c r="AJ511" s="111">
        <v>0</v>
      </c>
      <c r="AK511" s="112">
        <v>0</v>
      </c>
      <c r="AL511" s="111">
        <v>0</v>
      </c>
      <c r="AM511" s="112">
        <v>0</v>
      </c>
      <c r="AN511" s="111">
        <v>22</v>
      </c>
      <c r="AO511" s="112">
        <v>91.66666666666667</v>
      </c>
      <c r="AP511" s="111">
        <v>24</v>
      </c>
    </row>
    <row r="512" spans="1:42" ht="15">
      <c r="A512" s="65" t="s">
        <v>695</v>
      </c>
      <c r="B512" s="65" t="s">
        <v>786</v>
      </c>
      <c r="C512" s="66" t="s">
        <v>4510</v>
      </c>
      <c r="D512" s="67">
        <v>5.333333333333334</v>
      </c>
      <c r="E512" s="68"/>
      <c r="F512" s="69">
        <v>31.666666666666664</v>
      </c>
      <c r="G512" s="66"/>
      <c r="H512" s="70"/>
      <c r="I512" s="71"/>
      <c r="J512" s="71"/>
      <c r="K512" s="35" t="s">
        <v>65</v>
      </c>
      <c r="L512" s="79">
        <v>512</v>
      </c>
      <c r="M512" s="79"/>
      <c r="N512" s="73"/>
      <c r="O512" s="81" t="s">
        <v>788</v>
      </c>
      <c r="P512" s="81" t="s">
        <v>325</v>
      </c>
      <c r="Q512" s="84" t="s">
        <v>1297</v>
      </c>
      <c r="R512" s="81" t="s">
        <v>695</v>
      </c>
      <c r="S512" s="81" t="s">
        <v>1762</v>
      </c>
      <c r="T512" s="86" t="str">
        <f>HYPERLINK("http://www.youtube.com/channel/UCtykHqniLsvCit_SYfWBWng")</f>
        <v>http://www.youtube.com/channel/UCtykHqniLsvCit_SYfWBWng</v>
      </c>
      <c r="U512" s="81"/>
      <c r="V512" s="81" t="s">
        <v>1885</v>
      </c>
      <c r="W512" s="86" t="str">
        <f>HYPERLINK("https://www.youtube.com/watch?v=wadBvDPeE4E")</f>
        <v>https://www.youtube.com/watch?v=wadBvDPeE4E</v>
      </c>
      <c r="X512" s="81" t="s">
        <v>1886</v>
      </c>
      <c r="Y512" s="81">
        <v>1</v>
      </c>
      <c r="Z512" s="88">
        <v>44243.39988425926</v>
      </c>
      <c r="AA512" s="88">
        <v>44243.39988425926</v>
      </c>
      <c r="AB512" s="81"/>
      <c r="AC512" s="81"/>
      <c r="AD512" s="84" t="s">
        <v>1927</v>
      </c>
      <c r="AE512" s="82">
        <v>2</v>
      </c>
      <c r="AF512" s="83" t="str">
        <f>REPLACE(INDEX(GroupVertices[Group],MATCH(Edges[[#This Row],[Vertex 1]],GroupVertices[Vertex],0)),1,1,"")</f>
        <v>1</v>
      </c>
      <c r="AG512" s="83" t="str">
        <f>REPLACE(INDEX(GroupVertices[Group],MATCH(Edges[[#This Row],[Vertex 2]],GroupVertices[Vertex],0)),1,1,"")</f>
        <v>1</v>
      </c>
      <c r="AH512" s="111">
        <v>0</v>
      </c>
      <c r="AI512" s="112">
        <v>0</v>
      </c>
      <c r="AJ512" s="111">
        <v>1</v>
      </c>
      <c r="AK512" s="112">
        <v>5.2631578947368425</v>
      </c>
      <c r="AL512" s="111">
        <v>0</v>
      </c>
      <c r="AM512" s="112">
        <v>0</v>
      </c>
      <c r="AN512" s="111">
        <v>18</v>
      </c>
      <c r="AO512" s="112">
        <v>94.73684210526316</v>
      </c>
      <c r="AP512" s="111">
        <v>19</v>
      </c>
    </row>
    <row r="513" spans="1:42" ht="15">
      <c r="A513" s="65" t="s">
        <v>696</v>
      </c>
      <c r="B513" s="65" t="s">
        <v>697</v>
      </c>
      <c r="C513" s="66" t="s">
        <v>4509</v>
      </c>
      <c r="D513" s="67">
        <v>3</v>
      </c>
      <c r="E513" s="68"/>
      <c r="F513" s="69">
        <v>40</v>
      </c>
      <c r="G513" s="66"/>
      <c r="H513" s="70"/>
      <c r="I513" s="71"/>
      <c r="J513" s="71"/>
      <c r="K513" s="35" t="s">
        <v>65</v>
      </c>
      <c r="L513" s="79">
        <v>513</v>
      </c>
      <c r="M513" s="79"/>
      <c r="N513" s="73"/>
      <c r="O513" s="81" t="s">
        <v>789</v>
      </c>
      <c r="P513" s="81" t="s">
        <v>791</v>
      </c>
      <c r="Q513" s="84" t="s">
        <v>1298</v>
      </c>
      <c r="R513" s="81" t="s">
        <v>696</v>
      </c>
      <c r="S513" s="81" t="s">
        <v>1763</v>
      </c>
      <c r="T513" s="86" t="str">
        <f>HYPERLINK("http://www.youtube.com/channel/UCKhlJF4BnqWxPypLParOYiA")</f>
        <v>http://www.youtube.com/channel/UCKhlJF4BnqWxPypLParOYiA</v>
      </c>
      <c r="U513" s="81" t="s">
        <v>1880</v>
      </c>
      <c r="V513" s="81" t="s">
        <v>1885</v>
      </c>
      <c r="W513" s="86" t="str">
        <f>HYPERLINK("https://www.youtube.com/watch?v=wadBvDPeE4E")</f>
        <v>https://www.youtube.com/watch?v=wadBvDPeE4E</v>
      </c>
      <c r="X513" s="81" t="s">
        <v>1886</v>
      </c>
      <c r="Y513" s="81">
        <v>2</v>
      </c>
      <c r="Z513" s="88">
        <v>44272.9584375</v>
      </c>
      <c r="AA513" s="88">
        <v>44272.9584375</v>
      </c>
      <c r="AB513" s="81"/>
      <c r="AC513" s="81"/>
      <c r="AD513" s="84" t="s">
        <v>1927</v>
      </c>
      <c r="AE513" s="82">
        <v>1</v>
      </c>
      <c r="AF513" s="83" t="str">
        <f>REPLACE(INDEX(GroupVertices[Group],MATCH(Edges[[#This Row],[Vertex 1]],GroupVertices[Vertex],0)),1,1,"")</f>
        <v>15</v>
      </c>
      <c r="AG513" s="83" t="str">
        <f>REPLACE(INDEX(GroupVertices[Group],MATCH(Edges[[#This Row],[Vertex 2]],GroupVertices[Vertex],0)),1,1,"")</f>
        <v>15</v>
      </c>
      <c r="AH513" s="111">
        <v>0</v>
      </c>
      <c r="AI513" s="112">
        <v>0</v>
      </c>
      <c r="AJ513" s="111">
        <v>0</v>
      </c>
      <c r="AK513" s="112">
        <v>0</v>
      </c>
      <c r="AL513" s="111">
        <v>0</v>
      </c>
      <c r="AM513" s="112">
        <v>0</v>
      </c>
      <c r="AN513" s="111">
        <v>7</v>
      </c>
      <c r="AO513" s="112">
        <v>100</v>
      </c>
      <c r="AP513" s="111">
        <v>7</v>
      </c>
    </row>
    <row r="514" spans="1:42" ht="15">
      <c r="A514" s="65" t="s">
        <v>697</v>
      </c>
      <c r="B514" s="65" t="s">
        <v>786</v>
      </c>
      <c r="C514" s="66" t="s">
        <v>4509</v>
      </c>
      <c r="D514" s="67">
        <v>3</v>
      </c>
      <c r="E514" s="68"/>
      <c r="F514" s="69">
        <v>40</v>
      </c>
      <c r="G514" s="66"/>
      <c r="H514" s="70"/>
      <c r="I514" s="71"/>
      <c r="J514" s="71"/>
      <c r="K514" s="35" t="s">
        <v>65</v>
      </c>
      <c r="L514" s="79">
        <v>514</v>
      </c>
      <c r="M514" s="79"/>
      <c r="N514" s="73"/>
      <c r="O514" s="81" t="s">
        <v>788</v>
      </c>
      <c r="P514" s="81" t="s">
        <v>325</v>
      </c>
      <c r="Q514" s="84" t="s">
        <v>1299</v>
      </c>
      <c r="R514" s="81" t="s">
        <v>697</v>
      </c>
      <c r="S514" s="81" t="s">
        <v>1764</v>
      </c>
      <c r="T514" s="86" t="str">
        <f>HYPERLINK("http://www.youtube.com/channel/UCu7msg_TbTKDd5ilYzbW1Vg")</f>
        <v>http://www.youtube.com/channel/UCu7msg_TbTKDd5ilYzbW1Vg</v>
      </c>
      <c r="U514" s="81"/>
      <c r="V514" s="81" t="s">
        <v>1885</v>
      </c>
      <c r="W514" s="86" t="str">
        <f>HYPERLINK("https://www.youtube.com/watch?v=wadBvDPeE4E")</f>
        <v>https://www.youtube.com/watch?v=wadBvDPeE4E</v>
      </c>
      <c r="X514" s="81" t="s">
        <v>1886</v>
      </c>
      <c r="Y514" s="81">
        <v>6</v>
      </c>
      <c r="Z514" s="88">
        <v>44245.90806712963</v>
      </c>
      <c r="AA514" s="88">
        <v>44245.90806712963</v>
      </c>
      <c r="AB514" s="81"/>
      <c r="AC514" s="81"/>
      <c r="AD514" s="84" t="s">
        <v>1927</v>
      </c>
      <c r="AE514" s="82">
        <v>1</v>
      </c>
      <c r="AF514" s="83" t="str">
        <f>REPLACE(INDEX(GroupVertices[Group],MATCH(Edges[[#This Row],[Vertex 1]],GroupVertices[Vertex],0)),1,1,"")</f>
        <v>15</v>
      </c>
      <c r="AG514" s="83" t="str">
        <f>REPLACE(INDEX(GroupVertices[Group],MATCH(Edges[[#This Row],[Vertex 2]],GroupVertices[Vertex],0)),1,1,"")</f>
        <v>1</v>
      </c>
      <c r="AH514" s="111">
        <v>0</v>
      </c>
      <c r="AI514" s="112">
        <v>0</v>
      </c>
      <c r="AJ514" s="111">
        <v>0</v>
      </c>
      <c r="AK514" s="112">
        <v>0</v>
      </c>
      <c r="AL514" s="111">
        <v>0</v>
      </c>
      <c r="AM514" s="112">
        <v>0</v>
      </c>
      <c r="AN514" s="111">
        <v>3</v>
      </c>
      <c r="AO514" s="112">
        <v>100</v>
      </c>
      <c r="AP514" s="111">
        <v>3</v>
      </c>
    </row>
    <row r="515" spans="1:42" ht="15">
      <c r="A515" s="65" t="s">
        <v>698</v>
      </c>
      <c r="B515" s="65" t="s">
        <v>786</v>
      </c>
      <c r="C515" s="66" t="s">
        <v>4509</v>
      </c>
      <c r="D515" s="67">
        <v>3</v>
      </c>
      <c r="E515" s="68"/>
      <c r="F515" s="69">
        <v>40</v>
      </c>
      <c r="G515" s="66"/>
      <c r="H515" s="70"/>
      <c r="I515" s="71"/>
      <c r="J515" s="71"/>
      <c r="K515" s="35" t="s">
        <v>65</v>
      </c>
      <c r="L515" s="79">
        <v>515</v>
      </c>
      <c r="M515" s="79"/>
      <c r="N515" s="73"/>
      <c r="O515" s="81" t="s">
        <v>788</v>
      </c>
      <c r="P515" s="81" t="s">
        <v>325</v>
      </c>
      <c r="Q515" s="84" t="s">
        <v>1300</v>
      </c>
      <c r="R515" s="81" t="s">
        <v>698</v>
      </c>
      <c r="S515" s="81" t="s">
        <v>1765</v>
      </c>
      <c r="T515" s="86" t="str">
        <f>HYPERLINK("http://www.youtube.com/channel/UCQcW4y-soRk-E0ggtcwC9EA")</f>
        <v>http://www.youtube.com/channel/UCQcW4y-soRk-E0ggtcwC9EA</v>
      </c>
      <c r="U515" s="81"/>
      <c r="V515" s="81" t="s">
        <v>1885</v>
      </c>
      <c r="W515" s="86" t="str">
        <f>HYPERLINK("https://www.youtube.com/watch?v=wadBvDPeE4E")</f>
        <v>https://www.youtube.com/watch?v=wadBvDPeE4E</v>
      </c>
      <c r="X515" s="81" t="s">
        <v>1886</v>
      </c>
      <c r="Y515" s="81">
        <v>1</v>
      </c>
      <c r="Z515" s="88">
        <v>44246.092002314814</v>
      </c>
      <c r="AA515" s="88">
        <v>44246.092002314814</v>
      </c>
      <c r="AB515" s="81"/>
      <c r="AC515" s="81"/>
      <c r="AD515" s="84" t="s">
        <v>1927</v>
      </c>
      <c r="AE515" s="82">
        <v>1</v>
      </c>
      <c r="AF515" s="83" t="str">
        <f>REPLACE(INDEX(GroupVertices[Group],MATCH(Edges[[#This Row],[Vertex 1]],GroupVertices[Vertex],0)),1,1,"")</f>
        <v>1</v>
      </c>
      <c r="AG515" s="83" t="str">
        <f>REPLACE(INDEX(GroupVertices[Group],MATCH(Edges[[#This Row],[Vertex 2]],GroupVertices[Vertex],0)),1,1,"")</f>
        <v>1</v>
      </c>
      <c r="AH515" s="111">
        <v>2</v>
      </c>
      <c r="AI515" s="112">
        <v>9.090909090909092</v>
      </c>
      <c r="AJ515" s="111">
        <v>1</v>
      </c>
      <c r="AK515" s="112">
        <v>4.545454545454546</v>
      </c>
      <c r="AL515" s="111">
        <v>0</v>
      </c>
      <c r="AM515" s="112">
        <v>0</v>
      </c>
      <c r="AN515" s="111">
        <v>19</v>
      </c>
      <c r="AO515" s="112">
        <v>86.36363636363636</v>
      </c>
      <c r="AP515" s="111">
        <v>22</v>
      </c>
    </row>
    <row r="516" spans="1:42" ht="15">
      <c r="A516" s="65" t="s">
        <v>699</v>
      </c>
      <c r="B516" s="65" t="s">
        <v>786</v>
      </c>
      <c r="C516" s="66" t="s">
        <v>4509</v>
      </c>
      <c r="D516" s="67">
        <v>3</v>
      </c>
      <c r="E516" s="68"/>
      <c r="F516" s="69">
        <v>40</v>
      </c>
      <c r="G516" s="66"/>
      <c r="H516" s="70"/>
      <c r="I516" s="71"/>
      <c r="J516" s="71"/>
      <c r="K516" s="35" t="s">
        <v>65</v>
      </c>
      <c r="L516" s="79">
        <v>516</v>
      </c>
      <c r="M516" s="79"/>
      <c r="N516" s="73"/>
      <c r="O516" s="81" t="s">
        <v>788</v>
      </c>
      <c r="P516" s="81" t="s">
        <v>325</v>
      </c>
      <c r="Q516" s="84" t="s">
        <v>1301</v>
      </c>
      <c r="R516" s="81" t="s">
        <v>699</v>
      </c>
      <c r="S516" s="81" t="s">
        <v>1766</v>
      </c>
      <c r="T516" s="86" t="str">
        <f>HYPERLINK("http://www.youtube.com/channel/UCiqUmhSikatfBMqyTrS3UMQ")</f>
        <v>http://www.youtube.com/channel/UCiqUmhSikatfBMqyTrS3UMQ</v>
      </c>
      <c r="U516" s="81"/>
      <c r="V516" s="81" t="s">
        <v>1885</v>
      </c>
      <c r="W516" s="86" t="str">
        <f>HYPERLINK("https://www.youtube.com/watch?v=wadBvDPeE4E")</f>
        <v>https://www.youtube.com/watch?v=wadBvDPeE4E</v>
      </c>
      <c r="X516" s="81" t="s">
        <v>1886</v>
      </c>
      <c r="Y516" s="81">
        <v>0</v>
      </c>
      <c r="Z516" s="88">
        <v>44254.629849537036</v>
      </c>
      <c r="AA516" s="88">
        <v>44254.629849537036</v>
      </c>
      <c r="AB516" s="81" t="s">
        <v>1912</v>
      </c>
      <c r="AC516" s="81" t="s">
        <v>1922</v>
      </c>
      <c r="AD516" s="84" t="s">
        <v>1927</v>
      </c>
      <c r="AE516" s="82">
        <v>1</v>
      </c>
      <c r="AF516" s="83" t="str">
        <f>REPLACE(INDEX(GroupVertices[Group],MATCH(Edges[[#This Row],[Vertex 1]],GroupVertices[Vertex],0)),1,1,"")</f>
        <v>1</v>
      </c>
      <c r="AG516" s="83" t="str">
        <f>REPLACE(INDEX(GroupVertices[Group],MATCH(Edges[[#This Row],[Vertex 2]],GroupVertices[Vertex],0)),1,1,"")</f>
        <v>1</v>
      </c>
      <c r="AH516" s="111">
        <v>6</v>
      </c>
      <c r="AI516" s="112">
        <v>4.37956204379562</v>
      </c>
      <c r="AJ516" s="111">
        <v>10</v>
      </c>
      <c r="AK516" s="112">
        <v>7.299270072992701</v>
      </c>
      <c r="AL516" s="111">
        <v>0</v>
      </c>
      <c r="AM516" s="112">
        <v>0</v>
      </c>
      <c r="AN516" s="111">
        <v>121</v>
      </c>
      <c r="AO516" s="112">
        <v>88.32116788321167</v>
      </c>
      <c r="AP516" s="111">
        <v>137</v>
      </c>
    </row>
    <row r="517" spans="1:42" ht="15">
      <c r="A517" s="65" t="s">
        <v>619</v>
      </c>
      <c r="B517" s="65" t="s">
        <v>786</v>
      </c>
      <c r="C517" s="66" t="s">
        <v>4509</v>
      </c>
      <c r="D517" s="67">
        <v>3</v>
      </c>
      <c r="E517" s="68"/>
      <c r="F517" s="69">
        <v>40</v>
      </c>
      <c r="G517" s="66"/>
      <c r="H517" s="70"/>
      <c r="I517" s="71"/>
      <c r="J517" s="71"/>
      <c r="K517" s="35" t="s">
        <v>65</v>
      </c>
      <c r="L517" s="79">
        <v>517</v>
      </c>
      <c r="M517" s="79"/>
      <c r="N517" s="73"/>
      <c r="O517" s="81" t="s">
        <v>788</v>
      </c>
      <c r="P517" s="81" t="s">
        <v>325</v>
      </c>
      <c r="Q517" s="84" t="s">
        <v>847</v>
      </c>
      <c r="R517" s="81" t="s">
        <v>619</v>
      </c>
      <c r="S517" s="81" t="s">
        <v>1686</v>
      </c>
      <c r="T517" s="86" t="str">
        <f>HYPERLINK("http://www.youtube.com/channel/UCkrkDiKoCo1FS0Gh4QqP-UQ")</f>
        <v>http://www.youtube.com/channel/UCkrkDiKoCo1FS0Gh4QqP-UQ</v>
      </c>
      <c r="U517" s="81"/>
      <c r="V517" s="81" t="s">
        <v>1885</v>
      </c>
      <c r="W517" s="86" t="str">
        <f>HYPERLINK("https://www.youtube.com/watch?v=wadBvDPeE4E")</f>
        <v>https://www.youtube.com/watch?v=wadBvDPeE4E</v>
      </c>
      <c r="X517" s="81" t="s">
        <v>1886</v>
      </c>
      <c r="Y517" s="81">
        <v>0</v>
      </c>
      <c r="Z517" s="88">
        <v>44256.46832175926</v>
      </c>
      <c r="AA517" s="88">
        <v>44256.46832175926</v>
      </c>
      <c r="AB517" s="81"/>
      <c r="AC517" s="81"/>
      <c r="AD517" s="84" t="s">
        <v>1927</v>
      </c>
      <c r="AE517" s="82">
        <v>1</v>
      </c>
      <c r="AF517" s="83" t="str">
        <f>REPLACE(INDEX(GroupVertices[Group],MATCH(Edges[[#This Row],[Vertex 1]],GroupVertices[Vertex],0)),1,1,"")</f>
        <v>4</v>
      </c>
      <c r="AG517" s="83" t="str">
        <f>REPLACE(INDEX(GroupVertices[Group],MATCH(Edges[[#This Row],[Vertex 2]],GroupVertices[Vertex],0)),1,1,"")</f>
        <v>1</v>
      </c>
      <c r="AH517" s="111">
        <v>0</v>
      </c>
      <c r="AI517" s="112">
        <v>0</v>
      </c>
      <c r="AJ517" s="111">
        <v>0</v>
      </c>
      <c r="AK517" s="112">
        <v>0</v>
      </c>
      <c r="AL517" s="111">
        <v>0</v>
      </c>
      <c r="AM517" s="112">
        <v>0</v>
      </c>
      <c r="AN517" s="111">
        <v>1</v>
      </c>
      <c r="AO517" s="112">
        <v>100</v>
      </c>
      <c r="AP517" s="111">
        <v>1</v>
      </c>
    </row>
    <row r="518" spans="1:42" ht="15">
      <c r="A518" s="65" t="s">
        <v>437</v>
      </c>
      <c r="B518" s="65" t="s">
        <v>786</v>
      </c>
      <c r="C518" s="66" t="s">
        <v>4509</v>
      </c>
      <c r="D518" s="67">
        <v>3</v>
      </c>
      <c r="E518" s="68"/>
      <c r="F518" s="69">
        <v>40</v>
      </c>
      <c r="G518" s="66"/>
      <c r="H518" s="70"/>
      <c r="I518" s="71"/>
      <c r="J518" s="71"/>
      <c r="K518" s="35" t="s">
        <v>65</v>
      </c>
      <c r="L518" s="79">
        <v>518</v>
      </c>
      <c r="M518" s="79"/>
      <c r="N518" s="73"/>
      <c r="O518" s="81" t="s">
        <v>788</v>
      </c>
      <c r="P518" s="81" t="s">
        <v>325</v>
      </c>
      <c r="Q518" s="84" t="s">
        <v>1302</v>
      </c>
      <c r="R518" s="81" t="s">
        <v>437</v>
      </c>
      <c r="S518" s="81" t="s">
        <v>1505</v>
      </c>
      <c r="T518" s="86" t="str">
        <f>HYPERLINK("http://www.youtube.com/channel/UCqJ4icbP_lB6SxjqE9vhvEQ")</f>
        <v>http://www.youtube.com/channel/UCqJ4icbP_lB6SxjqE9vhvEQ</v>
      </c>
      <c r="U518" s="81"/>
      <c r="V518" s="81" t="s">
        <v>1885</v>
      </c>
      <c r="W518" s="86" t="str">
        <f>HYPERLINK("https://www.youtube.com/watch?v=wadBvDPeE4E")</f>
        <v>https://www.youtube.com/watch?v=wadBvDPeE4E</v>
      </c>
      <c r="X518" s="81" t="s">
        <v>1886</v>
      </c>
      <c r="Y518" s="81">
        <v>0</v>
      </c>
      <c r="Z518" s="88">
        <v>44273.21026620371</v>
      </c>
      <c r="AA518" s="88">
        <v>44273.211909722224</v>
      </c>
      <c r="AB518" s="81" t="s">
        <v>1913</v>
      </c>
      <c r="AC518" s="81" t="s">
        <v>1922</v>
      </c>
      <c r="AD518" s="84" t="s">
        <v>1927</v>
      </c>
      <c r="AE518" s="82">
        <v>1</v>
      </c>
      <c r="AF518" s="83" t="str">
        <f>REPLACE(INDEX(GroupVertices[Group],MATCH(Edges[[#This Row],[Vertex 1]],GroupVertices[Vertex],0)),1,1,"")</f>
        <v>3</v>
      </c>
      <c r="AG518" s="83" t="str">
        <f>REPLACE(INDEX(GroupVertices[Group],MATCH(Edges[[#This Row],[Vertex 2]],GroupVertices[Vertex],0)),1,1,"")</f>
        <v>1</v>
      </c>
      <c r="AH518" s="111">
        <v>1</v>
      </c>
      <c r="AI518" s="112">
        <v>1.639344262295082</v>
      </c>
      <c r="AJ518" s="111">
        <v>2</v>
      </c>
      <c r="AK518" s="112">
        <v>3.278688524590164</v>
      </c>
      <c r="AL518" s="111">
        <v>0</v>
      </c>
      <c r="AM518" s="112">
        <v>0</v>
      </c>
      <c r="AN518" s="111">
        <v>58</v>
      </c>
      <c r="AO518" s="112">
        <v>95.08196721311475</v>
      </c>
      <c r="AP518" s="111">
        <v>61</v>
      </c>
    </row>
    <row r="519" spans="1:42" ht="15">
      <c r="A519" s="65" t="s">
        <v>700</v>
      </c>
      <c r="B519" s="65" t="s">
        <v>786</v>
      </c>
      <c r="C519" s="66" t="s">
        <v>4509</v>
      </c>
      <c r="D519" s="67">
        <v>3</v>
      </c>
      <c r="E519" s="68"/>
      <c r="F519" s="69">
        <v>40</v>
      </c>
      <c r="G519" s="66"/>
      <c r="H519" s="70"/>
      <c r="I519" s="71"/>
      <c r="J519" s="71"/>
      <c r="K519" s="35" t="s">
        <v>65</v>
      </c>
      <c r="L519" s="79">
        <v>519</v>
      </c>
      <c r="M519" s="79"/>
      <c r="N519" s="73"/>
      <c r="O519" s="81" t="s">
        <v>788</v>
      </c>
      <c r="P519" s="81" t="s">
        <v>325</v>
      </c>
      <c r="Q519" s="84" t="s">
        <v>1303</v>
      </c>
      <c r="R519" s="81" t="s">
        <v>700</v>
      </c>
      <c r="S519" s="81" t="s">
        <v>1767</v>
      </c>
      <c r="T519" s="86" t="str">
        <f>HYPERLINK("http://www.youtube.com/channel/UCcZQzbvYvsvOlIx_G6Zz9GQ")</f>
        <v>http://www.youtube.com/channel/UCcZQzbvYvsvOlIx_G6Zz9GQ</v>
      </c>
      <c r="U519" s="81"/>
      <c r="V519" s="81" t="s">
        <v>1885</v>
      </c>
      <c r="W519" s="86" t="str">
        <f>HYPERLINK("https://www.youtube.com/watch?v=wadBvDPeE4E")</f>
        <v>https://www.youtube.com/watch?v=wadBvDPeE4E</v>
      </c>
      <c r="X519" s="81" t="s">
        <v>1886</v>
      </c>
      <c r="Y519" s="81">
        <v>0</v>
      </c>
      <c r="Z519" s="88">
        <v>44274.235034722224</v>
      </c>
      <c r="AA519" s="88">
        <v>44274.235034722224</v>
      </c>
      <c r="AB519" s="81"/>
      <c r="AC519" s="81"/>
      <c r="AD519" s="84" t="s">
        <v>1927</v>
      </c>
      <c r="AE519" s="82">
        <v>1</v>
      </c>
      <c r="AF519" s="83" t="str">
        <f>REPLACE(INDEX(GroupVertices[Group],MATCH(Edges[[#This Row],[Vertex 1]],GroupVertices[Vertex],0)),1,1,"")</f>
        <v>1</v>
      </c>
      <c r="AG519" s="83" t="str">
        <f>REPLACE(INDEX(GroupVertices[Group],MATCH(Edges[[#This Row],[Vertex 2]],GroupVertices[Vertex],0)),1,1,"")</f>
        <v>1</v>
      </c>
      <c r="AH519" s="111">
        <v>0</v>
      </c>
      <c r="AI519" s="112">
        <v>0</v>
      </c>
      <c r="AJ519" s="111">
        <v>0</v>
      </c>
      <c r="AK519" s="112">
        <v>0</v>
      </c>
      <c r="AL519" s="111">
        <v>0</v>
      </c>
      <c r="AM519" s="112">
        <v>0</v>
      </c>
      <c r="AN519" s="111">
        <v>27</v>
      </c>
      <c r="AO519" s="112">
        <v>100</v>
      </c>
      <c r="AP519" s="111">
        <v>27</v>
      </c>
    </row>
    <row r="520" spans="1:42" ht="15">
      <c r="A520" s="65" t="s">
        <v>701</v>
      </c>
      <c r="B520" s="65" t="s">
        <v>786</v>
      </c>
      <c r="C520" s="66" t="s">
        <v>4509</v>
      </c>
      <c r="D520" s="67">
        <v>3</v>
      </c>
      <c r="E520" s="68"/>
      <c r="F520" s="69">
        <v>40</v>
      </c>
      <c r="G520" s="66"/>
      <c r="H520" s="70"/>
      <c r="I520" s="71"/>
      <c r="J520" s="71"/>
      <c r="K520" s="35" t="s">
        <v>65</v>
      </c>
      <c r="L520" s="79">
        <v>520</v>
      </c>
      <c r="M520" s="79"/>
      <c r="N520" s="73"/>
      <c r="O520" s="81" t="s">
        <v>788</v>
      </c>
      <c r="P520" s="81" t="s">
        <v>325</v>
      </c>
      <c r="Q520" s="84" t="s">
        <v>1304</v>
      </c>
      <c r="R520" s="81" t="s">
        <v>701</v>
      </c>
      <c r="S520" s="81" t="s">
        <v>1768</v>
      </c>
      <c r="T520" s="86" t="str">
        <f>HYPERLINK("http://www.youtube.com/channel/UC_tpxB3Xb6X5CEY5cRCiHFQ")</f>
        <v>http://www.youtube.com/channel/UC_tpxB3Xb6X5CEY5cRCiHFQ</v>
      </c>
      <c r="U520" s="81"/>
      <c r="V520" s="81" t="s">
        <v>1885</v>
      </c>
      <c r="W520" s="86" t="str">
        <f>HYPERLINK("https://www.youtube.com/watch?v=wadBvDPeE4E")</f>
        <v>https://www.youtube.com/watch?v=wadBvDPeE4E</v>
      </c>
      <c r="X520" s="81" t="s">
        <v>1886</v>
      </c>
      <c r="Y520" s="81">
        <v>7</v>
      </c>
      <c r="Z520" s="88">
        <v>44282.725810185184</v>
      </c>
      <c r="AA520" s="88">
        <v>44282.726585648146</v>
      </c>
      <c r="AB520" s="81"/>
      <c r="AC520" s="81"/>
      <c r="AD520" s="84" t="s">
        <v>1927</v>
      </c>
      <c r="AE520" s="82">
        <v>1</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14</v>
      </c>
      <c r="AO520" s="112">
        <v>100</v>
      </c>
      <c r="AP520" s="111">
        <v>14</v>
      </c>
    </row>
    <row r="521" spans="1:42" ht="15">
      <c r="A521" s="65" t="s">
        <v>702</v>
      </c>
      <c r="B521" s="65" t="s">
        <v>786</v>
      </c>
      <c r="C521" s="66" t="s">
        <v>4509</v>
      </c>
      <c r="D521" s="67">
        <v>3</v>
      </c>
      <c r="E521" s="68"/>
      <c r="F521" s="69">
        <v>40</v>
      </c>
      <c r="G521" s="66"/>
      <c r="H521" s="70"/>
      <c r="I521" s="71"/>
      <c r="J521" s="71"/>
      <c r="K521" s="35" t="s">
        <v>65</v>
      </c>
      <c r="L521" s="79">
        <v>521</v>
      </c>
      <c r="M521" s="79"/>
      <c r="N521" s="73"/>
      <c r="O521" s="81" t="s">
        <v>788</v>
      </c>
      <c r="P521" s="81" t="s">
        <v>325</v>
      </c>
      <c r="Q521" s="84" t="s">
        <v>1305</v>
      </c>
      <c r="R521" s="81" t="s">
        <v>702</v>
      </c>
      <c r="S521" s="81" t="s">
        <v>1769</v>
      </c>
      <c r="T521" s="86" t="str">
        <f>HYPERLINK("http://www.youtube.com/channel/UCj44qcgUYdNDInFvaLWlZTw")</f>
        <v>http://www.youtube.com/channel/UCj44qcgUYdNDInFvaLWlZTw</v>
      </c>
      <c r="U521" s="81"/>
      <c r="V521" s="81" t="s">
        <v>1885</v>
      </c>
      <c r="W521" s="86" t="str">
        <f>HYPERLINK("https://www.youtube.com/watch?v=wadBvDPeE4E")</f>
        <v>https://www.youtube.com/watch?v=wadBvDPeE4E</v>
      </c>
      <c r="X521" s="81" t="s">
        <v>1886</v>
      </c>
      <c r="Y521" s="81">
        <v>1</v>
      </c>
      <c r="Z521" s="88">
        <v>44307.12033564815</v>
      </c>
      <c r="AA521" s="88">
        <v>44307.12033564815</v>
      </c>
      <c r="AB521" s="81"/>
      <c r="AC521" s="81"/>
      <c r="AD521" s="84" t="s">
        <v>1927</v>
      </c>
      <c r="AE521" s="82">
        <v>1</v>
      </c>
      <c r="AF521" s="83" t="str">
        <f>REPLACE(INDEX(GroupVertices[Group],MATCH(Edges[[#This Row],[Vertex 1]],GroupVertices[Vertex],0)),1,1,"")</f>
        <v>1</v>
      </c>
      <c r="AG521" s="83" t="str">
        <f>REPLACE(INDEX(GroupVertices[Group],MATCH(Edges[[#This Row],[Vertex 2]],GroupVertices[Vertex],0)),1,1,"")</f>
        <v>1</v>
      </c>
      <c r="AH521" s="111">
        <v>1</v>
      </c>
      <c r="AI521" s="112">
        <v>6.666666666666667</v>
      </c>
      <c r="AJ521" s="111">
        <v>0</v>
      </c>
      <c r="AK521" s="112">
        <v>0</v>
      </c>
      <c r="AL521" s="111">
        <v>0</v>
      </c>
      <c r="AM521" s="112">
        <v>0</v>
      </c>
      <c r="AN521" s="111">
        <v>14</v>
      </c>
      <c r="AO521" s="112">
        <v>93.33333333333333</v>
      </c>
      <c r="AP521" s="111">
        <v>15</v>
      </c>
    </row>
    <row r="522" spans="1:42" ht="15">
      <c r="A522" s="65" t="s">
        <v>703</v>
      </c>
      <c r="B522" s="65" t="s">
        <v>786</v>
      </c>
      <c r="C522" s="66" t="s">
        <v>4509</v>
      </c>
      <c r="D522" s="67">
        <v>3</v>
      </c>
      <c r="E522" s="68"/>
      <c r="F522" s="69">
        <v>40</v>
      </c>
      <c r="G522" s="66"/>
      <c r="H522" s="70"/>
      <c r="I522" s="71"/>
      <c r="J522" s="71"/>
      <c r="K522" s="35" t="s">
        <v>65</v>
      </c>
      <c r="L522" s="79">
        <v>522</v>
      </c>
      <c r="M522" s="79"/>
      <c r="N522" s="73"/>
      <c r="O522" s="81" t="s">
        <v>788</v>
      </c>
      <c r="P522" s="81" t="s">
        <v>325</v>
      </c>
      <c r="Q522" s="84" t="s">
        <v>1306</v>
      </c>
      <c r="R522" s="81" t="s">
        <v>703</v>
      </c>
      <c r="S522" s="81" t="s">
        <v>1770</v>
      </c>
      <c r="T522" s="86" t="str">
        <f>HYPERLINK("http://www.youtube.com/channel/UCntsAjL0yK2lXDl0tJtIbEA")</f>
        <v>http://www.youtube.com/channel/UCntsAjL0yK2lXDl0tJtIbEA</v>
      </c>
      <c r="U522" s="81"/>
      <c r="V522" s="81" t="s">
        <v>1885</v>
      </c>
      <c r="W522" s="86" t="str">
        <f>HYPERLINK("https://www.youtube.com/watch?v=wadBvDPeE4E")</f>
        <v>https://www.youtube.com/watch?v=wadBvDPeE4E</v>
      </c>
      <c r="X522" s="81" t="s">
        <v>1886</v>
      </c>
      <c r="Y522" s="81">
        <v>1</v>
      </c>
      <c r="Z522" s="88">
        <v>44319.539976851855</v>
      </c>
      <c r="AA522" s="88">
        <v>44319.539976851855</v>
      </c>
      <c r="AB522" s="81"/>
      <c r="AC522" s="81"/>
      <c r="AD522" s="84" t="s">
        <v>1927</v>
      </c>
      <c r="AE522" s="82">
        <v>1</v>
      </c>
      <c r="AF522" s="83" t="str">
        <f>REPLACE(INDEX(GroupVertices[Group],MATCH(Edges[[#This Row],[Vertex 1]],GroupVertices[Vertex],0)),1,1,"")</f>
        <v>1</v>
      </c>
      <c r="AG522" s="83" t="str">
        <f>REPLACE(INDEX(GroupVertices[Group],MATCH(Edges[[#This Row],[Vertex 2]],GroupVertices[Vertex],0)),1,1,"")</f>
        <v>1</v>
      </c>
      <c r="AH522" s="111">
        <v>2</v>
      </c>
      <c r="AI522" s="112">
        <v>13.333333333333334</v>
      </c>
      <c r="AJ522" s="111">
        <v>0</v>
      </c>
      <c r="AK522" s="112">
        <v>0</v>
      </c>
      <c r="AL522" s="111">
        <v>0</v>
      </c>
      <c r="AM522" s="112">
        <v>0</v>
      </c>
      <c r="AN522" s="111">
        <v>13</v>
      </c>
      <c r="AO522" s="112">
        <v>86.66666666666667</v>
      </c>
      <c r="AP522" s="111">
        <v>15</v>
      </c>
    </row>
    <row r="523" spans="1:42" ht="15">
      <c r="A523" s="65" t="s">
        <v>704</v>
      </c>
      <c r="B523" s="65" t="s">
        <v>786</v>
      </c>
      <c r="C523" s="66" t="s">
        <v>4509</v>
      </c>
      <c r="D523" s="67">
        <v>3</v>
      </c>
      <c r="E523" s="68"/>
      <c r="F523" s="69">
        <v>40</v>
      </c>
      <c r="G523" s="66"/>
      <c r="H523" s="70"/>
      <c r="I523" s="71"/>
      <c r="J523" s="71"/>
      <c r="K523" s="35" t="s">
        <v>65</v>
      </c>
      <c r="L523" s="79">
        <v>523</v>
      </c>
      <c r="M523" s="79"/>
      <c r="N523" s="73"/>
      <c r="O523" s="81" t="s">
        <v>788</v>
      </c>
      <c r="P523" s="81" t="s">
        <v>325</v>
      </c>
      <c r="Q523" s="84" t="s">
        <v>1307</v>
      </c>
      <c r="R523" s="81" t="s">
        <v>704</v>
      </c>
      <c r="S523" s="81" t="s">
        <v>1771</v>
      </c>
      <c r="T523" s="86" t="str">
        <f>HYPERLINK("http://www.youtube.com/channel/UCg_03iJSFVf9olqAw89UrtQ")</f>
        <v>http://www.youtube.com/channel/UCg_03iJSFVf9olqAw89UrtQ</v>
      </c>
      <c r="U523" s="81"/>
      <c r="V523" s="81" t="s">
        <v>1885</v>
      </c>
      <c r="W523" s="86" t="str">
        <f>HYPERLINK("https://www.youtube.com/watch?v=wadBvDPeE4E")</f>
        <v>https://www.youtube.com/watch?v=wadBvDPeE4E</v>
      </c>
      <c r="X523" s="81" t="s">
        <v>1886</v>
      </c>
      <c r="Y523" s="81">
        <v>0</v>
      </c>
      <c r="Z523" s="88">
        <v>44337.002858796295</v>
      </c>
      <c r="AA523" s="88">
        <v>44337.002858796295</v>
      </c>
      <c r="AB523" s="81"/>
      <c r="AC523" s="81"/>
      <c r="AD523" s="84" t="s">
        <v>1927</v>
      </c>
      <c r="AE523" s="82">
        <v>1</v>
      </c>
      <c r="AF523" s="83" t="str">
        <f>REPLACE(INDEX(GroupVertices[Group],MATCH(Edges[[#This Row],[Vertex 1]],GroupVertices[Vertex],0)),1,1,"")</f>
        <v>1</v>
      </c>
      <c r="AG523" s="83" t="str">
        <f>REPLACE(INDEX(GroupVertices[Group],MATCH(Edges[[#This Row],[Vertex 2]],GroupVertices[Vertex],0)),1,1,"")</f>
        <v>1</v>
      </c>
      <c r="AH523" s="111">
        <v>0</v>
      </c>
      <c r="AI523" s="112">
        <v>0</v>
      </c>
      <c r="AJ523" s="111">
        <v>1</v>
      </c>
      <c r="AK523" s="112">
        <v>8.333333333333334</v>
      </c>
      <c r="AL523" s="111">
        <v>0</v>
      </c>
      <c r="AM523" s="112">
        <v>0</v>
      </c>
      <c r="AN523" s="111">
        <v>11</v>
      </c>
      <c r="AO523" s="112">
        <v>91.66666666666667</v>
      </c>
      <c r="AP523" s="111">
        <v>12</v>
      </c>
    </row>
    <row r="524" spans="1:42" ht="15">
      <c r="A524" s="65" t="s">
        <v>705</v>
      </c>
      <c r="B524" s="65" t="s">
        <v>786</v>
      </c>
      <c r="C524" s="66" t="s">
        <v>4509</v>
      </c>
      <c r="D524" s="67">
        <v>3</v>
      </c>
      <c r="E524" s="68"/>
      <c r="F524" s="69">
        <v>40</v>
      </c>
      <c r="G524" s="66"/>
      <c r="H524" s="70"/>
      <c r="I524" s="71"/>
      <c r="J524" s="71"/>
      <c r="K524" s="35" t="s">
        <v>65</v>
      </c>
      <c r="L524" s="79">
        <v>524</v>
      </c>
      <c r="M524" s="79"/>
      <c r="N524" s="73"/>
      <c r="O524" s="81" t="s">
        <v>788</v>
      </c>
      <c r="P524" s="81" t="s">
        <v>325</v>
      </c>
      <c r="Q524" s="84" t="s">
        <v>1308</v>
      </c>
      <c r="R524" s="81" t="s">
        <v>705</v>
      </c>
      <c r="S524" s="81" t="s">
        <v>1772</v>
      </c>
      <c r="T524" s="86" t="str">
        <f>HYPERLINK("http://www.youtube.com/channel/UCLY5WEJeSbQoZIPD5RGdPgg")</f>
        <v>http://www.youtube.com/channel/UCLY5WEJeSbQoZIPD5RGdPgg</v>
      </c>
      <c r="U524" s="81"/>
      <c r="V524" s="81" t="s">
        <v>1885</v>
      </c>
      <c r="W524" s="86" t="str">
        <f>HYPERLINK("https://www.youtube.com/watch?v=wadBvDPeE4E")</f>
        <v>https://www.youtube.com/watch?v=wadBvDPeE4E</v>
      </c>
      <c r="X524" s="81" t="s">
        <v>1886</v>
      </c>
      <c r="Y524" s="81">
        <v>0</v>
      </c>
      <c r="Z524" s="88">
        <v>44338.79109953704</v>
      </c>
      <c r="AA524" s="88">
        <v>44338.79430555556</v>
      </c>
      <c r="AB524" s="81"/>
      <c r="AC524" s="81"/>
      <c r="AD524" s="84" t="s">
        <v>1927</v>
      </c>
      <c r="AE524" s="82">
        <v>1</v>
      </c>
      <c r="AF524" s="83" t="str">
        <f>REPLACE(INDEX(GroupVertices[Group],MATCH(Edges[[#This Row],[Vertex 1]],GroupVertices[Vertex],0)),1,1,"")</f>
        <v>1</v>
      </c>
      <c r="AG524" s="83" t="str">
        <f>REPLACE(INDEX(GroupVertices[Group],MATCH(Edges[[#This Row],[Vertex 2]],GroupVertices[Vertex],0)),1,1,"")</f>
        <v>1</v>
      </c>
      <c r="AH524" s="111">
        <v>2</v>
      </c>
      <c r="AI524" s="112">
        <v>20</v>
      </c>
      <c r="AJ524" s="111">
        <v>0</v>
      </c>
      <c r="AK524" s="112">
        <v>0</v>
      </c>
      <c r="AL524" s="111">
        <v>0</v>
      </c>
      <c r="AM524" s="112">
        <v>0</v>
      </c>
      <c r="AN524" s="111">
        <v>8</v>
      </c>
      <c r="AO524" s="112">
        <v>80</v>
      </c>
      <c r="AP524" s="111">
        <v>10</v>
      </c>
    </row>
    <row r="525" spans="1:42" ht="15">
      <c r="A525" s="65" t="s">
        <v>706</v>
      </c>
      <c r="B525" s="65" t="s">
        <v>786</v>
      </c>
      <c r="C525" s="66" t="s">
        <v>4509</v>
      </c>
      <c r="D525" s="67">
        <v>3</v>
      </c>
      <c r="E525" s="68"/>
      <c r="F525" s="69">
        <v>40</v>
      </c>
      <c r="G525" s="66"/>
      <c r="H525" s="70"/>
      <c r="I525" s="71"/>
      <c r="J525" s="71"/>
      <c r="K525" s="35" t="s">
        <v>65</v>
      </c>
      <c r="L525" s="79">
        <v>525</v>
      </c>
      <c r="M525" s="79"/>
      <c r="N525" s="73"/>
      <c r="O525" s="81" t="s">
        <v>788</v>
      </c>
      <c r="P525" s="81" t="s">
        <v>325</v>
      </c>
      <c r="Q525" s="84" t="s">
        <v>1309</v>
      </c>
      <c r="R525" s="81" t="s">
        <v>706</v>
      </c>
      <c r="S525" s="81" t="s">
        <v>1773</v>
      </c>
      <c r="T525" s="86" t="str">
        <f>HYPERLINK("http://www.youtube.com/channel/UCIEXLv6qwXPTqd5t0BSaIhw")</f>
        <v>http://www.youtube.com/channel/UCIEXLv6qwXPTqd5t0BSaIhw</v>
      </c>
      <c r="U525" s="81"/>
      <c r="V525" s="81" t="s">
        <v>1885</v>
      </c>
      <c r="W525" s="86" t="str">
        <f>HYPERLINK("https://www.youtube.com/watch?v=wadBvDPeE4E")</f>
        <v>https://www.youtube.com/watch?v=wadBvDPeE4E</v>
      </c>
      <c r="X525" s="81" t="s">
        <v>1886</v>
      </c>
      <c r="Y525" s="81">
        <v>2</v>
      </c>
      <c r="Z525" s="88">
        <v>44356.172164351854</v>
      </c>
      <c r="AA525" s="88">
        <v>44356.172164351854</v>
      </c>
      <c r="AB525" s="81"/>
      <c r="AC525" s="81"/>
      <c r="AD525" s="84" t="s">
        <v>1927</v>
      </c>
      <c r="AE525" s="82">
        <v>1</v>
      </c>
      <c r="AF525" s="83" t="str">
        <f>REPLACE(INDEX(GroupVertices[Group],MATCH(Edges[[#This Row],[Vertex 1]],GroupVertices[Vertex],0)),1,1,"")</f>
        <v>1</v>
      </c>
      <c r="AG525" s="83" t="str">
        <f>REPLACE(INDEX(GroupVertices[Group],MATCH(Edges[[#This Row],[Vertex 2]],GroupVertices[Vertex],0)),1,1,"")</f>
        <v>1</v>
      </c>
      <c r="AH525" s="111">
        <v>0</v>
      </c>
      <c r="AI525" s="112">
        <v>0</v>
      </c>
      <c r="AJ525" s="111">
        <v>5</v>
      </c>
      <c r="AK525" s="112">
        <v>9.803921568627452</v>
      </c>
      <c r="AL525" s="111">
        <v>0</v>
      </c>
      <c r="AM525" s="112">
        <v>0</v>
      </c>
      <c r="AN525" s="111">
        <v>46</v>
      </c>
      <c r="AO525" s="112">
        <v>90.19607843137256</v>
      </c>
      <c r="AP525" s="111">
        <v>51</v>
      </c>
    </row>
    <row r="526" spans="1:42" ht="15">
      <c r="A526" s="65" t="s">
        <v>707</v>
      </c>
      <c r="B526" s="65" t="s">
        <v>786</v>
      </c>
      <c r="C526" s="66" t="s">
        <v>4509</v>
      </c>
      <c r="D526" s="67">
        <v>3</v>
      </c>
      <c r="E526" s="68"/>
      <c r="F526" s="69">
        <v>40</v>
      </c>
      <c r="G526" s="66"/>
      <c r="H526" s="70"/>
      <c r="I526" s="71"/>
      <c r="J526" s="71"/>
      <c r="K526" s="35" t="s">
        <v>65</v>
      </c>
      <c r="L526" s="79">
        <v>526</v>
      </c>
      <c r="M526" s="79"/>
      <c r="N526" s="73"/>
      <c r="O526" s="81" t="s">
        <v>788</v>
      </c>
      <c r="P526" s="81" t="s">
        <v>325</v>
      </c>
      <c r="Q526" s="84" t="s">
        <v>1310</v>
      </c>
      <c r="R526" s="81" t="s">
        <v>707</v>
      </c>
      <c r="S526" s="81" t="s">
        <v>1774</v>
      </c>
      <c r="T526" s="86" t="str">
        <f>HYPERLINK("http://www.youtube.com/channel/UCBbL0oZ57VlwHVLXsV4Du7A")</f>
        <v>http://www.youtube.com/channel/UCBbL0oZ57VlwHVLXsV4Du7A</v>
      </c>
      <c r="U526" s="81"/>
      <c r="V526" s="81" t="s">
        <v>1885</v>
      </c>
      <c r="W526" s="86" t="str">
        <f>HYPERLINK("https://www.youtube.com/watch?v=wadBvDPeE4E")</f>
        <v>https://www.youtube.com/watch?v=wadBvDPeE4E</v>
      </c>
      <c r="X526" s="81" t="s">
        <v>1886</v>
      </c>
      <c r="Y526" s="81">
        <v>0</v>
      </c>
      <c r="Z526" s="88">
        <v>44385.62337962963</v>
      </c>
      <c r="AA526" s="88">
        <v>44385.62337962963</v>
      </c>
      <c r="AB526" s="81"/>
      <c r="AC526" s="81"/>
      <c r="AD526" s="84" t="s">
        <v>1927</v>
      </c>
      <c r="AE526" s="82">
        <v>1</v>
      </c>
      <c r="AF526" s="83" t="str">
        <f>REPLACE(INDEX(GroupVertices[Group],MATCH(Edges[[#This Row],[Vertex 1]],GroupVertices[Vertex],0)),1,1,"")</f>
        <v>1</v>
      </c>
      <c r="AG526" s="83" t="str">
        <f>REPLACE(INDEX(GroupVertices[Group],MATCH(Edges[[#This Row],[Vertex 2]],GroupVertices[Vertex],0)),1,1,"")</f>
        <v>1</v>
      </c>
      <c r="AH526" s="111">
        <v>0</v>
      </c>
      <c r="AI526" s="112">
        <v>0</v>
      </c>
      <c r="AJ526" s="111">
        <v>2</v>
      </c>
      <c r="AK526" s="112">
        <v>5.555555555555555</v>
      </c>
      <c r="AL526" s="111">
        <v>0</v>
      </c>
      <c r="AM526" s="112">
        <v>0</v>
      </c>
      <c r="AN526" s="111">
        <v>34</v>
      </c>
      <c r="AO526" s="112">
        <v>94.44444444444444</v>
      </c>
      <c r="AP526" s="111">
        <v>36</v>
      </c>
    </row>
    <row r="527" spans="1:42" ht="15">
      <c r="A527" s="65" t="s">
        <v>708</v>
      </c>
      <c r="B527" s="65" t="s">
        <v>786</v>
      </c>
      <c r="C527" s="66" t="s">
        <v>4509</v>
      </c>
      <c r="D527" s="67">
        <v>3</v>
      </c>
      <c r="E527" s="68"/>
      <c r="F527" s="69">
        <v>40</v>
      </c>
      <c r="G527" s="66"/>
      <c r="H527" s="70"/>
      <c r="I527" s="71"/>
      <c r="J527" s="71"/>
      <c r="K527" s="35" t="s">
        <v>65</v>
      </c>
      <c r="L527" s="79">
        <v>527</v>
      </c>
      <c r="M527" s="79"/>
      <c r="N527" s="73"/>
      <c r="O527" s="81" t="s">
        <v>788</v>
      </c>
      <c r="P527" s="81" t="s">
        <v>325</v>
      </c>
      <c r="Q527" s="84" t="s">
        <v>1311</v>
      </c>
      <c r="R527" s="81" t="s">
        <v>708</v>
      </c>
      <c r="S527" s="81" t="s">
        <v>1775</v>
      </c>
      <c r="T527" s="86" t="str">
        <f>HYPERLINK("http://www.youtube.com/channel/UCGhQcael1605jqEQJQgIUJg")</f>
        <v>http://www.youtube.com/channel/UCGhQcael1605jqEQJQgIUJg</v>
      </c>
      <c r="U527" s="81"/>
      <c r="V527" s="81" t="s">
        <v>1885</v>
      </c>
      <c r="W527" s="86" t="str">
        <f>HYPERLINK("https://www.youtube.com/watch?v=wadBvDPeE4E")</f>
        <v>https://www.youtube.com/watch?v=wadBvDPeE4E</v>
      </c>
      <c r="X527" s="81" t="s">
        <v>1886</v>
      </c>
      <c r="Y527" s="81">
        <v>0</v>
      </c>
      <c r="Z527" s="88">
        <v>44386.095347222225</v>
      </c>
      <c r="AA527" s="88">
        <v>44386.14184027778</v>
      </c>
      <c r="AB527" s="81"/>
      <c r="AC527" s="81"/>
      <c r="AD527" s="84" t="s">
        <v>1927</v>
      </c>
      <c r="AE527" s="82">
        <v>1</v>
      </c>
      <c r="AF527" s="83" t="str">
        <f>REPLACE(INDEX(GroupVertices[Group],MATCH(Edges[[#This Row],[Vertex 1]],GroupVertices[Vertex],0)),1,1,"")</f>
        <v>1</v>
      </c>
      <c r="AG527" s="83" t="str">
        <f>REPLACE(INDEX(GroupVertices[Group],MATCH(Edges[[#This Row],[Vertex 2]],GroupVertices[Vertex],0)),1,1,"")</f>
        <v>1</v>
      </c>
      <c r="AH527" s="111">
        <v>4</v>
      </c>
      <c r="AI527" s="112">
        <v>3.007518796992481</v>
      </c>
      <c r="AJ527" s="111">
        <v>9</v>
      </c>
      <c r="AK527" s="112">
        <v>6.7669172932330826</v>
      </c>
      <c r="AL527" s="111">
        <v>0</v>
      </c>
      <c r="AM527" s="112">
        <v>0</v>
      </c>
      <c r="AN527" s="111">
        <v>120</v>
      </c>
      <c r="AO527" s="112">
        <v>90.22556390977444</v>
      </c>
      <c r="AP527" s="111">
        <v>133</v>
      </c>
    </row>
    <row r="528" spans="1:42" ht="15">
      <c r="A528" s="65" t="s">
        <v>709</v>
      </c>
      <c r="B528" s="65" t="s">
        <v>786</v>
      </c>
      <c r="C528" s="66" t="s">
        <v>4509</v>
      </c>
      <c r="D528" s="67">
        <v>3</v>
      </c>
      <c r="E528" s="68"/>
      <c r="F528" s="69">
        <v>40</v>
      </c>
      <c r="G528" s="66"/>
      <c r="H528" s="70"/>
      <c r="I528" s="71"/>
      <c r="J528" s="71"/>
      <c r="K528" s="35" t="s">
        <v>65</v>
      </c>
      <c r="L528" s="79">
        <v>528</v>
      </c>
      <c r="M528" s="79"/>
      <c r="N528" s="73"/>
      <c r="O528" s="81" t="s">
        <v>788</v>
      </c>
      <c r="P528" s="81" t="s">
        <v>325</v>
      </c>
      <c r="Q528" s="84" t="s">
        <v>1312</v>
      </c>
      <c r="R528" s="81" t="s">
        <v>709</v>
      </c>
      <c r="S528" s="81" t="s">
        <v>1776</v>
      </c>
      <c r="T528" s="86" t="str">
        <f>HYPERLINK("http://www.youtube.com/channel/UCOIptuTS78Ihq07rrMqjvyw")</f>
        <v>http://www.youtube.com/channel/UCOIptuTS78Ihq07rrMqjvyw</v>
      </c>
      <c r="U528" s="81"/>
      <c r="V528" s="81" t="s">
        <v>1885</v>
      </c>
      <c r="W528" s="86" t="str">
        <f>HYPERLINK("https://www.youtube.com/watch?v=wadBvDPeE4E")</f>
        <v>https://www.youtube.com/watch?v=wadBvDPeE4E</v>
      </c>
      <c r="X528" s="81" t="s">
        <v>1886</v>
      </c>
      <c r="Y528" s="81">
        <v>0</v>
      </c>
      <c r="Z528" s="88">
        <v>44388.2280787037</v>
      </c>
      <c r="AA528" s="88">
        <v>44388.22976851852</v>
      </c>
      <c r="AB528" s="81"/>
      <c r="AC528" s="81"/>
      <c r="AD528" s="84" t="s">
        <v>1927</v>
      </c>
      <c r="AE528" s="82">
        <v>1</v>
      </c>
      <c r="AF528" s="83" t="str">
        <f>REPLACE(INDEX(GroupVertices[Group],MATCH(Edges[[#This Row],[Vertex 1]],GroupVertices[Vertex],0)),1,1,"")</f>
        <v>1</v>
      </c>
      <c r="AG528" s="83" t="str">
        <f>REPLACE(INDEX(GroupVertices[Group],MATCH(Edges[[#This Row],[Vertex 2]],GroupVertices[Vertex],0)),1,1,"")</f>
        <v>1</v>
      </c>
      <c r="AH528" s="111">
        <v>2</v>
      </c>
      <c r="AI528" s="112">
        <v>7.6923076923076925</v>
      </c>
      <c r="AJ528" s="111">
        <v>2</v>
      </c>
      <c r="AK528" s="112">
        <v>7.6923076923076925</v>
      </c>
      <c r="AL528" s="111">
        <v>0</v>
      </c>
      <c r="AM528" s="112">
        <v>0</v>
      </c>
      <c r="AN528" s="111">
        <v>22</v>
      </c>
      <c r="AO528" s="112">
        <v>84.61538461538461</v>
      </c>
      <c r="AP528" s="111">
        <v>26</v>
      </c>
    </row>
    <row r="529" spans="1:42" ht="15">
      <c r="A529" s="65" t="s">
        <v>710</v>
      </c>
      <c r="B529" s="65" t="s">
        <v>786</v>
      </c>
      <c r="C529" s="66" t="s">
        <v>4509</v>
      </c>
      <c r="D529" s="67">
        <v>3</v>
      </c>
      <c r="E529" s="68"/>
      <c r="F529" s="69">
        <v>40</v>
      </c>
      <c r="G529" s="66"/>
      <c r="H529" s="70"/>
      <c r="I529" s="71"/>
      <c r="J529" s="71"/>
      <c r="K529" s="35" t="s">
        <v>65</v>
      </c>
      <c r="L529" s="79">
        <v>529</v>
      </c>
      <c r="M529" s="79"/>
      <c r="N529" s="73"/>
      <c r="O529" s="81" t="s">
        <v>788</v>
      </c>
      <c r="P529" s="81" t="s">
        <v>325</v>
      </c>
      <c r="Q529" s="84" t="s">
        <v>1313</v>
      </c>
      <c r="R529" s="81" t="s">
        <v>710</v>
      </c>
      <c r="S529" s="81" t="s">
        <v>1777</v>
      </c>
      <c r="T529" s="86" t="str">
        <f>HYPERLINK("http://www.youtube.com/channel/UCZpj_jBodqeant50BhG2rOg")</f>
        <v>http://www.youtube.com/channel/UCZpj_jBodqeant50BhG2rOg</v>
      </c>
      <c r="U529" s="81"/>
      <c r="V529" s="81" t="s">
        <v>1885</v>
      </c>
      <c r="W529" s="86" t="str">
        <f>HYPERLINK("https://www.youtube.com/watch?v=wadBvDPeE4E")</f>
        <v>https://www.youtube.com/watch?v=wadBvDPeE4E</v>
      </c>
      <c r="X529" s="81" t="s">
        <v>1886</v>
      </c>
      <c r="Y529" s="81">
        <v>0</v>
      </c>
      <c r="Z529" s="88">
        <v>44397.59248842593</v>
      </c>
      <c r="AA529" s="88">
        <v>44397.59248842593</v>
      </c>
      <c r="AB529" s="81"/>
      <c r="AC529" s="81"/>
      <c r="AD529" s="84" t="s">
        <v>1927</v>
      </c>
      <c r="AE529" s="82">
        <v>1</v>
      </c>
      <c r="AF529" s="83" t="str">
        <f>REPLACE(INDEX(GroupVertices[Group],MATCH(Edges[[#This Row],[Vertex 1]],GroupVertices[Vertex],0)),1,1,"")</f>
        <v>1</v>
      </c>
      <c r="AG529" s="83" t="str">
        <f>REPLACE(INDEX(GroupVertices[Group],MATCH(Edges[[#This Row],[Vertex 2]],GroupVertices[Vertex],0)),1,1,"")</f>
        <v>1</v>
      </c>
      <c r="AH529" s="111">
        <v>1</v>
      </c>
      <c r="AI529" s="112">
        <v>100</v>
      </c>
      <c r="AJ529" s="111">
        <v>0</v>
      </c>
      <c r="AK529" s="112">
        <v>0</v>
      </c>
      <c r="AL529" s="111">
        <v>0</v>
      </c>
      <c r="AM529" s="112">
        <v>0</v>
      </c>
      <c r="AN529" s="111">
        <v>0</v>
      </c>
      <c r="AO529" s="112">
        <v>0</v>
      </c>
      <c r="AP529" s="111">
        <v>1</v>
      </c>
    </row>
    <row r="530" spans="1:42" ht="15">
      <c r="A530" s="65" t="s">
        <v>711</v>
      </c>
      <c r="B530" s="65" t="s">
        <v>786</v>
      </c>
      <c r="C530" s="66" t="s">
        <v>4509</v>
      </c>
      <c r="D530" s="67">
        <v>3</v>
      </c>
      <c r="E530" s="68"/>
      <c r="F530" s="69">
        <v>40</v>
      </c>
      <c r="G530" s="66"/>
      <c r="H530" s="70"/>
      <c r="I530" s="71"/>
      <c r="J530" s="71"/>
      <c r="K530" s="35" t="s">
        <v>65</v>
      </c>
      <c r="L530" s="79">
        <v>530</v>
      </c>
      <c r="M530" s="79"/>
      <c r="N530" s="73"/>
      <c r="O530" s="81" t="s">
        <v>788</v>
      </c>
      <c r="P530" s="81" t="s">
        <v>325</v>
      </c>
      <c r="Q530" s="84" t="s">
        <v>1314</v>
      </c>
      <c r="R530" s="81" t="s">
        <v>711</v>
      </c>
      <c r="S530" s="81" t="s">
        <v>1778</v>
      </c>
      <c r="T530" s="86" t="str">
        <f>HYPERLINK("http://www.youtube.com/channel/UCPW2UfTjOv9M_f_IOEzOw3g")</f>
        <v>http://www.youtube.com/channel/UCPW2UfTjOv9M_f_IOEzOw3g</v>
      </c>
      <c r="U530" s="81"/>
      <c r="V530" s="81" t="s">
        <v>1885</v>
      </c>
      <c r="W530" s="86" t="str">
        <f>HYPERLINK("https://www.youtube.com/watch?v=wadBvDPeE4E")</f>
        <v>https://www.youtube.com/watch?v=wadBvDPeE4E</v>
      </c>
      <c r="X530" s="81" t="s">
        <v>1886</v>
      </c>
      <c r="Y530" s="81">
        <v>0</v>
      </c>
      <c r="Z530" s="88">
        <v>44398.14398148148</v>
      </c>
      <c r="AA530" s="88">
        <v>44398.14398148148</v>
      </c>
      <c r="AB530" s="81"/>
      <c r="AC530" s="81"/>
      <c r="AD530" s="84" t="s">
        <v>1927</v>
      </c>
      <c r="AE530" s="82">
        <v>1</v>
      </c>
      <c r="AF530" s="83" t="str">
        <f>REPLACE(INDEX(GroupVertices[Group],MATCH(Edges[[#This Row],[Vertex 1]],GroupVertices[Vertex],0)),1,1,"")</f>
        <v>1</v>
      </c>
      <c r="AG530" s="83" t="str">
        <f>REPLACE(INDEX(GroupVertices[Group],MATCH(Edges[[#This Row],[Vertex 2]],GroupVertices[Vertex],0)),1,1,"")</f>
        <v>1</v>
      </c>
      <c r="AH530" s="111">
        <v>0</v>
      </c>
      <c r="AI530" s="112">
        <v>0</v>
      </c>
      <c r="AJ530" s="111">
        <v>1</v>
      </c>
      <c r="AK530" s="112">
        <v>1.5625</v>
      </c>
      <c r="AL530" s="111">
        <v>0</v>
      </c>
      <c r="AM530" s="112">
        <v>0</v>
      </c>
      <c r="AN530" s="111">
        <v>63</v>
      </c>
      <c r="AO530" s="112">
        <v>98.4375</v>
      </c>
      <c r="AP530" s="111">
        <v>64</v>
      </c>
    </row>
    <row r="531" spans="1:42" ht="15">
      <c r="A531" s="65" t="s">
        <v>712</v>
      </c>
      <c r="B531" s="65" t="s">
        <v>786</v>
      </c>
      <c r="C531" s="66" t="s">
        <v>4509</v>
      </c>
      <c r="D531" s="67">
        <v>3</v>
      </c>
      <c r="E531" s="68"/>
      <c r="F531" s="69">
        <v>40</v>
      </c>
      <c r="G531" s="66"/>
      <c r="H531" s="70"/>
      <c r="I531" s="71"/>
      <c r="J531" s="71"/>
      <c r="K531" s="35" t="s">
        <v>65</v>
      </c>
      <c r="L531" s="79">
        <v>531</v>
      </c>
      <c r="M531" s="79"/>
      <c r="N531" s="73"/>
      <c r="O531" s="81" t="s">
        <v>788</v>
      </c>
      <c r="P531" s="81" t="s">
        <v>325</v>
      </c>
      <c r="Q531" s="84" t="s">
        <v>1315</v>
      </c>
      <c r="R531" s="81" t="s">
        <v>712</v>
      </c>
      <c r="S531" s="81" t="s">
        <v>1779</v>
      </c>
      <c r="T531" s="86" t="str">
        <f>HYPERLINK("http://www.youtube.com/channel/UC32Tq6gmne3zD69PjIcg7Bw")</f>
        <v>http://www.youtube.com/channel/UC32Tq6gmne3zD69PjIcg7Bw</v>
      </c>
      <c r="U531" s="81"/>
      <c r="V531" s="81" t="s">
        <v>1885</v>
      </c>
      <c r="W531" s="86" t="str">
        <f>HYPERLINK("https://www.youtube.com/watch?v=wadBvDPeE4E")</f>
        <v>https://www.youtube.com/watch?v=wadBvDPeE4E</v>
      </c>
      <c r="X531" s="81" t="s">
        <v>1886</v>
      </c>
      <c r="Y531" s="81">
        <v>0</v>
      </c>
      <c r="Z531" s="88">
        <v>44403.29657407408</v>
      </c>
      <c r="AA531" s="88">
        <v>44403.29657407408</v>
      </c>
      <c r="AB531" s="81"/>
      <c r="AC531" s="81"/>
      <c r="AD531" s="84" t="s">
        <v>1927</v>
      </c>
      <c r="AE531" s="82">
        <v>1</v>
      </c>
      <c r="AF531" s="83" t="str">
        <f>REPLACE(INDEX(GroupVertices[Group],MATCH(Edges[[#This Row],[Vertex 1]],GroupVertices[Vertex],0)),1,1,"")</f>
        <v>1</v>
      </c>
      <c r="AG531" s="83" t="str">
        <f>REPLACE(INDEX(GroupVertices[Group],MATCH(Edges[[#This Row],[Vertex 2]],GroupVertices[Vertex],0)),1,1,"")</f>
        <v>1</v>
      </c>
      <c r="AH531" s="111">
        <v>4</v>
      </c>
      <c r="AI531" s="112">
        <v>2.2988505747126435</v>
      </c>
      <c r="AJ531" s="111">
        <v>2</v>
      </c>
      <c r="AK531" s="112">
        <v>1.1494252873563218</v>
      </c>
      <c r="AL531" s="111">
        <v>0</v>
      </c>
      <c r="AM531" s="112">
        <v>0</v>
      </c>
      <c r="AN531" s="111">
        <v>168</v>
      </c>
      <c r="AO531" s="112">
        <v>96.55172413793103</v>
      </c>
      <c r="AP531" s="111">
        <v>174</v>
      </c>
    </row>
    <row r="532" spans="1:42" ht="15">
      <c r="A532" s="65" t="s">
        <v>713</v>
      </c>
      <c r="B532" s="65" t="s">
        <v>786</v>
      </c>
      <c r="C532" s="66" t="s">
        <v>4509</v>
      </c>
      <c r="D532" s="67">
        <v>3</v>
      </c>
      <c r="E532" s="68"/>
      <c r="F532" s="69">
        <v>40</v>
      </c>
      <c r="G532" s="66"/>
      <c r="H532" s="70"/>
      <c r="I532" s="71"/>
      <c r="J532" s="71"/>
      <c r="K532" s="35" t="s">
        <v>65</v>
      </c>
      <c r="L532" s="79">
        <v>532</v>
      </c>
      <c r="M532" s="79"/>
      <c r="N532" s="73"/>
      <c r="O532" s="81" t="s">
        <v>788</v>
      </c>
      <c r="P532" s="81" t="s">
        <v>325</v>
      </c>
      <c r="Q532" s="84" t="s">
        <v>1316</v>
      </c>
      <c r="R532" s="81" t="s">
        <v>713</v>
      </c>
      <c r="S532" s="81" t="s">
        <v>1780</v>
      </c>
      <c r="T532" s="86" t="str">
        <f>HYPERLINK("http://www.youtube.com/channel/UC6OFeLsaH1E7H9jW5EFrRsQ")</f>
        <v>http://www.youtube.com/channel/UC6OFeLsaH1E7H9jW5EFrRsQ</v>
      </c>
      <c r="U532" s="81"/>
      <c r="V532" s="81" t="s">
        <v>1885</v>
      </c>
      <c r="W532" s="86" t="str">
        <f>HYPERLINK("https://www.youtube.com/watch?v=wadBvDPeE4E")</f>
        <v>https://www.youtube.com/watch?v=wadBvDPeE4E</v>
      </c>
      <c r="X532" s="81" t="s">
        <v>1886</v>
      </c>
      <c r="Y532" s="81">
        <v>0</v>
      </c>
      <c r="Z532" s="88">
        <v>44405.09721064815</v>
      </c>
      <c r="AA532" s="88">
        <v>44405.09721064815</v>
      </c>
      <c r="AB532" s="81"/>
      <c r="AC532" s="81"/>
      <c r="AD532" s="84" t="s">
        <v>1927</v>
      </c>
      <c r="AE532" s="82">
        <v>1</v>
      </c>
      <c r="AF532" s="83" t="str">
        <f>REPLACE(INDEX(GroupVertices[Group],MATCH(Edges[[#This Row],[Vertex 1]],GroupVertices[Vertex],0)),1,1,"")</f>
        <v>1</v>
      </c>
      <c r="AG532" s="83" t="str">
        <f>REPLACE(INDEX(GroupVertices[Group],MATCH(Edges[[#This Row],[Vertex 2]],GroupVertices[Vertex],0)),1,1,"")</f>
        <v>1</v>
      </c>
      <c r="AH532" s="111">
        <v>0</v>
      </c>
      <c r="AI532" s="112">
        <v>0</v>
      </c>
      <c r="AJ532" s="111">
        <v>0</v>
      </c>
      <c r="AK532" s="112">
        <v>0</v>
      </c>
      <c r="AL532" s="111">
        <v>0</v>
      </c>
      <c r="AM532" s="112">
        <v>0</v>
      </c>
      <c r="AN532" s="111">
        <v>7</v>
      </c>
      <c r="AO532" s="112">
        <v>100</v>
      </c>
      <c r="AP532" s="111">
        <v>7</v>
      </c>
    </row>
    <row r="533" spans="1:42" ht="15">
      <c r="A533" s="65" t="s">
        <v>714</v>
      </c>
      <c r="B533" s="65" t="s">
        <v>786</v>
      </c>
      <c r="C533" s="66" t="s">
        <v>4509</v>
      </c>
      <c r="D533" s="67">
        <v>3</v>
      </c>
      <c r="E533" s="68"/>
      <c r="F533" s="69">
        <v>40</v>
      </c>
      <c r="G533" s="66"/>
      <c r="H533" s="70"/>
      <c r="I533" s="71"/>
      <c r="J533" s="71"/>
      <c r="K533" s="35" t="s">
        <v>65</v>
      </c>
      <c r="L533" s="79">
        <v>533</v>
      </c>
      <c r="M533" s="79"/>
      <c r="N533" s="73"/>
      <c r="O533" s="81" t="s">
        <v>788</v>
      </c>
      <c r="P533" s="81" t="s">
        <v>325</v>
      </c>
      <c r="Q533" s="84" t="s">
        <v>1317</v>
      </c>
      <c r="R533" s="81" t="s">
        <v>714</v>
      </c>
      <c r="S533" s="81" t="s">
        <v>1781</v>
      </c>
      <c r="T533" s="86" t="str">
        <f>HYPERLINK("http://www.youtube.com/channel/UCWDK6irzgVt4AU5X6cyFiWg")</f>
        <v>http://www.youtube.com/channel/UCWDK6irzgVt4AU5X6cyFiWg</v>
      </c>
      <c r="U533" s="81"/>
      <c r="V533" s="81" t="s">
        <v>1885</v>
      </c>
      <c r="W533" s="86" t="str">
        <f>HYPERLINK("https://www.youtube.com/watch?v=wadBvDPeE4E")</f>
        <v>https://www.youtube.com/watch?v=wadBvDPeE4E</v>
      </c>
      <c r="X533" s="81" t="s">
        <v>1886</v>
      </c>
      <c r="Y533" s="81">
        <v>0</v>
      </c>
      <c r="Z533" s="88">
        <v>44417.81416666666</v>
      </c>
      <c r="AA533" s="88">
        <v>44417.81416666666</v>
      </c>
      <c r="AB533" s="81"/>
      <c r="AC533" s="81"/>
      <c r="AD533" s="84" t="s">
        <v>1927</v>
      </c>
      <c r="AE533" s="82">
        <v>1</v>
      </c>
      <c r="AF533" s="83" t="str">
        <f>REPLACE(INDEX(GroupVertices[Group],MATCH(Edges[[#This Row],[Vertex 1]],GroupVertices[Vertex],0)),1,1,"")</f>
        <v>1</v>
      </c>
      <c r="AG533" s="83" t="str">
        <f>REPLACE(INDEX(GroupVertices[Group],MATCH(Edges[[#This Row],[Vertex 2]],GroupVertices[Vertex],0)),1,1,"")</f>
        <v>1</v>
      </c>
      <c r="AH533" s="111">
        <v>0</v>
      </c>
      <c r="AI533" s="112">
        <v>0</v>
      </c>
      <c r="AJ533" s="111">
        <v>1</v>
      </c>
      <c r="AK533" s="112">
        <v>4.166666666666667</v>
      </c>
      <c r="AL533" s="111">
        <v>0</v>
      </c>
      <c r="AM533" s="112">
        <v>0</v>
      </c>
      <c r="AN533" s="111">
        <v>23</v>
      </c>
      <c r="AO533" s="112">
        <v>95.83333333333333</v>
      </c>
      <c r="AP533" s="111">
        <v>24</v>
      </c>
    </row>
    <row r="534" spans="1:42" ht="15">
      <c r="A534" s="65" t="s">
        <v>715</v>
      </c>
      <c r="B534" s="65" t="s">
        <v>786</v>
      </c>
      <c r="C534" s="66" t="s">
        <v>4510</v>
      </c>
      <c r="D534" s="67">
        <v>5.333333333333334</v>
      </c>
      <c r="E534" s="68"/>
      <c r="F534" s="69">
        <v>31.666666666666664</v>
      </c>
      <c r="G534" s="66"/>
      <c r="H534" s="70"/>
      <c r="I534" s="71"/>
      <c r="J534" s="71"/>
      <c r="K534" s="35" t="s">
        <v>65</v>
      </c>
      <c r="L534" s="79">
        <v>534</v>
      </c>
      <c r="M534" s="79"/>
      <c r="N534" s="73"/>
      <c r="O534" s="81" t="s">
        <v>788</v>
      </c>
      <c r="P534" s="81" t="s">
        <v>325</v>
      </c>
      <c r="Q534" s="84" t="s">
        <v>1318</v>
      </c>
      <c r="R534" s="81" t="s">
        <v>715</v>
      </c>
      <c r="S534" s="81" t="s">
        <v>1782</v>
      </c>
      <c r="T534" s="86" t="str">
        <f>HYPERLINK("http://www.youtube.com/channel/UCXpzIvoO2EiojZ32TrcyobQ")</f>
        <v>http://www.youtube.com/channel/UCXpzIvoO2EiojZ32TrcyobQ</v>
      </c>
      <c r="U534" s="81"/>
      <c r="V534" s="81" t="s">
        <v>1885</v>
      </c>
      <c r="W534" s="86" t="str">
        <f>HYPERLINK("https://www.youtube.com/watch?v=wadBvDPeE4E")</f>
        <v>https://www.youtube.com/watch?v=wadBvDPeE4E</v>
      </c>
      <c r="X534" s="81" t="s">
        <v>1886</v>
      </c>
      <c r="Y534" s="81">
        <v>0</v>
      </c>
      <c r="Z534" s="88">
        <v>44418.98480324074</v>
      </c>
      <c r="AA534" s="88">
        <v>44418.98480324074</v>
      </c>
      <c r="AB534" s="81"/>
      <c r="AC534" s="81"/>
      <c r="AD534" s="84" t="s">
        <v>1927</v>
      </c>
      <c r="AE534" s="82">
        <v>2</v>
      </c>
      <c r="AF534" s="83" t="str">
        <f>REPLACE(INDEX(GroupVertices[Group],MATCH(Edges[[#This Row],[Vertex 1]],GroupVertices[Vertex],0)),1,1,"")</f>
        <v>1</v>
      </c>
      <c r="AG534" s="83" t="str">
        <f>REPLACE(INDEX(GroupVertices[Group],MATCH(Edges[[#This Row],[Vertex 2]],GroupVertices[Vertex],0)),1,1,"")</f>
        <v>1</v>
      </c>
      <c r="AH534" s="111">
        <v>1</v>
      </c>
      <c r="AI534" s="112">
        <v>9.090909090909092</v>
      </c>
      <c r="AJ534" s="111">
        <v>1</v>
      </c>
      <c r="AK534" s="112">
        <v>9.090909090909092</v>
      </c>
      <c r="AL534" s="111">
        <v>0</v>
      </c>
      <c r="AM534" s="112">
        <v>0</v>
      </c>
      <c r="AN534" s="111">
        <v>9</v>
      </c>
      <c r="AO534" s="112">
        <v>81.81818181818181</v>
      </c>
      <c r="AP534" s="111">
        <v>11</v>
      </c>
    </row>
    <row r="535" spans="1:42" ht="15">
      <c r="A535" s="65" t="s">
        <v>715</v>
      </c>
      <c r="B535" s="65" t="s">
        <v>786</v>
      </c>
      <c r="C535" s="66" t="s">
        <v>4510</v>
      </c>
      <c r="D535" s="67">
        <v>5.333333333333334</v>
      </c>
      <c r="E535" s="68"/>
      <c r="F535" s="69">
        <v>31.666666666666664</v>
      </c>
      <c r="G535" s="66"/>
      <c r="H535" s="70"/>
      <c r="I535" s="71"/>
      <c r="J535" s="71"/>
      <c r="K535" s="35" t="s">
        <v>65</v>
      </c>
      <c r="L535" s="79">
        <v>535</v>
      </c>
      <c r="M535" s="79"/>
      <c r="N535" s="73"/>
      <c r="O535" s="81" t="s">
        <v>788</v>
      </c>
      <c r="P535" s="81" t="s">
        <v>325</v>
      </c>
      <c r="Q535" s="84" t="s">
        <v>1319</v>
      </c>
      <c r="R535" s="81" t="s">
        <v>715</v>
      </c>
      <c r="S535" s="81" t="s">
        <v>1782</v>
      </c>
      <c r="T535" s="86" t="str">
        <f>HYPERLINK("http://www.youtube.com/channel/UCXpzIvoO2EiojZ32TrcyobQ")</f>
        <v>http://www.youtube.com/channel/UCXpzIvoO2EiojZ32TrcyobQ</v>
      </c>
      <c r="U535" s="81"/>
      <c r="V535" s="81" t="s">
        <v>1885</v>
      </c>
      <c r="W535" s="86" t="str">
        <f>HYPERLINK("https://www.youtube.com/watch?v=wadBvDPeE4E")</f>
        <v>https://www.youtube.com/watch?v=wadBvDPeE4E</v>
      </c>
      <c r="X535" s="81" t="s">
        <v>1886</v>
      </c>
      <c r="Y535" s="81">
        <v>2</v>
      </c>
      <c r="Z535" s="88">
        <v>44420.01204861111</v>
      </c>
      <c r="AA535" s="88">
        <v>44420.01204861111</v>
      </c>
      <c r="AB535" s="81"/>
      <c r="AC535" s="81"/>
      <c r="AD535" s="84" t="s">
        <v>1927</v>
      </c>
      <c r="AE535" s="82">
        <v>2</v>
      </c>
      <c r="AF535" s="83" t="str">
        <f>REPLACE(INDEX(GroupVertices[Group],MATCH(Edges[[#This Row],[Vertex 1]],GroupVertices[Vertex],0)),1,1,"")</f>
        <v>1</v>
      </c>
      <c r="AG535" s="83" t="str">
        <f>REPLACE(INDEX(GroupVertices[Group],MATCH(Edges[[#This Row],[Vertex 2]],GroupVertices[Vertex],0)),1,1,"")</f>
        <v>1</v>
      </c>
      <c r="AH535" s="111">
        <v>1</v>
      </c>
      <c r="AI535" s="112">
        <v>14.285714285714286</v>
      </c>
      <c r="AJ535" s="111">
        <v>0</v>
      </c>
      <c r="AK535" s="112">
        <v>0</v>
      </c>
      <c r="AL535" s="111">
        <v>0</v>
      </c>
      <c r="AM535" s="112">
        <v>0</v>
      </c>
      <c r="AN535" s="111">
        <v>6</v>
      </c>
      <c r="AO535" s="112">
        <v>85.71428571428571</v>
      </c>
      <c r="AP535" s="111">
        <v>7</v>
      </c>
    </row>
    <row r="536" spans="1:42" ht="15">
      <c r="A536" s="65" t="s">
        <v>716</v>
      </c>
      <c r="B536" s="65" t="s">
        <v>786</v>
      </c>
      <c r="C536" s="66" t="s">
        <v>4509</v>
      </c>
      <c r="D536" s="67">
        <v>3</v>
      </c>
      <c r="E536" s="68"/>
      <c r="F536" s="69">
        <v>40</v>
      </c>
      <c r="G536" s="66"/>
      <c r="H536" s="70"/>
      <c r="I536" s="71"/>
      <c r="J536" s="71"/>
      <c r="K536" s="35" t="s">
        <v>65</v>
      </c>
      <c r="L536" s="79">
        <v>536</v>
      </c>
      <c r="M536" s="79"/>
      <c r="N536" s="73"/>
      <c r="O536" s="81" t="s">
        <v>788</v>
      </c>
      <c r="P536" s="81" t="s">
        <v>325</v>
      </c>
      <c r="Q536" s="84" t="s">
        <v>1320</v>
      </c>
      <c r="R536" s="81" t="s">
        <v>716</v>
      </c>
      <c r="S536" s="81" t="s">
        <v>1783</v>
      </c>
      <c r="T536" s="86" t="str">
        <f>HYPERLINK("http://www.youtube.com/channel/UC68Uy1XyJiUWgmJ0_BmcXBg")</f>
        <v>http://www.youtube.com/channel/UC68Uy1XyJiUWgmJ0_BmcXBg</v>
      </c>
      <c r="U536" s="81"/>
      <c r="V536" s="81" t="s">
        <v>1885</v>
      </c>
      <c r="W536" s="86" t="str">
        <f>HYPERLINK("https://www.youtube.com/watch?v=wadBvDPeE4E")</f>
        <v>https://www.youtube.com/watch?v=wadBvDPeE4E</v>
      </c>
      <c r="X536" s="81" t="s">
        <v>1886</v>
      </c>
      <c r="Y536" s="81">
        <v>8</v>
      </c>
      <c r="Z536" s="88">
        <v>44423.14513888889</v>
      </c>
      <c r="AA536" s="88">
        <v>44423.14513888889</v>
      </c>
      <c r="AB536" s="81"/>
      <c r="AC536" s="81"/>
      <c r="AD536" s="84" t="s">
        <v>1927</v>
      </c>
      <c r="AE536" s="82">
        <v>1</v>
      </c>
      <c r="AF536" s="83" t="str">
        <f>REPLACE(INDEX(GroupVertices[Group],MATCH(Edges[[#This Row],[Vertex 1]],GroupVertices[Vertex],0)),1,1,"")</f>
        <v>1</v>
      </c>
      <c r="AG536" s="83" t="str">
        <f>REPLACE(INDEX(GroupVertices[Group],MATCH(Edges[[#This Row],[Vertex 2]],GroupVertices[Vertex],0)),1,1,"")</f>
        <v>1</v>
      </c>
      <c r="AH536" s="111">
        <v>1</v>
      </c>
      <c r="AI536" s="112">
        <v>3.225806451612903</v>
      </c>
      <c r="AJ536" s="111">
        <v>0</v>
      </c>
      <c r="AK536" s="112">
        <v>0</v>
      </c>
      <c r="AL536" s="111">
        <v>0</v>
      </c>
      <c r="AM536" s="112">
        <v>0</v>
      </c>
      <c r="AN536" s="111">
        <v>30</v>
      </c>
      <c r="AO536" s="112">
        <v>96.7741935483871</v>
      </c>
      <c r="AP536" s="111">
        <v>31</v>
      </c>
    </row>
    <row r="537" spans="1:42" ht="15">
      <c r="A537" s="65" t="s">
        <v>717</v>
      </c>
      <c r="B537" s="65" t="s">
        <v>786</v>
      </c>
      <c r="C537" s="66" t="s">
        <v>4509</v>
      </c>
      <c r="D537" s="67">
        <v>3</v>
      </c>
      <c r="E537" s="68"/>
      <c r="F537" s="69">
        <v>40</v>
      </c>
      <c r="G537" s="66"/>
      <c r="H537" s="70"/>
      <c r="I537" s="71"/>
      <c r="J537" s="71"/>
      <c r="K537" s="35" t="s">
        <v>65</v>
      </c>
      <c r="L537" s="79">
        <v>537</v>
      </c>
      <c r="M537" s="79"/>
      <c r="N537" s="73"/>
      <c r="O537" s="81" t="s">
        <v>788</v>
      </c>
      <c r="P537" s="81" t="s">
        <v>325</v>
      </c>
      <c r="Q537" s="84" t="s">
        <v>1321</v>
      </c>
      <c r="R537" s="81" t="s">
        <v>717</v>
      </c>
      <c r="S537" s="81" t="s">
        <v>1784</v>
      </c>
      <c r="T537" s="86" t="str">
        <f>HYPERLINK("http://www.youtube.com/channel/UClPH2H2-TDctChogbKv3Ttw")</f>
        <v>http://www.youtube.com/channel/UClPH2H2-TDctChogbKv3Ttw</v>
      </c>
      <c r="U537" s="81"/>
      <c r="V537" s="81" t="s">
        <v>1885</v>
      </c>
      <c r="W537" s="86" t="str">
        <f>HYPERLINK("https://www.youtube.com/watch?v=wadBvDPeE4E")</f>
        <v>https://www.youtube.com/watch?v=wadBvDPeE4E</v>
      </c>
      <c r="X537" s="81" t="s">
        <v>1886</v>
      </c>
      <c r="Y537" s="81">
        <v>0</v>
      </c>
      <c r="Z537" s="88">
        <v>44431.09920138889</v>
      </c>
      <c r="AA537" s="88">
        <v>44431.09920138889</v>
      </c>
      <c r="AB537" s="81"/>
      <c r="AC537" s="81"/>
      <c r="AD537" s="84" t="s">
        <v>1927</v>
      </c>
      <c r="AE537" s="82">
        <v>1</v>
      </c>
      <c r="AF537" s="83" t="str">
        <f>REPLACE(INDEX(GroupVertices[Group],MATCH(Edges[[#This Row],[Vertex 1]],GroupVertices[Vertex],0)),1,1,"")</f>
        <v>1</v>
      </c>
      <c r="AG537" s="83" t="str">
        <f>REPLACE(INDEX(GroupVertices[Group],MATCH(Edges[[#This Row],[Vertex 2]],GroupVertices[Vertex],0)),1,1,"")</f>
        <v>1</v>
      </c>
      <c r="AH537" s="111">
        <v>0</v>
      </c>
      <c r="AI537" s="112">
        <v>0</v>
      </c>
      <c r="AJ537" s="111">
        <v>3</v>
      </c>
      <c r="AK537" s="112">
        <v>4.545454545454546</v>
      </c>
      <c r="AL537" s="111">
        <v>0</v>
      </c>
      <c r="AM537" s="112">
        <v>0</v>
      </c>
      <c r="AN537" s="111">
        <v>63</v>
      </c>
      <c r="AO537" s="112">
        <v>95.45454545454545</v>
      </c>
      <c r="AP537" s="111">
        <v>66</v>
      </c>
    </row>
    <row r="538" spans="1:42" ht="15">
      <c r="A538" s="65" t="s">
        <v>718</v>
      </c>
      <c r="B538" s="65" t="s">
        <v>786</v>
      </c>
      <c r="C538" s="66" t="s">
        <v>4509</v>
      </c>
      <c r="D538" s="67">
        <v>3</v>
      </c>
      <c r="E538" s="68"/>
      <c r="F538" s="69">
        <v>40</v>
      </c>
      <c r="G538" s="66"/>
      <c r="H538" s="70"/>
      <c r="I538" s="71"/>
      <c r="J538" s="71"/>
      <c r="K538" s="35" t="s">
        <v>65</v>
      </c>
      <c r="L538" s="79">
        <v>538</v>
      </c>
      <c r="M538" s="79"/>
      <c r="N538" s="73"/>
      <c r="O538" s="81" t="s">
        <v>788</v>
      </c>
      <c r="P538" s="81" t="s">
        <v>325</v>
      </c>
      <c r="Q538" s="84" t="s">
        <v>1322</v>
      </c>
      <c r="R538" s="81" t="s">
        <v>718</v>
      </c>
      <c r="S538" s="81" t="s">
        <v>1785</v>
      </c>
      <c r="T538" s="86" t="str">
        <f>HYPERLINK("http://www.youtube.com/channel/UCoNNU0wapd3LwNwTKBZdB_Q")</f>
        <v>http://www.youtube.com/channel/UCoNNU0wapd3LwNwTKBZdB_Q</v>
      </c>
      <c r="U538" s="81"/>
      <c r="V538" s="81" t="s">
        <v>1885</v>
      </c>
      <c r="W538" s="86" t="str">
        <f>HYPERLINK("https://www.youtube.com/watch?v=wadBvDPeE4E")</f>
        <v>https://www.youtube.com/watch?v=wadBvDPeE4E</v>
      </c>
      <c r="X538" s="81" t="s">
        <v>1886</v>
      </c>
      <c r="Y538" s="81">
        <v>0</v>
      </c>
      <c r="Z538" s="88">
        <v>44434.04918981482</v>
      </c>
      <c r="AA538" s="88">
        <v>44434.04918981482</v>
      </c>
      <c r="AB538" s="81"/>
      <c r="AC538" s="81"/>
      <c r="AD538" s="84" t="s">
        <v>1927</v>
      </c>
      <c r="AE538" s="82">
        <v>1</v>
      </c>
      <c r="AF538" s="83" t="str">
        <f>REPLACE(INDEX(GroupVertices[Group],MATCH(Edges[[#This Row],[Vertex 1]],GroupVertices[Vertex],0)),1,1,"")</f>
        <v>1</v>
      </c>
      <c r="AG538" s="83" t="str">
        <f>REPLACE(INDEX(GroupVertices[Group],MATCH(Edges[[#This Row],[Vertex 2]],GroupVertices[Vertex],0)),1,1,"")</f>
        <v>1</v>
      </c>
      <c r="AH538" s="111">
        <v>14</v>
      </c>
      <c r="AI538" s="112">
        <v>5.072463768115942</v>
      </c>
      <c r="AJ538" s="111">
        <v>20</v>
      </c>
      <c r="AK538" s="112">
        <v>7.246376811594203</v>
      </c>
      <c r="AL538" s="111">
        <v>0</v>
      </c>
      <c r="AM538" s="112">
        <v>0</v>
      </c>
      <c r="AN538" s="111">
        <v>242</v>
      </c>
      <c r="AO538" s="112">
        <v>87.68115942028986</v>
      </c>
      <c r="AP538" s="111">
        <v>276</v>
      </c>
    </row>
    <row r="539" spans="1:42" ht="15">
      <c r="A539" s="65" t="s">
        <v>719</v>
      </c>
      <c r="B539" s="65" t="s">
        <v>786</v>
      </c>
      <c r="C539" s="66" t="s">
        <v>4509</v>
      </c>
      <c r="D539" s="67">
        <v>3</v>
      </c>
      <c r="E539" s="68"/>
      <c r="F539" s="69">
        <v>40</v>
      </c>
      <c r="G539" s="66"/>
      <c r="H539" s="70"/>
      <c r="I539" s="71"/>
      <c r="J539" s="71"/>
      <c r="K539" s="35" t="s">
        <v>65</v>
      </c>
      <c r="L539" s="79">
        <v>539</v>
      </c>
      <c r="M539" s="79"/>
      <c r="N539" s="73"/>
      <c r="O539" s="81" t="s">
        <v>788</v>
      </c>
      <c r="P539" s="81" t="s">
        <v>325</v>
      </c>
      <c r="Q539" s="84" t="s">
        <v>1323</v>
      </c>
      <c r="R539" s="81" t="s">
        <v>719</v>
      </c>
      <c r="S539" s="81" t="s">
        <v>1786</v>
      </c>
      <c r="T539" s="86" t="str">
        <f>HYPERLINK("http://www.youtube.com/channel/UCFx4Vj3k47wH_d_pe_TLI9Q")</f>
        <v>http://www.youtube.com/channel/UCFx4Vj3k47wH_d_pe_TLI9Q</v>
      </c>
      <c r="U539" s="81"/>
      <c r="V539" s="81" t="s">
        <v>1885</v>
      </c>
      <c r="W539" s="86" t="str">
        <f>HYPERLINK("https://www.youtube.com/watch?v=wadBvDPeE4E")</f>
        <v>https://www.youtube.com/watch?v=wadBvDPeE4E</v>
      </c>
      <c r="X539" s="81" t="s">
        <v>1886</v>
      </c>
      <c r="Y539" s="81">
        <v>1</v>
      </c>
      <c r="Z539" s="88">
        <v>44435.44513888889</v>
      </c>
      <c r="AA539" s="88">
        <v>44435.46686342593</v>
      </c>
      <c r="AB539" s="81"/>
      <c r="AC539" s="81"/>
      <c r="AD539" s="84" t="s">
        <v>1927</v>
      </c>
      <c r="AE539" s="82">
        <v>1</v>
      </c>
      <c r="AF539" s="83" t="str">
        <f>REPLACE(INDEX(GroupVertices[Group],MATCH(Edges[[#This Row],[Vertex 1]],GroupVertices[Vertex],0)),1,1,"")</f>
        <v>1</v>
      </c>
      <c r="AG539" s="83" t="str">
        <f>REPLACE(INDEX(GroupVertices[Group],MATCH(Edges[[#This Row],[Vertex 2]],GroupVertices[Vertex],0)),1,1,"")</f>
        <v>1</v>
      </c>
      <c r="AH539" s="111">
        <v>4</v>
      </c>
      <c r="AI539" s="112">
        <v>3.9603960396039604</v>
      </c>
      <c r="AJ539" s="111">
        <v>0</v>
      </c>
      <c r="AK539" s="112">
        <v>0</v>
      </c>
      <c r="AL539" s="111">
        <v>0</v>
      </c>
      <c r="AM539" s="112">
        <v>0</v>
      </c>
      <c r="AN539" s="111">
        <v>97</v>
      </c>
      <c r="AO539" s="112">
        <v>96.03960396039604</v>
      </c>
      <c r="AP539" s="111">
        <v>101</v>
      </c>
    </row>
    <row r="540" spans="1:42" ht="15">
      <c r="A540" s="65" t="s">
        <v>720</v>
      </c>
      <c r="B540" s="65" t="s">
        <v>786</v>
      </c>
      <c r="C540" s="66" t="s">
        <v>4511</v>
      </c>
      <c r="D540" s="67">
        <v>7.666666666666667</v>
      </c>
      <c r="E540" s="68"/>
      <c r="F540" s="69">
        <v>23.333333333333332</v>
      </c>
      <c r="G540" s="66"/>
      <c r="H540" s="70"/>
      <c r="I540" s="71"/>
      <c r="J540" s="71"/>
      <c r="K540" s="35" t="s">
        <v>65</v>
      </c>
      <c r="L540" s="79">
        <v>540</v>
      </c>
      <c r="M540" s="79"/>
      <c r="N540" s="73"/>
      <c r="O540" s="81" t="s">
        <v>788</v>
      </c>
      <c r="P540" s="81" t="s">
        <v>325</v>
      </c>
      <c r="Q540" s="84" t="s">
        <v>1324</v>
      </c>
      <c r="R540" s="81" t="s">
        <v>720</v>
      </c>
      <c r="S540" s="81" t="s">
        <v>1787</v>
      </c>
      <c r="T540" s="86" t="str">
        <f>HYPERLINK("http://www.youtube.com/channel/UCY8PskpvUgWJY5uByBB2-9A")</f>
        <v>http://www.youtube.com/channel/UCY8PskpvUgWJY5uByBB2-9A</v>
      </c>
      <c r="U540" s="81"/>
      <c r="V540" s="81" t="s">
        <v>1885</v>
      </c>
      <c r="W540" s="86" t="str">
        <f>HYPERLINK("https://www.youtube.com/watch?v=wadBvDPeE4E")</f>
        <v>https://www.youtube.com/watch?v=wadBvDPeE4E</v>
      </c>
      <c r="X540" s="81" t="s">
        <v>1886</v>
      </c>
      <c r="Y540" s="81">
        <v>3</v>
      </c>
      <c r="Z540" s="88">
        <v>44436.198333333334</v>
      </c>
      <c r="AA540" s="88">
        <v>44436.198333333334</v>
      </c>
      <c r="AB540" s="81"/>
      <c r="AC540" s="81"/>
      <c r="AD540" s="84" t="s">
        <v>1927</v>
      </c>
      <c r="AE540" s="82">
        <v>3</v>
      </c>
      <c r="AF540" s="83" t="str">
        <f>REPLACE(INDEX(GroupVertices[Group],MATCH(Edges[[#This Row],[Vertex 1]],GroupVertices[Vertex],0)),1,1,"")</f>
        <v>1</v>
      </c>
      <c r="AG540" s="83" t="str">
        <f>REPLACE(INDEX(GroupVertices[Group],MATCH(Edges[[#This Row],[Vertex 2]],GroupVertices[Vertex],0)),1,1,"")</f>
        <v>1</v>
      </c>
      <c r="AH540" s="111">
        <v>5</v>
      </c>
      <c r="AI540" s="112">
        <v>18.51851851851852</v>
      </c>
      <c r="AJ540" s="111">
        <v>0</v>
      </c>
      <c r="AK540" s="112">
        <v>0</v>
      </c>
      <c r="AL540" s="111">
        <v>0</v>
      </c>
      <c r="AM540" s="112">
        <v>0</v>
      </c>
      <c r="AN540" s="111">
        <v>22</v>
      </c>
      <c r="AO540" s="112">
        <v>81.48148148148148</v>
      </c>
      <c r="AP540" s="111">
        <v>27</v>
      </c>
    </row>
    <row r="541" spans="1:42" ht="15">
      <c r="A541" s="65" t="s">
        <v>720</v>
      </c>
      <c r="B541" s="65" t="s">
        <v>786</v>
      </c>
      <c r="C541" s="66" t="s">
        <v>4511</v>
      </c>
      <c r="D541" s="67">
        <v>7.666666666666667</v>
      </c>
      <c r="E541" s="68"/>
      <c r="F541" s="69">
        <v>23.333333333333332</v>
      </c>
      <c r="G541" s="66"/>
      <c r="H541" s="70"/>
      <c r="I541" s="71"/>
      <c r="J541" s="71"/>
      <c r="K541" s="35" t="s">
        <v>65</v>
      </c>
      <c r="L541" s="79">
        <v>541</v>
      </c>
      <c r="M541" s="79"/>
      <c r="N541" s="73"/>
      <c r="O541" s="81" t="s">
        <v>788</v>
      </c>
      <c r="P541" s="81" t="s">
        <v>325</v>
      </c>
      <c r="Q541" s="84" t="s">
        <v>1325</v>
      </c>
      <c r="R541" s="81" t="s">
        <v>720</v>
      </c>
      <c r="S541" s="81" t="s">
        <v>1787</v>
      </c>
      <c r="T541" s="86" t="str">
        <f>HYPERLINK("http://www.youtube.com/channel/UCY8PskpvUgWJY5uByBB2-9A")</f>
        <v>http://www.youtube.com/channel/UCY8PskpvUgWJY5uByBB2-9A</v>
      </c>
      <c r="U541" s="81"/>
      <c r="V541" s="81" t="s">
        <v>1885</v>
      </c>
      <c r="W541" s="86" t="str">
        <f>HYPERLINK("https://www.youtube.com/watch?v=wadBvDPeE4E")</f>
        <v>https://www.youtube.com/watch?v=wadBvDPeE4E</v>
      </c>
      <c r="X541" s="81" t="s">
        <v>1886</v>
      </c>
      <c r="Y541" s="81">
        <v>0</v>
      </c>
      <c r="Z541" s="88">
        <v>44436.205925925926</v>
      </c>
      <c r="AA541" s="88">
        <v>44436.205925925926</v>
      </c>
      <c r="AB541" s="81"/>
      <c r="AC541" s="81"/>
      <c r="AD541" s="84" t="s">
        <v>1927</v>
      </c>
      <c r="AE541" s="82">
        <v>3</v>
      </c>
      <c r="AF541" s="83" t="str">
        <f>REPLACE(INDEX(GroupVertices[Group],MATCH(Edges[[#This Row],[Vertex 1]],GroupVertices[Vertex],0)),1,1,"")</f>
        <v>1</v>
      </c>
      <c r="AG541" s="83" t="str">
        <f>REPLACE(INDEX(GroupVertices[Group],MATCH(Edges[[#This Row],[Vertex 2]],GroupVertices[Vertex],0)),1,1,"")</f>
        <v>1</v>
      </c>
      <c r="AH541" s="111">
        <v>1</v>
      </c>
      <c r="AI541" s="112">
        <v>10</v>
      </c>
      <c r="AJ541" s="111">
        <v>0</v>
      </c>
      <c r="AK541" s="112">
        <v>0</v>
      </c>
      <c r="AL541" s="111">
        <v>0</v>
      </c>
      <c r="AM541" s="112">
        <v>0</v>
      </c>
      <c r="AN541" s="111">
        <v>9</v>
      </c>
      <c r="AO541" s="112">
        <v>90</v>
      </c>
      <c r="AP541" s="111">
        <v>10</v>
      </c>
    </row>
    <row r="542" spans="1:42" ht="15">
      <c r="A542" s="65" t="s">
        <v>720</v>
      </c>
      <c r="B542" s="65" t="s">
        <v>786</v>
      </c>
      <c r="C542" s="66" t="s">
        <v>4511</v>
      </c>
      <c r="D542" s="67">
        <v>7.666666666666667</v>
      </c>
      <c r="E542" s="68"/>
      <c r="F542" s="69">
        <v>23.333333333333332</v>
      </c>
      <c r="G542" s="66"/>
      <c r="H542" s="70"/>
      <c r="I542" s="71"/>
      <c r="J542" s="71"/>
      <c r="K542" s="35" t="s">
        <v>65</v>
      </c>
      <c r="L542" s="79">
        <v>542</v>
      </c>
      <c r="M542" s="79"/>
      <c r="N542" s="73"/>
      <c r="O542" s="81" t="s">
        <v>788</v>
      </c>
      <c r="P542" s="81" t="s">
        <v>325</v>
      </c>
      <c r="Q542" s="84" t="s">
        <v>1326</v>
      </c>
      <c r="R542" s="81" t="s">
        <v>720</v>
      </c>
      <c r="S542" s="81" t="s">
        <v>1787</v>
      </c>
      <c r="T542" s="86" t="str">
        <f>HYPERLINK("http://www.youtube.com/channel/UCY8PskpvUgWJY5uByBB2-9A")</f>
        <v>http://www.youtube.com/channel/UCY8PskpvUgWJY5uByBB2-9A</v>
      </c>
      <c r="U542" s="81"/>
      <c r="V542" s="81" t="s">
        <v>1885</v>
      </c>
      <c r="W542" s="86" t="str">
        <f>HYPERLINK("https://www.youtube.com/watch?v=wadBvDPeE4E")</f>
        <v>https://www.youtube.com/watch?v=wadBvDPeE4E</v>
      </c>
      <c r="X542" s="81" t="s">
        <v>1886</v>
      </c>
      <c r="Y542" s="81">
        <v>0</v>
      </c>
      <c r="Z542" s="88">
        <v>44436.221087962964</v>
      </c>
      <c r="AA542" s="88">
        <v>44436.221087962964</v>
      </c>
      <c r="AB542" s="81"/>
      <c r="AC542" s="81"/>
      <c r="AD542" s="84" t="s">
        <v>1927</v>
      </c>
      <c r="AE542" s="82">
        <v>3</v>
      </c>
      <c r="AF542" s="83" t="str">
        <f>REPLACE(INDEX(GroupVertices[Group],MATCH(Edges[[#This Row],[Vertex 1]],GroupVertices[Vertex],0)),1,1,"")</f>
        <v>1</v>
      </c>
      <c r="AG542" s="83" t="str">
        <f>REPLACE(INDEX(GroupVertices[Group],MATCH(Edges[[#This Row],[Vertex 2]],GroupVertices[Vertex],0)),1,1,"")</f>
        <v>1</v>
      </c>
      <c r="AH542" s="111">
        <v>2</v>
      </c>
      <c r="AI542" s="112">
        <v>20</v>
      </c>
      <c r="AJ542" s="111">
        <v>0</v>
      </c>
      <c r="AK542" s="112">
        <v>0</v>
      </c>
      <c r="AL542" s="111">
        <v>0</v>
      </c>
      <c r="AM542" s="112">
        <v>0</v>
      </c>
      <c r="AN542" s="111">
        <v>8</v>
      </c>
      <c r="AO542" s="112">
        <v>80</v>
      </c>
      <c r="AP542" s="111">
        <v>10</v>
      </c>
    </row>
    <row r="543" spans="1:42" ht="15">
      <c r="A543" s="65" t="s">
        <v>721</v>
      </c>
      <c r="B543" s="65" t="s">
        <v>438</v>
      </c>
      <c r="C543" s="66" t="s">
        <v>4509</v>
      </c>
      <c r="D543" s="67">
        <v>3</v>
      </c>
      <c r="E543" s="68"/>
      <c r="F543" s="69">
        <v>40</v>
      </c>
      <c r="G543" s="66"/>
      <c r="H543" s="70"/>
      <c r="I543" s="71"/>
      <c r="J543" s="71"/>
      <c r="K543" s="35" t="s">
        <v>65</v>
      </c>
      <c r="L543" s="79">
        <v>543</v>
      </c>
      <c r="M543" s="79"/>
      <c r="N543" s="73"/>
      <c r="O543" s="81" t="s">
        <v>789</v>
      </c>
      <c r="P543" s="81" t="s">
        <v>791</v>
      </c>
      <c r="Q543" s="84" t="s">
        <v>1327</v>
      </c>
      <c r="R543" s="81" t="s">
        <v>721</v>
      </c>
      <c r="S543" s="81" t="s">
        <v>1788</v>
      </c>
      <c r="T543" s="86" t="str">
        <f>HYPERLINK("http://www.youtube.com/channel/UC8Suwp8U1iIsPF_pMGNdDzg")</f>
        <v>http://www.youtube.com/channel/UC8Suwp8U1iIsPF_pMGNdDzg</v>
      </c>
      <c r="U543" s="81" t="s">
        <v>1881</v>
      </c>
      <c r="V543" s="81" t="s">
        <v>1885</v>
      </c>
      <c r="W543" s="86" t="str">
        <f>HYPERLINK("https://www.youtube.com/watch?v=wadBvDPeE4E")</f>
        <v>https://www.youtube.com/watch?v=wadBvDPeE4E</v>
      </c>
      <c r="X543" s="81" t="s">
        <v>1886</v>
      </c>
      <c r="Y543" s="81">
        <v>0</v>
      </c>
      <c r="Z543" s="88">
        <v>44614.6312962963</v>
      </c>
      <c r="AA543" s="88">
        <v>44614.6312962963</v>
      </c>
      <c r="AB543" s="81"/>
      <c r="AC543" s="81"/>
      <c r="AD543" s="84" t="s">
        <v>1927</v>
      </c>
      <c r="AE543" s="82">
        <v>1</v>
      </c>
      <c r="AF543" s="83" t="str">
        <f>REPLACE(INDEX(GroupVertices[Group],MATCH(Edges[[#This Row],[Vertex 1]],GroupVertices[Vertex],0)),1,1,"")</f>
        <v>3</v>
      </c>
      <c r="AG543" s="83" t="str">
        <f>REPLACE(INDEX(GroupVertices[Group],MATCH(Edges[[#This Row],[Vertex 2]],GroupVertices[Vertex],0)),1,1,"")</f>
        <v>3</v>
      </c>
      <c r="AH543" s="111">
        <v>6</v>
      </c>
      <c r="AI543" s="112">
        <v>15.789473684210526</v>
      </c>
      <c r="AJ543" s="111">
        <v>1</v>
      </c>
      <c r="AK543" s="112">
        <v>2.6315789473684212</v>
      </c>
      <c r="AL543" s="111">
        <v>0</v>
      </c>
      <c r="AM543" s="112">
        <v>0</v>
      </c>
      <c r="AN543" s="111">
        <v>31</v>
      </c>
      <c r="AO543" s="112">
        <v>81.57894736842105</v>
      </c>
      <c r="AP543" s="111">
        <v>38</v>
      </c>
    </row>
    <row r="544" spans="1:42" ht="15">
      <c r="A544" s="65" t="s">
        <v>722</v>
      </c>
      <c r="B544" s="65" t="s">
        <v>438</v>
      </c>
      <c r="C544" s="66" t="s">
        <v>4509</v>
      </c>
      <c r="D544" s="67">
        <v>3</v>
      </c>
      <c r="E544" s="68"/>
      <c r="F544" s="69">
        <v>40</v>
      </c>
      <c r="G544" s="66"/>
      <c r="H544" s="70"/>
      <c r="I544" s="71"/>
      <c r="J544" s="71"/>
      <c r="K544" s="35" t="s">
        <v>65</v>
      </c>
      <c r="L544" s="79">
        <v>544</v>
      </c>
      <c r="M544" s="79"/>
      <c r="N544" s="73"/>
      <c r="O544" s="81" t="s">
        <v>789</v>
      </c>
      <c r="P544" s="81" t="s">
        <v>791</v>
      </c>
      <c r="Q544" s="84" t="s">
        <v>1328</v>
      </c>
      <c r="R544" s="81" t="s">
        <v>722</v>
      </c>
      <c r="S544" s="81" t="s">
        <v>1789</v>
      </c>
      <c r="T544" s="86" t="str">
        <f>HYPERLINK("http://www.youtube.com/channel/UCPZ_r5jgass9cv38X7Hrc2w")</f>
        <v>http://www.youtube.com/channel/UCPZ_r5jgass9cv38X7Hrc2w</v>
      </c>
      <c r="U544" s="81" t="s">
        <v>1881</v>
      </c>
      <c r="V544" s="81" t="s">
        <v>1885</v>
      </c>
      <c r="W544" s="86" t="str">
        <f>HYPERLINK("https://www.youtube.com/watch?v=wadBvDPeE4E")</f>
        <v>https://www.youtube.com/watch?v=wadBvDPeE4E</v>
      </c>
      <c r="X544" s="81" t="s">
        <v>1886</v>
      </c>
      <c r="Y544" s="81">
        <v>0</v>
      </c>
      <c r="Z544" s="88">
        <v>44651.32356481482</v>
      </c>
      <c r="AA544" s="88">
        <v>44651.32356481482</v>
      </c>
      <c r="AB544" s="81"/>
      <c r="AC544" s="81"/>
      <c r="AD544" s="84" t="s">
        <v>1927</v>
      </c>
      <c r="AE544" s="82">
        <v>1</v>
      </c>
      <c r="AF544" s="83" t="str">
        <f>REPLACE(INDEX(GroupVertices[Group],MATCH(Edges[[#This Row],[Vertex 1]],GroupVertices[Vertex],0)),1,1,"")</f>
        <v>3</v>
      </c>
      <c r="AG544" s="83" t="str">
        <f>REPLACE(INDEX(GroupVertices[Group],MATCH(Edges[[#This Row],[Vertex 2]],GroupVertices[Vertex],0)),1,1,"")</f>
        <v>3</v>
      </c>
      <c r="AH544" s="111">
        <v>0</v>
      </c>
      <c r="AI544" s="112">
        <v>0</v>
      </c>
      <c r="AJ544" s="111">
        <v>0</v>
      </c>
      <c r="AK544" s="112">
        <v>0</v>
      </c>
      <c r="AL544" s="111">
        <v>0</v>
      </c>
      <c r="AM544" s="112">
        <v>0</v>
      </c>
      <c r="AN544" s="111">
        <v>3</v>
      </c>
      <c r="AO544" s="112">
        <v>100</v>
      </c>
      <c r="AP544" s="111">
        <v>3</v>
      </c>
    </row>
    <row r="545" spans="1:42" ht="15">
      <c r="A545" s="65" t="s">
        <v>438</v>
      </c>
      <c r="B545" s="65" t="s">
        <v>786</v>
      </c>
      <c r="C545" s="66" t="s">
        <v>4509</v>
      </c>
      <c r="D545" s="67">
        <v>3</v>
      </c>
      <c r="E545" s="68"/>
      <c r="F545" s="69">
        <v>40</v>
      </c>
      <c r="G545" s="66"/>
      <c r="H545" s="70"/>
      <c r="I545" s="71"/>
      <c r="J545" s="71"/>
      <c r="K545" s="35" t="s">
        <v>65</v>
      </c>
      <c r="L545" s="79">
        <v>545</v>
      </c>
      <c r="M545" s="79"/>
      <c r="N545" s="73"/>
      <c r="O545" s="81" t="s">
        <v>788</v>
      </c>
      <c r="P545" s="81" t="s">
        <v>325</v>
      </c>
      <c r="Q545" s="84" t="s">
        <v>1329</v>
      </c>
      <c r="R545" s="81" t="s">
        <v>438</v>
      </c>
      <c r="S545" s="81" t="s">
        <v>1506</v>
      </c>
      <c r="T545" s="86" t="str">
        <f>HYPERLINK("http://www.youtube.com/channel/UCyqRPzzVpb3nxouv8ngDnrA")</f>
        <v>http://www.youtube.com/channel/UCyqRPzzVpb3nxouv8ngDnrA</v>
      </c>
      <c r="U545" s="81"/>
      <c r="V545" s="81" t="s">
        <v>1885</v>
      </c>
      <c r="W545" s="86" t="str">
        <f>HYPERLINK("https://www.youtube.com/watch?v=wadBvDPeE4E")</f>
        <v>https://www.youtube.com/watch?v=wadBvDPeE4E</v>
      </c>
      <c r="X545" s="81" t="s">
        <v>1886</v>
      </c>
      <c r="Y545" s="81">
        <v>2</v>
      </c>
      <c r="Z545" s="88">
        <v>44439.93649305555</v>
      </c>
      <c r="AA545" s="88">
        <v>44439.93649305555</v>
      </c>
      <c r="AB545" s="81"/>
      <c r="AC545" s="81"/>
      <c r="AD545" s="84" t="s">
        <v>1927</v>
      </c>
      <c r="AE545" s="82">
        <v>1</v>
      </c>
      <c r="AF545" s="83" t="str">
        <f>REPLACE(INDEX(GroupVertices[Group],MATCH(Edges[[#This Row],[Vertex 1]],GroupVertices[Vertex],0)),1,1,"")</f>
        <v>3</v>
      </c>
      <c r="AG545" s="83" t="str">
        <f>REPLACE(INDEX(GroupVertices[Group],MATCH(Edges[[#This Row],[Vertex 2]],GroupVertices[Vertex],0)),1,1,"")</f>
        <v>1</v>
      </c>
      <c r="AH545" s="111">
        <v>2</v>
      </c>
      <c r="AI545" s="112">
        <v>0.8771929824561403</v>
      </c>
      <c r="AJ545" s="111">
        <v>5</v>
      </c>
      <c r="AK545" s="112">
        <v>2.192982456140351</v>
      </c>
      <c r="AL545" s="111">
        <v>0</v>
      </c>
      <c r="AM545" s="112">
        <v>0</v>
      </c>
      <c r="AN545" s="111">
        <v>221</v>
      </c>
      <c r="AO545" s="112">
        <v>96.9298245614035</v>
      </c>
      <c r="AP545" s="111">
        <v>228</v>
      </c>
    </row>
    <row r="546" spans="1:42" ht="15">
      <c r="A546" s="65" t="s">
        <v>723</v>
      </c>
      <c r="B546" s="65" t="s">
        <v>786</v>
      </c>
      <c r="C546" s="66" t="s">
        <v>4509</v>
      </c>
      <c r="D546" s="67">
        <v>3</v>
      </c>
      <c r="E546" s="68"/>
      <c r="F546" s="69">
        <v>40</v>
      </c>
      <c r="G546" s="66"/>
      <c r="H546" s="70"/>
      <c r="I546" s="71"/>
      <c r="J546" s="71"/>
      <c r="K546" s="35" t="s">
        <v>65</v>
      </c>
      <c r="L546" s="79">
        <v>546</v>
      </c>
      <c r="M546" s="79"/>
      <c r="N546" s="73"/>
      <c r="O546" s="81" t="s">
        <v>788</v>
      </c>
      <c r="P546" s="81" t="s">
        <v>325</v>
      </c>
      <c r="Q546" s="84" t="s">
        <v>1330</v>
      </c>
      <c r="R546" s="81" t="s">
        <v>723</v>
      </c>
      <c r="S546" s="81" t="s">
        <v>1790</v>
      </c>
      <c r="T546" s="86" t="str">
        <f>HYPERLINK("http://www.youtube.com/channel/UCpEvHal_hW3x5fYeHPXKpcw")</f>
        <v>http://www.youtube.com/channel/UCpEvHal_hW3x5fYeHPXKpcw</v>
      </c>
      <c r="U546" s="81"/>
      <c r="V546" s="81" t="s">
        <v>1885</v>
      </c>
      <c r="W546" s="86" t="str">
        <f>HYPERLINK("https://www.youtube.com/watch?v=wadBvDPeE4E")</f>
        <v>https://www.youtube.com/watch?v=wadBvDPeE4E</v>
      </c>
      <c r="X546" s="81" t="s">
        <v>1886</v>
      </c>
      <c r="Y546" s="81">
        <v>0</v>
      </c>
      <c r="Z546" s="88">
        <v>44440.12159722222</v>
      </c>
      <c r="AA546" s="88">
        <v>44440.12159722222</v>
      </c>
      <c r="AB546" s="81"/>
      <c r="AC546" s="81"/>
      <c r="AD546" s="84" t="s">
        <v>1927</v>
      </c>
      <c r="AE546" s="82">
        <v>1</v>
      </c>
      <c r="AF546" s="83" t="str">
        <f>REPLACE(INDEX(GroupVertices[Group],MATCH(Edges[[#This Row],[Vertex 1]],GroupVertices[Vertex],0)),1,1,"")</f>
        <v>1</v>
      </c>
      <c r="AG546" s="83" t="str">
        <f>REPLACE(INDEX(GroupVertices[Group],MATCH(Edges[[#This Row],[Vertex 2]],GroupVertices[Vertex],0)),1,1,"")</f>
        <v>1</v>
      </c>
      <c r="AH546" s="111">
        <v>2</v>
      </c>
      <c r="AI546" s="112">
        <v>18.181818181818183</v>
      </c>
      <c r="AJ546" s="111">
        <v>0</v>
      </c>
      <c r="AK546" s="112">
        <v>0</v>
      </c>
      <c r="AL546" s="111">
        <v>0</v>
      </c>
      <c r="AM546" s="112">
        <v>0</v>
      </c>
      <c r="AN546" s="111">
        <v>9</v>
      </c>
      <c r="AO546" s="112">
        <v>81.81818181818181</v>
      </c>
      <c r="AP546" s="111">
        <v>11</v>
      </c>
    </row>
    <row r="547" spans="1:42" ht="15">
      <c r="A547" s="65" t="s">
        <v>724</v>
      </c>
      <c r="B547" s="65" t="s">
        <v>786</v>
      </c>
      <c r="C547" s="66" t="s">
        <v>4509</v>
      </c>
      <c r="D547" s="67">
        <v>3</v>
      </c>
      <c r="E547" s="68"/>
      <c r="F547" s="69">
        <v>40</v>
      </c>
      <c r="G547" s="66"/>
      <c r="H547" s="70"/>
      <c r="I547" s="71"/>
      <c r="J547" s="71"/>
      <c r="K547" s="35" t="s">
        <v>65</v>
      </c>
      <c r="L547" s="79">
        <v>547</v>
      </c>
      <c r="M547" s="79"/>
      <c r="N547" s="73"/>
      <c r="O547" s="81" t="s">
        <v>788</v>
      </c>
      <c r="P547" s="81" t="s">
        <v>325</v>
      </c>
      <c r="Q547" s="84" t="s">
        <v>1331</v>
      </c>
      <c r="R547" s="81" t="s">
        <v>724</v>
      </c>
      <c r="S547" s="81" t="s">
        <v>1791</v>
      </c>
      <c r="T547" s="86" t="str">
        <f>HYPERLINK("http://www.youtube.com/channel/UCBqByZPmDZMizpc5U_y-dDA")</f>
        <v>http://www.youtube.com/channel/UCBqByZPmDZMizpc5U_y-dDA</v>
      </c>
      <c r="U547" s="81"/>
      <c r="V547" s="81" t="s">
        <v>1885</v>
      </c>
      <c r="W547" s="86" t="str">
        <f>HYPERLINK("https://www.youtube.com/watch?v=wadBvDPeE4E")</f>
        <v>https://www.youtube.com/watch?v=wadBvDPeE4E</v>
      </c>
      <c r="X547" s="81" t="s">
        <v>1886</v>
      </c>
      <c r="Y547" s="81">
        <v>0</v>
      </c>
      <c r="Z547" s="88">
        <v>44442.921875</v>
      </c>
      <c r="AA547" s="88">
        <v>44442.921875</v>
      </c>
      <c r="AB547" s="81"/>
      <c r="AC547" s="81"/>
      <c r="AD547" s="84" t="s">
        <v>1927</v>
      </c>
      <c r="AE547" s="82">
        <v>1</v>
      </c>
      <c r="AF547" s="83" t="str">
        <f>REPLACE(INDEX(GroupVertices[Group],MATCH(Edges[[#This Row],[Vertex 1]],GroupVertices[Vertex],0)),1,1,"")</f>
        <v>1</v>
      </c>
      <c r="AG547" s="83" t="str">
        <f>REPLACE(INDEX(GroupVertices[Group],MATCH(Edges[[#This Row],[Vertex 2]],GroupVertices[Vertex],0)),1,1,"")</f>
        <v>1</v>
      </c>
      <c r="AH547" s="111">
        <v>1</v>
      </c>
      <c r="AI547" s="112">
        <v>50</v>
      </c>
      <c r="AJ547" s="111">
        <v>0</v>
      </c>
      <c r="AK547" s="112">
        <v>0</v>
      </c>
      <c r="AL547" s="111">
        <v>0</v>
      </c>
      <c r="AM547" s="112">
        <v>0</v>
      </c>
      <c r="AN547" s="111">
        <v>1</v>
      </c>
      <c r="AO547" s="112">
        <v>50</v>
      </c>
      <c r="AP547" s="111">
        <v>2</v>
      </c>
    </row>
    <row r="548" spans="1:42" ht="15">
      <c r="A548" s="65" t="s">
        <v>725</v>
      </c>
      <c r="B548" s="65" t="s">
        <v>725</v>
      </c>
      <c r="C548" s="66" t="s">
        <v>4509</v>
      </c>
      <c r="D548" s="67">
        <v>3</v>
      </c>
      <c r="E548" s="68"/>
      <c r="F548" s="69">
        <v>40</v>
      </c>
      <c r="G548" s="66"/>
      <c r="H548" s="70"/>
      <c r="I548" s="71"/>
      <c r="J548" s="71"/>
      <c r="K548" s="35" t="s">
        <v>65</v>
      </c>
      <c r="L548" s="79">
        <v>548</v>
      </c>
      <c r="M548" s="79"/>
      <c r="N548" s="73"/>
      <c r="O548" s="81" t="s">
        <v>789</v>
      </c>
      <c r="P548" s="81" t="s">
        <v>791</v>
      </c>
      <c r="Q548" s="84" t="s">
        <v>1332</v>
      </c>
      <c r="R548" s="81" t="s">
        <v>725</v>
      </c>
      <c r="S548" s="81" t="s">
        <v>1792</v>
      </c>
      <c r="T548" s="86" t="str">
        <f>HYPERLINK("http://www.youtube.com/channel/UCfmrm0tJ4Wvbwh0Qc8S0vZw")</f>
        <v>http://www.youtube.com/channel/UCfmrm0tJ4Wvbwh0Qc8S0vZw</v>
      </c>
      <c r="U548" s="81" t="s">
        <v>1882</v>
      </c>
      <c r="V548" s="81" t="s">
        <v>1885</v>
      </c>
      <c r="W548" s="86" t="str">
        <f>HYPERLINK("https://www.youtube.com/watch?v=wadBvDPeE4E")</f>
        <v>https://www.youtube.com/watch?v=wadBvDPeE4E</v>
      </c>
      <c r="X548" s="81" t="s">
        <v>1886</v>
      </c>
      <c r="Y548" s="81">
        <v>0</v>
      </c>
      <c r="Z548" s="88">
        <v>44449.796331018515</v>
      </c>
      <c r="AA548" s="88">
        <v>44449.796331018515</v>
      </c>
      <c r="AB548" s="81"/>
      <c r="AC548" s="81"/>
      <c r="AD548" s="84" t="s">
        <v>1927</v>
      </c>
      <c r="AE548" s="82">
        <v>1</v>
      </c>
      <c r="AF548" s="83" t="str">
        <f>REPLACE(INDEX(GroupVertices[Group],MATCH(Edges[[#This Row],[Vertex 1]],GroupVertices[Vertex],0)),1,1,"")</f>
        <v>1</v>
      </c>
      <c r="AG548" s="83" t="str">
        <f>REPLACE(INDEX(GroupVertices[Group],MATCH(Edges[[#This Row],[Vertex 2]],GroupVertices[Vertex],0)),1,1,"")</f>
        <v>1</v>
      </c>
      <c r="AH548" s="111">
        <v>0</v>
      </c>
      <c r="AI548" s="112">
        <v>0</v>
      </c>
      <c r="AJ548" s="111">
        <v>0</v>
      </c>
      <c r="AK548" s="112">
        <v>0</v>
      </c>
      <c r="AL548" s="111">
        <v>0</v>
      </c>
      <c r="AM548" s="112">
        <v>0</v>
      </c>
      <c r="AN548" s="111">
        <v>3</v>
      </c>
      <c r="AO548" s="112">
        <v>100</v>
      </c>
      <c r="AP548" s="111">
        <v>3</v>
      </c>
    </row>
    <row r="549" spans="1:42" ht="15">
      <c r="A549" s="65" t="s">
        <v>725</v>
      </c>
      <c r="B549" s="65" t="s">
        <v>786</v>
      </c>
      <c r="C549" s="66" t="s">
        <v>4509</v>
      </c>
      <c r="D549" s="67">
        <v>3</v>
      </c>
      <c r="E549" s="68"/>
      <c r="F549" s="69">
        <v>40</v>
      </c>
      <c r="G549" s="66"/>
      <c r="H549" s="70"/>
      <c r="I549" s="71"/>
      <c r="J549" s="71"/>
      <c r="K549" s="35" t="s">
        <v>65</v>
      </c>
      <c r="L549" s="79">
        <v>549</v>
      </c>
      <c r="M549" s="79"/>
      <c r="N549" s="73"/>
      <c r="O549" s="81" t="s">
        <v>788</v>
      </c>
      <c r="P549" s="81" t="s">
        <v>325</v>
      </c>
      <c r="Q549" s="84" t="s">
        <v>1333</v>
      </c>
      <c r="R549" s="81" t="s">
        <v>725</v>
      </c>
      <c r="S549" s="81" t="s">
        <v>1792</v>
      </c>
      <c r="T549" s="86" t="str">
        <f>HYPERLINK("http://www.youtube.com/channel/UCfmrm0tJ4Wvbwh0Qc8S0vZw")</f>
        <v>http://www.youtube.com/channel/UCfmrm0tJ4Wvbwh0Qc8S0vZw</v>
      </c>
      <c r="U549" s="81"/>
      <c r="V549" s="81" t="s">
        <v>1885</v>
      </c>
      <c r="W549" s="86" t="str">
        <f>HYPERLINK("https://www.youtube.com/watch?v=wadBvDPeE4E")</f>
        <v>https://www.youtube.com/watch?v=wadBvDPeE4E</v>
      </c>
      <c r="X549" s="81" t="s">
        <v>1886</v>
      </c>
      <c r="Y549" s="81">
        <v>0</v>
      </c>
      <c r="Z549" s="88">
        <v>44449.18975694444</v>
      </c>
      <c r="AA549" s="88">
        <v>44449.18975694444</v>
      </c>
      <c r="AB549" s="81"/>
      <c r="AC549" s="81"/>
      <c r="AD549" s="84" t="s">
        <v>1927</v>
      </c>
      <c r="AE549" s="82">
        <v>1</v>
      </c>
      <c r="AF549" s="83" t="str">
        <f>REPLACE(INDEX(GroupVertices[Group],MATCH(Edges[[#This Row],[Vertex 1]],GroupVertices[Vertex],0)),1,1,"")</f>
        <v>1</v>
      </c>
      <c r="AG549" s="83" t="str">
        <f>REPLACE(INDEX(GroupVertices[Group],MATCH(Edges[[#This Row],[Vertex 2]],GroupVertices[Vertex],0)),1,1,"")</f>
        <v>1</v>
      </c>
      <c r="AH549" s="111">
        <v>1</v>
      </c>
      <c r="AI549" s="112">
        <v>10</v>
      </c>
      <c r="AJ549" s="111">
        <v>1</v>
      </c>
      <c r="AK549" s="112">
        <v>10</v>
      </c>
      <c r="AL549" s="111">
        <v>0</v>
      </c>
      <c r="AM549" s="112">
        <v>0</v>
      </c>
      <c r="AN549" s="111">
        <v>8</v>
      </c>
      <c r="AO549" s="112">
        <v>80</v>
      </c>
      <c r="AP549" s="111">
        <v>10</v>
      </c>
    </row>
    <row r="550" spans="1:42" ht="15">
      <c r="A550" s="65" t="s">
        <v>726</v>
      </c>
      <c r="B550" s="65" t="s">
        <v>786</v>
      </c>
      <c r="C550" s="66" t="s">
        <v>4509</v>
      </c>
      <c r="D550" s="67">
        <v>3</v>
      </c>
      <c r="E550" s="68"/>
      <c r="F550" s="69">
        <v>40</v>
      </c>
      <c r="G550" s="66"/>
      <c r="H550" s="70"/>
      <c r="I550" s="71"/>
      <c r="J550" s="71"/>
      <c r="K550" s="35" t="s">
        <v>65</v>
      </c>
      <c r="L550" s="79">
        <v>550</v>
      </c>
      <c r="M550" s="79"/>
      <c r="N550" s="73"/>
      <c r="O550" s="81" t="s">
        <v>788</v>
      </c>
      <c r="P550" s="81" t="s">
        <v>325</v>
      </c>
      <c r="Q550" s="84" t="s">
        <v>1334</v>
      </c>
      <c r="R550" s="81" t="s">
        <v>726</v>
      </c>
      <c r="S550" s="81" t="s">
        <v>1793</v>
      </c>
      <c r="T550" s="86" t="str">
        <f>HYPERLINK("http://www.youtube.com/channel/UC_juy4yO45-xTlCvVGADnag")</f>
        <v>http://www.youtube.com/channel/UC_juy4yO45-xTlCvVGADnag</v>
      </c>
      <c r="U550" s="81"/>
      <c r="V550" s="81" t="s">
        <v>1885</v>
      </c>
      <c r="W550" s="86" t="str">
        <f>HYPERLINK("https://www.youtube.com/watch?v=wadBvDPeE4E")</f>
        <v>https://www.youtube.com/watch?v=wadBvDPeE4E</v>
      </c>
      <c r="X550" s="81" t="s">
        <v>1886</v>
      </c>
      <c r="Y550" s="81">
        <v>2</v>
      </c>
      <c r="Z550" s="88">
        <v>44449.63821759259</v>
      </c>
      <c r="AA550" s="88">
        <v>44449.63821759259</v>
      </c>
      <c r="AB550" s="81"/>
      <c r="AC550" s="81"/>
      <c r="AD550" s="84" t="s">
        <v>1927</v>
      </c>
      <c r="AE550" s="82">
        <v>1</v>
      </c>
      <c r="AF550" s="83" t="str">
        <f>REPLACE(INDEX(GroupVertices[Group],MATCH(Edges[[#This Row],[Vertex 1]],GroupVertices[Vertex],0)),1,1,"")</f>
        <v>1</v>
      </c>
      <c r="AG550" s="83" t="str">
        <f>REPLACE(INDEX(GroupVertices[Group],MATCH(Edges[[#This Row],[Vertex 2]],GroupVertices[Vertex],0)),1,1,"")</f>
        <v>1</v>
      </c>
      <c r="AH550" s="111">
        <v>0</v>
      </c>
      <c r="AI550" s="112">
        <v>0</v>
      </c>
      <c r="AJ550" s="111">
        <v>0</v>
      </c>
      <c r="AK550" s="112">
        <v>0</v>
      </c>
      <c r="AL550" s="111">
        <v>0</v>
      </c>
      <c r="AM550" s="112">
        <v>0</v>
      </c>
      <c r="AN550" s="111">
        <v>8</v>
      </c>
      <c r="AO550" s="112">
        <v>100</v>
      </c>
      <c r="AP550" s="111">
        <v>8</v>
      </c>
    </row>
    <row r="551" spans="1:42" ht="15">
      <c r="A551" s="65" t="s">
        <v>727</v>
      </c>
      <c r="B551" s="65" t="s">
        <v>786</v>
      </c>
      <c r="C551" s="66" t="s">
        <v>4509</v>
      </c>
      <c r="D551" s="67">
        <v>3</v>
      </c>
      <c r="E551" s="68"/>
      <c r="F551" s="69">
        <v>40</v>
      </c>
      <c r="G551" s="66"/>
      <c r="H551" s="70"/>
      <c r="I551" s="71"/>
      <c r="J551" s="71"/>
      <c r="K551" s="35" t="s">
        <v>65</v>
      </c>
      <c r="L551" s="79">
        <v>551</v>
      </c>
      <c r="M551" s="79"/>
      <c r="N551" s="73"/>
      <c r="O551" s="81" t="s">
        <v>788</v>
      </c>
      <c r="P551" s="81" t="s">
        <v>325</v>
      </c>
      <c r="Q551" s="84" t="s">
        <v>1335</v>
      </c>
      <c r="R551" s="81" t="s">
        <v>727</v>
      </c>
      <c r="S551" s="81" t="s">
        <v>1794</v>
      </c>
      <c r="T551" s="86" t="str">
        <f>HYPERLINK("http://www.youtube.com/channel/UCKUuFKvoUfcgc48a5eiy0iA")</f>
        <v>http://www.youtube.com/channel/UCKUuFKvoUfcgc48a5eiy0iA</v>
      </c>
      <c r="U551" s="81"/>
      <c r="V551" s="81" t="s">
        <v>1885</v>
      </c>
      <c r="W551" s="86" t="str">
        <f>HYPERLINK("https://www.youtube.com/watch?v=wadBvDPeE4E")</f>
        <v>https://www.youtube.com/watch?v=wadBvDPeE4E</v>
      </c>
      <c r="X551" s="81" t="s">
        <v>1886</v>
      </c>
      <c r="Y551" s="81">
        <v>0</v>
      </c>
      <c r="Z551" s="88">
        <v>44454.81199074074</v>
      </c>
      <c r="AA551" s="88">
        <v>44454.82550925926</v>
      </c>
      <c r="AB551" s="81"/>
      <c r="AC551" s="81"/>
      <c r="AD551" s="84" t="s">
        <v>1927</v>
      </c>
      <c r="AE551" s="82">
        <v>1</v>
      </c>
      <c r="AF551" s="83" t="str">
        <f>REPLACE(INDEX(GroupVertices[Group],MATCH(Edges[[#This Row],[Vertex 1]],GroupVertices[Vertex],0)),1,1,"")</f>
        <v>1</v>
      </c>
      <c r="AG551" s="83" t="str">
        <f>REPLACE(INDEX(GroupVertices[Group],MATCH(Edges[[#This Row],[Vertex 2]],GroupVertices[Vertex],0)),1,1,"")</f>
        <v>1</v>
      </c>
      <c r="AH551" s="111">
        <v>1</v>
      </c>
      <c r="AI551" s="112">
        <v>1.2345679012345678</v>
      </c>
      <c r="AJ551" s="111">
        <v>5</v>
      </c>
      <c r="AK551" s="112">
        <v>6.172839506172839</v>
      </c>
      <c r="AL551" s="111">
        <v>0</v>
      </c>
      <c r="AM551" s="112">
        <v>0</v>
      </c>
      <c r="AN551" s="111">
        <v>75</v>
      </c>
      <c r="AO551" s="112">
        <v>92.5925925925926</v>
      </c>
      <c r="AP551" s="111">
        <v>81</v>
      </c>
    </row>
    <row r="552" spans="1:42" ht="15">
      <c r="A552" s="65" t="s">
        <v>728</v>
      </c>
      <c r="B552" s="65" t="s">
        <v>786</v>
      </c>
      <c r="C552" s="66" t="s">
        <v>4510</v>
      </c>
      <c r="D552" s="67">
        <v>5.333333333333334</v>
      </c>
      <c r="E552" s="68"/>
      <c r="F552" s="69">
        <v>31.666666666666664</v>
      </c>
      <c r="G552" s="66"/>
      <c r="H552" s="70"/>
      <c r="I552" s="71"/>
      <c r="J552" s="71"/>
      <c r="K552" s="35" t="s">
        <v>65</v>
      </c>
      <c r="L552" s="79">
        <v>552</v>
      </c>
      <c r="M552" s="79"/>
      <c r="N552" s="73"/>
      <c r="O552" s="81" t="s">
        <v>788</v>
      </c>
      <c r="P552" s="81" t="s">
        <v>325</v>
      </c>
      <c r="Q552" s="84" t="s">
        <v>1336</v>
      </c>
      <c r="R552" s="81" t="s">
        <v>728</v>
      </c>
      <c r="S552" s="81" t="s">
        <v>1795</v>
      </c>
      <c r="T552" s="86" t="str">
        <f>HYPERLINK("http://www.youtube.com/channel/UCQUO6eNYTAvVIa2XoaQjRwQ")</f>
        <v>http://www.youtube.com/channel/UCQUO6eNYTAvVIa2XoaQjRwQ</v>
      </c>
      <c r="U552" s="81"/>
      <c r="V552" s="81" t="s">
        <v>1885</v>
      </c>
      <c r="W552" s="86" t="str">
        <f>HYPERLINK("https://www.youtube.com/watch?v=wadBvDPeE4E")</f>
        <v>https://www.youtube.com/watch?v=wadBvDPeE4E</v>
      </c>
      <c r="X552" s="81" t="s">
        <v>1886</v>
      </c>
      <c r="Y552" s="81">
        <v>0</v>
      </c>
      <c r="Z552" s="88">
        <v>44456.87982638889</v>
      </c>
      <c r="AA552" s="88">
        <v>44456.87982638889</v>
      </c>
      <c r="AB552" s="81"/>
      <c r="AC552" s="81"/>
      <c r="AD552" s="84" t="s">
        <v>1927</v>
      </c>
      <c r="AE552" s="82">
        <v>2</v>
      </c>
      <c r="AF552" s="83" t="str">
        <f>REPLACE(INDEX(GroupVertices[Group],MATCH(Edges[[#This Row],[Vertex 1]],GroupVertices[Vertex],0)),1,1,"")</f>
        <v>1</v>
      </c>
      <c r="AG552" s="83" t="str">
        <f>REPLACE(INDEX(GroupVertices[Group],MATCH(Edges[[#This Row],[Vertex 2]],GroupVertices[Vertex],0)),1,1,"")</f>
        <v>1</v>
      </c>
      <c r="AH552" s="111">
        <v>0</v>
      </c>
      <c r="AI552" s="112">
        <v>0</v>
      </c>
      <c r="AJ552" s="111">
        <v>0</v>
      </c>
      <c r="AK552" s="112">
        <v>0</v>
      </c>
      <c r="AL552" s="111">
        <v>0</v>
      </c>
      <c r="AM552" s="112">
        <v>0</v>
      </c>
      <c r="AN552" s="111">
        <v>21</v>
      </c>
      <c r="AO552" s="112">
        <v>100</v>
      </c>
      <c r="AP552" s="111">
        <v>21</v>
      </c>
    </row>
    <row r="553" spans="1:42" ht="15">
      <c r="A553" s="65" t="s">
        <v>728</v>
      </c>
      <c r="B553" s="65" t="s">
        <v>786</v>
      </c>
      <c r="C553" s="66" t="s">
        <v>4510</v>
      </c>
      <c r="D553" s="67">
        <v>5.333333333333334</v>
      </c>
      <c r="E553" s="68"/>
      <c r="F553" s="69">
        <v>31.666666666666664</v>
      </c>
      <c r="G553" s="66"/>
      <c r="H553" s="70"/>
      <c r="I553" s="71"/>
      <c r="J553" s="71"/>
      <c r="K553" s="35" t="s">
        <v>65</v>
      </c>
      <c r="L553" s="79">
        <v>553</v>
      </c>
      <c r="M553" s="79"/>
      <c r="N553" s="73"/>
      <c r="O553" s="81" t="s">
        <v>788</v>
      </c>
      <c r="P553" s="81" t="s">
        <v>325</v>
      </c>
      <c r="Q553" s="84" t="s">
        <v>1337</v>
      </c>
      <c r="R553" s="81" t="s">
        <v>728</v>
      </c>
      <c r="S553" s="81" t="s">
        <v>1795</v>
      </c>
      <c r="T553" s="86" t="str">
        <f>HYPERLINK("http://www.youtube.com/channel/UCQUO6eNYTAvVIa2XoaQjRwQ")</f>
        <v>http://www.youtube.com/channel/UCQUO6eNYTAvVIa2XoaQjRwQ</v>
      </c>
      <c r="U553" s="81"/>
      <c r="V553" s="81" t="s">
        <v>1885</v>
      </c>
      <c r="W553" s="86" t="str">
        <f>HYPERLINK("https://www.youtube.com/watch?v=wadBvDPeE4E")</f>
        <v>https://www.youtube.com/watch?v=wadBvDPeE4E</v>
      </c>
      <c r="X553" s="81" t="s">
        <v>1886</v>
      </c>
      <c r="Y553" s="81">
        <v>0</v>
      </c>
      <c r="Z553" s="88">
        <v>44456.89666666667</v>
      </c>
      <c r="AA553" s="88">
        <v>44456.89666666667</v>
      </c>
      <c r="AB553" s="81"/>
      <c r="AC553" s="81"/>
      <c r="AD553" s="84" t="s">
        <v>1927</v>
      </c>
      <c r="AE553" s="82">
        <v>2</v>
      </c>
      <c r="AF553" s="83" t="str">
        <f>REPLACE(INDEX(GroupVertices[Group],MATCH(Edges[[#This Row],[Vertex 1]],GroupVertices[Vertex],0)),1,1,"")</f>
        <v>1</v>
      </c>
      <c r="AG553" s="83" t="str">
        <f>REPLACE(INDEX(GroupVertices[Group],MATCH(Edges[[#This Row],[Vertex 2]],GroupVertices[Vertex],0)),1,1,"")</f>
        <v>1</v>
      </c>
      <c r="AH553" s="111">
        <v>0</v>
      </c>
      <c r="AI553" s="112">
        <v>0</v>
      </c>
      <c r="AJ553" s="111">
        <v>0</v>
      </c>
      <c r="AK553" s="112">
        <v>0</v>
      </c>
      <c r="AL553" s="111">
        <v>0</v>
      </c>
      <c r="AM553" s="112">
        <v>0</v>
      </c>
      <c r="AN553" s="111">
        <v>9</v>
      </c>
      <c r="AO553" s="112">
        <v>100</v>
      </c>
      <c r="AP553" s="111">
        <v>9</v>
      </c>
    </row>
    <row r="554" spans="1:42" ht="15">
      <c r="A554" s="65" t="s">
        <v>729</v>
      </c>
      <c r="B554" s="65" t="s">
        <v>786</v>
      </c>
      <c r="C554" s="66" t="s">
        <v>4513</v>
      </c>
      <c r="D554" s="67">
        <v>10</v>
      </c>
      <c r="E554" s="68"/>
      <c r="F554" s="69">
        <v>15</v>
      </c>
      <c r="G554" s="66"/>
      <c r="H554" s="70"/>
      <c r="I554" s="71"/>
      <c r="J554" s="71"/>
      <c r="K554" s="35" t="s">
        <v>65</v>
      </c>
      <c r="L554" s="79">
        <v>554</v>
      </c>
      <c r="M554" s="79"/>
      <c r="N554" s="73"/>
      <c r="O554" s="81" t="s">
        <v>788</v>
      </c>
      <c r="P554" s="81" t="s">
        <v>325</v>
      </c>
      <c r="Q554" s="84" t="s">
        <v>1338</v>
      </c>
      <c r="R554" s="81" t="s">
        <v>729</v>
      </c>
      <c r="S554" s="81" t="s">
        <v>1796</v>
      </c>
      <c r="T554" s="86" t="str">
        <f>HYPERLINK("http://www.youtube.com/channel/UC1DjQgoKxKaWdL_hrR4nI-Q")</f>
        <v>http://www.youtube.com/channel/UC1DjQgoKxKaWdL_hrR4nI-Q</v>
      </c>
      <c r="U554" s="81"/>
      <c r="V554" s="81" t="s">
        <v>1885</v>
      </c>
      <c r="W554" s="86" t="str">
        <f>HYPERLINK("https://www.youtube.com/watch?v=wadBvDPeE4E")</f>
        <v>https://www.youtube.com/watch?v=wadBvDPeE4E</v>
      </c>
      <c r="X554" s="81" t="s">
        <v>1886</v>
      </c>
      <c r="Y554" s="81">
        <v>0</v>
      </c>
      <c r="Z554" s="88">
        <v>44461.106307870374</v>
      </c>
      <c r="AA554" s="88">
        <v>44461.106307870374</v>
      </c>
      <c r="AB554" s="81" t="s">
        <v>1914</v>
      </c>
      <c r="AC554" s="81" t="s">
        <v>1922</v>
      </c>
      <c r="AD554" s="84" t="s">
        <v>1927</v>
      </c>
      <c r="AE554" s="82">
        <v>5</v>
      </c>
      <c r="AF554" s="83" t="str">
        <f>REPLACE(INDEX(GroupVertices[Group],MATCH(Edges[[#This Row],[Vertex 1]],GroupVertices[Vertex],0)),1,1,"")</f>
        <v>1</v>
      </c>
      <c r="AG554" s="83" t="str">
        <f>REPLACE(INDEX(GroupVertices[Group],MATCH(Edges[[#This Row],[Vertex 2]],GroupVertices[Vertex],0)),1,1,"")</f>
        <v>1</v>
      </c>
      <c r="AH554" s="111">
        <v>0</v>
      </c>
      <c r="AI554" s="112">
        <v>0</v>
      </c>
      <c r="AJ554" s="111">
        <v>0</v>
      </c>
      <c r="AK554" s="112">
        <v>0</v>
      </c>
      <c r="AL554" s="111">
        <v>0</v>
      </c>
      <c r="AM554" s="112">
        <v>0</v>
      </c>
      <c r="AN554" s="111">
        <v>15</v>
      </c>
      <c r="AO554" s="112">
        <v>100</v>
      </c>
      <c r="AP554" s="111">
        <v>15</v>
      </c>
    </row>
    <row r="555" spans="1:42" ht="15">
      <c r="A555" s="65" t="s">
        <v>729</v>
      </c>
      <c r="B555" s="65" t="s">
        <v>786</v>
      </c>
      <c r="C555" s="66" t="s">
        <v>4513</v>
      </c>
      <c r="D555" s="67">
        <v>10</v>
      </c>
      <c r="E555" s="68"/>
      <c r="F555" s="69">
        <v>15</v>
      </c>
      <c r="G555" s="66"/>
      <c r="H555" s="70"/>
      <c r="I555" s="71"/>
      <c r="J555" s="71"/>
      <c r="K555" s="35" t="s">
        <v>65</v>
      </c>
      <c r="L555" s="79">
        <v>555</v>
      </c>
      <c r="M555" s="79"/>
      <c r="N555" s="73"/>
      <c r="O555" s="81" t="s">
        <v>788</v>
      </c>
      <c r="P555" s="81" t="s">
        <v>325</v>
      </c>
      <c r="Q555" s="84" t="s">
        <v>1339</v>
      </c>
      <c r="R555" s="81" t="s">
        <v>729</v>
      </c>
      <c r="S555" s="81" t="s">
        <v>1796</v>
      </c>
      <c r="T555" s="86" t="str">
        <f>HYPERLINK("http://www.youtube.com/channel/UC1DjQgoKxKaWdL_hrR4nI-Q")</f>
        <v>http://www.youtube.com/channel/UC1DjQgoKxKaWdL_hrR4nI-Q</v>
      </c>
      <c r="U555" s="81"/>
      <c r="V555" s="81" t="s">
        <v>1885</v>
      </c>
      <c r="W555" s="86" t="str">
        <f>HYPERLINK("https://www.youtube.com/watch?v=wadBvDPeE4E")</f>
        <v>https://www.youtube.com/watch?v=wadBvDPeE4E</v>
      </c>
      <c r="X555" s="81" t="s">
        <v>1886</v>
      </c>
      <c r="Y555" s="81">
        <v>0</v>
      </c>
      <c r="Z555" s="88">
        <v>44461.11168981482</v>
      </c>
      <c r="AA555" s="88">
        <v>44461.11168981482</v>
      </c>
      <c r="AB555" s="81" t="s">
        <v>1915</v>
      </c>
      <c r="AC555" s="81" t="s">
        <v>1922</v>
      </c>
      <c r="AD555" s="84" t="s">
        <v>1927</v>
      </c>
      <c r="AE555" s="82">
        <v>5</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15</v>
      </c>
      <c r="AO555" s="112">
        <v>100</v>
      </c>
      <c r="AP555" s="111">
        <v>15</v>
      </c>
    </row>
    <row r="556" spans="1:42" ht="15">
      <c r="A556" s="65" t="s">
        <v>729</v>
      </c>
      <c r="B556" s="65" t="s">
        <v>786</v>
      </c>
      <c r="C556" s="66" t="s">
        <v>4513</v>
      </c>
      <c r="D556" s="67">
        <v>10</v>
      </c>
      <c r="E556" s="68"/>
      <c r="F556" s="69">
        <v>15</v>
      </c>
      <c r="G556" s="66"/>
      <c r="H556" s="70"/>
      <c r="I556" s="71"/>
      <c r="J556" s="71"/>
      <c r="K556" s="35" t="s">
        <v>65</v>
      </c>
      <c r="L556" s="79">
        <v>556</v>
      </c>
      <c r="M556" s="79"/>
      <c r="N556" s="73"/>
      <c r="O556" s="81" t="s">
        <v>788</v>
      </c>
      <c r="P556" s="81" t="s">
        <v>325</v>
      </c>
      <c r="Q556" s="84" t="s">
        <v>1340</v>
      </c>
      <c r="R556" s="81" t="s">
        <v>729</v>
      </c>
      <c r="S556" s="81" t="s">
        <v>1796</v>
      </c>
      <c r="T556" s="86" t="str">
        <f>HYPERLINK("http://www.youtube.com/channel/UC1DjQgoKxKaWdL_hrR4nI-Q")</f>
        <v>http://www.youtube.com/channel/UC1DjQgoKxKaWdL_hrR4nI-Q</v>
      </c>
      <c r="U556" s="81"/>
      <c r="V556" s="81" t="s">
        <v>1885</v>
      </c>
      <c r="W556" s="86" t="str">
        <f>HYPERLINK("https://www.youtube.com/watch?v=wadBvDPeE4E")</f>
        <v>https://www.youtube.com/watch?v=wadBvDPeE4E</v>
      </c>
      <c r="X556" s="81" t="s">
        <v>1886</v>
      </c>
      <c r="Y556" s="81">
        <v>0</v>
      </c>
      <c r="Z556" s="88">
        <v>44461.162824074076</v>
      </c>
      <c r="AA556" s="88">
        <v>44461.162824074076</v>
      </c>
      <c r="AB556" s="81" t="s">
        <v>1916</v>
      </c>
      <c r="AC556" s="81" t="s">
        <v>1922</v>
      </c>
      <c r="AD556" s="84" t="s">
        <v>1927</v>
      </c>
      <c r="AE556" s="82">
        <v>5</v>
      </c>
      <c r="AF556" s="83" t="str">
        <f>REPLACE(INDEX(GroupVertices[Group],MATCH(Edges[[#This Row],[Vertex 1]],GroupVertices[Vertex],0)),1,1,"")</f>
        <v>1</v>
      </c>
      <c r="AG556" s="83" t="str">
        <f>REPLACE(INDEX(GroupVertices[Group],MATCH(Edges[[#This Row],[Vertex 2]],GroupVertices[Vertex],0)),1,1,"")</f>
        <v>1</v>
      </c>
      <c r="AH556" s="111">
        <v>0</v>
      </c>
      <c r="AI556" s="112">
        <v>0</v>
      </c>
      <c r="AJ556" s="111">
        <v>0</v>
      </c>
      <c r="AK556" s="112">
        <v>0</v>
      </c>
      <c r="AL556" s="111">
        <v>0</v>
      </c>
      <c r="AM556" s="112">
        <v>0</v>
      </c>
      <c r="AN556" s="111">
        <v>15</v>
      </c>
      <c r="AO556" s="112">
        <v>100</v>
      </c>
      <c r="AP556" s="111">
        <v>15</v>
      </c>
    </row>
    <row r="557" spans="1:42" ht="15">
      <c r="A557" s="65" t="s">
        <v>729</v>
      </c>
      <c r="B557" s="65" t="s">
        <v>786</v>
      </c>
      <c r="C557" s="66" t="s">
        <v>4513</v>
      </c>
      <c r="D557" s="67">
        <v>10</v>
      </c>
      <c r="E557" s="68"/>
      <c r="F557" s="69">
        <v>15</v>
      </c>
      <c r="G557" s="66"/>
      <c r="H557" s="70"/>
      <c r="I557" s="71"/>
      <c r="J557" s="71"/>
      <c r="K557" s="35" t="s">
        <v>65</v>
      </c>
      <c r="L557" s="79">
        <v>557</v>
      </c>
      <c r="M557" s="79"/>
      <c r="N557" s="73"/>
      <c r="O557" s="81" t="s">
        <v>788</v>
      </c>
      <c r="P557" s="81" t="s">
        <v>325</v>
      </c>
      <c r="Q557" s="84" t="s">
        <v>1341</v>
      </c>
      <c r="R557" s="81" t="s">
        <v>729</v>
      </c>
      <c r="S557" s="81" t="s">
        <v>1796</v>
      </c>
      <c r="T557" s="86" t="str">
        <f>HYPERLINK("http://www.youtube.com/channel/UC1DjQgoKxKaWdL_hrR4nI-Q")</f>
        <v>http://www.youtube.com/channel/UC1DjQgoKxKaWdL_hrR4nI-Q</v>
      </c>
      <c r="U557" s="81"/>
      <c r="V557" s="81" t="s">
        <v>1885</v>
      </c>
      <c r="W557" s="86" t="str">
        <f>HYPERLINK("https://www.youtube.com/watch?v=wadBvDPeE4E")</f>
        <v>https://www.youtube.com/watch?v=wadBvDPeE4E</v>
      </c>
      <c r="X557" s="81" t="s">
        <v>1886</v>
      </c>
      <c r="Y557" s="81">
        <v>0</v>
      </c>
      <c r="Z557" s="88">
        <v>44461.631736111114</v>
      </c>
      <c r="AA557" s="88">
        <v>44461.631736111114</v>
      </c>
      <c r="AB557" s="81" t="s">
        <v>1917</v>
      </c>
      <c r="AC557" s="81" t="s">
        <v>1922</v>
      </c>
      <c r="AD557" s="84" t="s">
        <v>1927</v>
      </c>
      <c r="AE557" s="82">
        <v>5</v>
      </c>
      <c r="AF557" s="83" t="str">
        <f>REPLACE(INDEX(GroupVertices[Group],MATCH(Edges[[#This Row],[Vertex 1]],GroupVertices[Vertex],0)),1,1,"")</f>
        <v>1</v>
      </c>
      <c r="AG557" s="83" t="str">
        <f>REPLACE(INDEX(GroupVertices[Group],MATCH(Edges[[#This Row],[Vertex 2]],GroupVertices[Vertex],0)),1,1,"")</f>
        <v>1</v>
      </c>
      <c r="AH557" s="111">
        <v>0</v>
      </c>
      <c r="AI557" s="112">
        <v>0</v>
      </c>
      <c r="AJ557" s="111">
        <v>0</v>
      </c>
      <c r="AK557" s="112">
        <v>0</v>
      </c>
      <c r="AL557" s="111">
        <v>0</v>
      </c>
      <c r="AM557" s="112">
        <v>0</v>
      </c>
      <c r="AN557" s="111">
        <v>15</v>
      </c>
      <c r="AO557" s="112">
        <v>100</v>
      </c>
      <c r="AP557" s="111">
        <v>15</v>
      </c>
    </row>
    <row r="558" spans="1:42" ht="15">
      <c r="A558" s="65" t="s">
        <v>729</v>
      </c>
      <c r="B558" s="65" t="s">
        <v>786</v>
      </c>
      <c r="C558" s="66" t="s">
        <v>4513</v>
      </c>
      <c r="D558" s="67">
        <v>10</v>
      </c>
      <c r="E558" s="68"/>
      <c r="F558" s="69">
        <v>15</v>
      </c>
      <c r="G558" s="66"/>
      <c r="H558" s="70"/>
      <c r="I558" s="71"/>
      <c r="J558" s="71"/>
      <c r="K558" s="35" t="s">
        <v>65</v>
      </c>
      <c r="L558" s="79">
        <v>558</v>
      </c>
      <c r="M558" s="79"/>
      <c r="N558" s="73"/>
      <c r="O558" s="81" t="s">
        <v>788</v>
      </c>
      <c r="P558" s="81" t="s">
        <v>325</v>
      </c>
      <c r="Q558" s="84" t="s">
        <v>1342</v>
      </c>
      <c r="R558" s="81" t="s">
        <v>729</v>
      </c>
      <c r="S558" s="81" t="s">
        <v>1796</v>
      </c>
      <c r="T558" s="86" t="str">
        <f>HYPERLINK("http://www.youtube.com/channel/UC1DjQgoKxKaWdL_hrR4nI-Q")</f>
        <v>http://www.youtube.com/channel/UC1DjQgoKxKaWdL_hrR4nI-Q</v>
      </c>
      <c r="U558" s="81"/>
      <c r="V558" s="81" t="s">
        <v>1885</v>
      </c>
      <c r="W558" s="86" t="str">
        <f>HYPERLINK("https://www.youtube.com/watch?v=wadBvDPeE4E")</f>
        <v>https://www.youtube.com/watch?v=wadBvDPeE4E</v>
      </c>
      <c r="X558" s="81" t="s">
        <v>1886</v>
      </c>
      <c r="Y558" s="81">
        <v>0</v>
      </c>
      <c r="Z558" s="88">
        <v>44461.67427083333</v>
      </c>
      <c r="AA558" s="88">
        <v>44461.67427083333</v>
      </c>
      <c r="AB558" s="81" t="s">
        <v>1918</v>
      </c>
      <c r="AC558" s="81" t="s">
        <v>1922</v>
      </c>
      <c r="AD558" s="84" t="s">
        <v>1927</v>
      </c>
      <c r="AE558" s="82">
        <v>5</v>
      </c>
      <c r="AF558" s="83" t="str">
        <f>REPLACE(INDEX(GroupVertices[Group],MATCH(Edges[[#This Row],[Vertex 1]],GroupVertices[Vertex],0)),1,1,"")</f>
        <v>1</v>
      </c>
      <c r="AG558" s="83" t="str">
        <f>REPLACE(INDEX(GroupVertices[Group],MATCH(Edges[[#This Row],[Vertex 2]],GroupVertices[Vertex],0)),1,1,"")</f>
        <v>1</v>
      </c>
      <c r="AH558" s="111">
        <v>0</v>
      </c>
      <c r="AI558" s="112">
        <v>0</v>
      </c>
      <c r="AJ558" s="111">
        <v>0</v>
      </c>
      <c r="AK558" s="112">
        <v>0</v>
      </c>
      <c r="AL558" s="111">
        <v>0</v>
      </c>
      <c r="AM558" s="112">
        <v>0</v>
      </c>
      <c r="AN558" s="111">
        <v>15</v>
      </c>
      <c r="AO558" s="112">
        <v>100</v>
      </c>
      <c r="AP558" s="111">
        <v>15</v>
      </c>
    </row>
    <row r="559" spans="1:42" ht="15">
      <c r="A559" s="65" t="s">
        <v>730</v>
      </c>
      <c r="B559" s="65" t="s">
        <v>786</v>
      </c>
      <c r="C559" s="66" t="s">
        <v>4509</v>
      </c>
      <c r="D559" s="67">
        <v>3</v>
      </c>
      <c r="E559" s="68"/>
      <c r="F559" s="69">
        <v>40</v>
      </c>
      <c r="G559" s="66"/>
      <c r="H559" s="70"/>
      <c r="I559" s="71"/>
      <c r="J559" s="71"/>
      <c r="K559" s="35" t="s">
        <v>65</v>
      </c>
      <c r="L559" s="79">
        <v>559</v>
      </c>
      <c r="M559" s="79"/>
      <c r="N559" s="73"/>
      <c r="O559" s="81" t="s">
        <v>788</v>
      </c>
      <c r="P559" s="81" t="s">
        <v>325</v>
      </c>
      <c r="Q559" s="84" t="s">
        <v>1343</v>
      </c>
      <c r="R559" s="81" t="s">
        <v>730</v>
      </c>
      <c r="S559" s="81" t="s">
        <v>1797</v>
      </c>
      <c r="T559" s="86" t="str">
        <f>HYPERLINK("http://www.youtube.com/channel/UCT5ynWTl9RcNmQaVmx64yCg")</f>
        <v>http://www.youtube.com/channel/UCT5ynWTl9RcNmQaVmx64yCg</v>
      </c>
      <c r="U559" s="81"/>
      <c r="V559" s="81" t="s">
        <v>1885</v>
      </c>
      <c r="W559" s="86" t="str">
        <f>HYPERLINK("https://www.youtube.com/watch?v=wadBvDPeE4E")</f>
        <v>https://www.youtube.com/watch?v=wadBvDPeE4E</v>
      </c>
      <c r="X559" s="81" t="s">
        <v>1886</v>
      </c>
      <c r="Y559" s="81">
        <v>0</v>
      </c>
      <c r="Z559" s="88">
        <v>44467.2253587963</v>
      </c>
      <c r="AA559" s="88">
        <v>44467.2253587963</v>
      </c>
      <c r="AB559" s="81"/>
      <c r="AC559" s="81"/>
      <c r="AD559" s="84" t="s">
        <v>1927</v>
      </c>
      <c r="AE559" s="82">
        <v>1</v>
      </c>
      <c r="AF559" s="83" t="str">
        <f>REPLACE(INDEX(GroupVertices[Group],MATCH(Edges[[#This Row],[Vertex 1]],GroupVertices[Vertex],0)),1,1,"")</f>
        <v>1</v>
      </c>
      <c r="AG559" s="83" t="str">
        <f>REPLACE(INDEX(GroupVertices[Group],MATCH(Edges[[#This Row],[Vertex 2]],GroupVertices[Vertex],0)),1,1,"")</f>
        <v>1</v>
      </c>
      <c r="AH559" s="111">
        <v>0</v>
      </c>
      <c r="AI559" s="112">
        <v>0</v>
      </c>
      <c r="AJ559" s="111">
        <v>1</v>
      </c>
      <c r="AK559" s="112">
        <v>25</v>
      </c>
      <c r="AL559" s="111">
        <v>0</v>
      </c>
      <c r="AM559" s="112">
        <v>0</v>
      </c>
      <c r="AN559" s="111">
        <v>3</v>
      </c>
      <c r="AO559" s="112">
        <v>75</v>
      </c>
      <c r="AP559" s="111">
        <v>4</v>
      </c>
    </row>
    <row r="560" spans="1:42" ht="15">
      <c r="A560" s="65" t="s">
        <v>731</v>
      </c>
      <c r="B560" s="65" t="s">
        <v>786</v>
      </c>
      <c r="C560" s="66" t="s">
        <v>4509</v>
      </c>
      <c r="D560" s="67">
        <v>3</v>
      </c>
      <c r="E560" s="68"/>
      <c r="F560" s="69">
        <v>40</v>
      </c>
      <c r="G560" s="66"/>
      <c r="H560" s="70"/>
      <c r="I560" s="71"/>
      <c r="J560" s="71"/>
      <c r="K560" s="35" t="s">
        <v>65</v>
      </c>
      <c r="L560" s="79">
        <v>560</v>
      </c>
      <c r="M560" s="79"/>
      <c r="N560" s="73"/>
      <c r="O560" s="81" t="s">
        <v>788</v>
      </c>
      <c r="P560" s="81" t="s">
        <v>325</v>
      </c>
      <c r="Q560" s="84" t="s">
        <v>1344</v>
      </c>
      <c r="R560" s="81" t="s">
        <v>731</v>
      </c>
      <c r="S560" s="81" t="s">
        <v>1798</v>
      </c>
      <c r="T560" s="86" t="str">
        <f>HYPERLINK("http://www.youtube.com/channel/UCjW6K5mG_h--dfOZgjmySNg")</f>
        <v>http://www.youtube.com/channel/UCjW6K5mG_h--dfOZgjmySNg</v>
      </c>
      <c r="U560" s="81"/>
      <c r="V560" s="81" t="s">
        <v>1885</v>
      </c>
      <c r="W560" s="86" t="str">
        <f>HYPERLINK("https://www.youtube.com/watch?v=wadBvDPeE4E")</f>
        <v>https://www.youtube.com/watch?v=wadBvDPeE4E</v>
      </c>
      <c r="X560" s="81" t="s">
        <v>1886</v>
      </c>
      <c r="Y560" s="81">
        <v>0</v>
      </c>
      <c r="Z560" s="88">
        <v>44480.19704861111</v>
      </c>
      <c r="AA560" s="88">
        <v>44480.19704861111</v>
      </c>
      <c r="AB560" s="81"/>
      <c r="AC560" s="81"/>
      <c r="AD560" s="84" t="s">
        <v>1927</v>
      </c>
      <c r="AE560" s="82">
        <v>1</v>
      </c>
      <c r="AF560" s="83" t="str">
        <f>REPLACE(INDEX(GroupVertices[Group],MATCH(Edges[[#This Row],[Vertex 1]],GroupVertices[Vertex],0)),1,1,"")</f>
        <v>1</v>
      </c>
      <c r="AG560" s="83" t="str">
        <f>REPLACE(INDEX(GroupVertices[Group],MATCH(Edges[[#This Row],[Vertex 2]],GroupVertices[Vertex],0)),1,1,"")</f>
        <v>1</v>
      </c>
      <c r="AH560" s="111">
        <v>1</v>
      </c>
      <c r="AI560" s="112">
        <v>100</v>
      </c>
      <c r="AJ560" s="111">
        <v>0</v>
      </c>
      <c r="AK560" s="112">
        <v>0</v>
      </c>
      <c r="AL560" s="111">
        <v>0</v>
      </c>
      <c r="AM560" s="112">
        <v>0</v>
      </c>
      <c r="AN560" s="111">
        <v>0</v>
      </c>
      <c r="AO560" s="112">
        <v>0</v>
      </c>
      <c r="AP560" s="111">
        <v>1</v>
      </c>
    </row>
    <row r="561" spans="1:42" ht="15">
      <c r="A561" s="65" t="s">
        <v>732</v>
      </c>
      <c r="B561" s="65" t="s">
        <v>786</v>
      </c>
      <c r="C561" s="66" t="s">
        <v>4509</v>
      </c>
      <c r="D561" s="67">
        <v>3</v>
      </c>
      <c r="E561" s="68"/>
      <c r="F561" s="69">
        <v>40</v>
      </c>
      <c r="G561" s="66"/>
      <c r="H561" s="70"/>
      <c r="I561" s="71"/>
      <c r="J561" s="71"/>
      <c r="K561" s="35" t="s">
        <v>65</v>
      </c>
      <c r="L561" s="79">
        <v>561</v>
      </c>
      <c r="M561" s="79"/>
      <c r="N561" s="73"/>
      <c r="O561" s="81" t="s">
        <v>788</v>
      </c>
      <c r="P561" s="81" t="s">
        <v>325</v>
      </c>
      <c r="Q561" s="84" t="s">
        <v>1345</v>
      </c>
      <c r="R561" s="81" t="s">
        <v>732</v>
      </c>
      <c r="S561" s="81" t="s">
        <v>1799</v>
      </c>
      <c r="T561" s="86" t="str">
        <f>HYPERLINK("http://www.youtube.com/channel/UC5PuRhzgB1QSEi5KtDzQjbA")</f>
        <v>http://www.youtube.com/channel/UC5PuRhzgB1QSEi5KtDzQjbA</v>
      </c>
      <c r="U561" s="81"/>
      <c r="V561" s="81" t="s">
        <v>1885</v>
      </c>
      <c r="W561" s="86" t="str">
        <f>HYPERLINK("https://www.youtube.com/watch?v=wadBvDPeE4E")</f>
        <v>https://www.youtube.com/watch?v=wadBvDPeE4E</v>
      </c>
      <c r="X561" s="81" t="s">
        <v>1886</v>
      </c>
      <c r="Y561" s="81">
        <v>0</v>
      </c>
      <c r="Z561" s="88">
        <v>44484.61802083333</v>
      </c>
      <c r="AA561" s="88">
        <v>44484.61802083333</v>
      </c>
      <c r="AB561" s="81"/>
      <c r="AC561" s="81"/>
      <c r="AD561" s="84" t="s">
        <v>1927</v>
      </c>
      <c r="AE561" s="82">
        <v>1</v>
      </c>
      <c r="AF561" s="83" t="str">
        <f>REPLACE(INDEX(GroupVertices[Group],MATCH(Edges[[#This Row],[Vertex 1]],GroupVertices[Vertex],0)),1,1,"")</f>
        <v>1</v>
      </c>
      <c r="AG561" s="83" t="str">
        <f>REPLACE(INDEX(GroupVertices[Group],MATCH(Edges[[#This Row],[Vertex 2]],GroupVertices[Vertex],0)),1,1,"")</f>
        <v>1</v>
      </c>
      <c r="AH561" s="111">
        <v>1</v>
      </c>
      <c r="AI561" s="112">
        <v>9.090909090909092</v>
      </c>
      <c r="AJ561" s="111">
        <v>0</v>
      </c>
      <c r="AK561" s="112">
        <v>0</v>
      </c>
      <c r="AL561" s="111">
        <v>0</v>
      </c>
      <c r="AM561" s="112">
        <v>0</v>
      </c>
      <c r="AN561" s="111">
        <v>10</v>
      </c>
      <c r="AO561" s="112">
        <v>90.9090909090909</v>
      </c>
      <c r="AP561" s="111">
        <v>11</v>
      </c>
    </row>
    <row r="562" spans="1:42" ht="15">
      <c r="A562" s="65" t="s">
        <v>733</v>
      </c>
      <c r="B562" s="65" t="s">
        <v>786</v>
      </c>
      <c r="C562" s="66" t="s">
        <v>4509</v>
      </c>
      <c r="D562" s="67">
        <v>3</v>
      </c>
      <c r="E562" s="68"/>
      <c r="F562" s="69">
        <v>40</v>
      </c>
      <c r="G562" s="66"/>
      <c r="H562" s="70"/>
      <c r="I562" s="71"/>
      <c r="J562" s="71"/>
      <c r="K562" s="35" t="s">
        <v>65</v>
      </c>
      <c r="L562" s="79">
        <v>562</v>
      </c>
      <c r="M562" s="79"/>
      <c r="N562" s="73"/>
      <c r="O562" s="81" t="s">
        <v>788</v>
      </c>
      <c r="P562" s="81" t="s">
        <v>325</v>
      </c>
      <c r="Q562" s="84" t="s">
        <v>1346</v>
      </c>
      <c r="R562" s="81" t="s">
        <v>733</v>
      </c>
      <c r="S562" s="81" t="s">
        <v>1800</v>
      </c>
      <c r="T562" s="86" t="str">
        <f>HYPERLINK("http://www.youtube.com/channel/UCSf7v8KmsdJjHjUJmIR3fDA")</f>
        <v>http://www.youtube.com/channel/UCSf7v8KmsdJjHjUJmIR3fDA</v>
      </c>
      <c r="U562" s="81"/>
      <c r="V562" s="81" t="s">
        <v>1885</v>
      </c>
      <c r="W562" s="86" t="str">
        <f>HYPERLINK("https://www.youtube.com/watch?v=wadBvDPeE4E")</f>
        <v>https://www.youtube.com/watch?v=wadBvDPeE4E</v>
      </c>
      <c r="X562" s="81" t="s">
        <v>1886</v>
      </c>
      <c r="Y562" s="81">
        <v>0</v>
      </c>
      <c r="Z562" s="88">
        <v>44488.40724537037</v>
      </c>
      <c r="AA562" s="88">
        <v>44488.40724537037</v>
      </c>
      <c r="AB562" s="81"/>
      <c r="AC562" s="81"/>
      <c r="AD562" s="84" t="s">
        <v>1927</v>
      </c>
      <c r="AE562" s="82">
        <v>1</v>
      </c>
      <c r="AF562" s="83" t="str">
        <f>REPLACE(INDEX(GroupVertices[Group],MATCH(Edges[[#This Row],[Vertex 1]],GroupVertices[Vertex],0)),1,1,"")</f>
        <v>1</v>
      </c>
      <c r="AG562" s="83" t="str">
        <f>REPLACE(INDEX(GroupVertices[Group],MATCH(Edges[[#This Row],[Vertex 2]],GroupVertices[Vertex],0)),1,1,"")</f>
        <v>1</v>
      </c>
      <c r="AH562" s="111">
        <v>1</v>
      </c>
      <c r="AI562" s="112">
        <v>11.11111111111111</v>
      </c>
      <c r="AJ562" s="111">
        <v>0</v>
      </c>
      <c r="AK562" s="112">
        <v>0</v>
      </c>
      <c r="AL562" s="111">
        <v>0</v>
      </c>
      <c r="AM562" s="112">
        <v>0</v>
      </c>
      <c r="AN562" s="111">
        <v>8</v>
      </c>
      <c r="AO562" s="112">
        <v>88.88888888888889</v>
      </c>
      <c r="AP562" s="111">
        <v>9</v>
      </c>
    </row>
    <row r="563" spans="1:42" ht="15">
      <c r="A563" s="65" t="s">
        <v>734</v>
      </c>
      <c r="B563" s="65" t="s">
        <v>786</v>
      </c>
      <c r="C563" s="66" t="s">
        <v>4509</v>
      </c>
      <c r="D563" s="67">
        <v>3</v>
      </c>
      <c r="E563" s="68"/>
      <c r="F563" s="69">
        <v>40</v>
      </c>
      <c r="G563" s="66"/>
      <c r="H563" s="70"/>
      <c r="I563" s="71"/>
      <c r="J563" s="71"/>
      <c r="K563" s="35" t="s">
        <v>65</v>
      </c>
      <c r="L563" s="79">
        <v>563</v>
      </c>
      <c r="M563" s="79"/>
      <c r="N563" s="73"/>
      <c r="O563" s="81" t="s">
        <v>788</v>
      </c>
      <c r="P563" s="81" t="s">
        <v>325</v>
      </c>
      <c r="Q563" s="84" t="s">
        <v>1347</v>
      </c>
      <c r="R563" s="81" t="s">
        <v>734</v>
      </c>
      <c r="S563" s="81" t="s">
        <v>1801</v>
      </c>
      <c r="T563" s="86" t="str">
        <f>HYPERLINK("http://www.youtube.com/channel/UCsWRzD0bdvJVfzr1bMhgNTQ")</f>
        <v>http://www.youtube.com/channel/UCsWRzD0bdvJVfzr1bMhgNTQ</v>
      </c>
      <c r="U563" s="81"/>
      <c r="V563" s="81" t="s">
        <v>1885</v>
      </c>
      <c r="W563" s="86" t="str">
        <f>HYPERLINK("https://www.youtube.com/watch?v=wadBvDPeE4E")</f>
        <v>https://www.youtube.com/watch?v=wadBvDPeE4E</v>
      </c>
      <c r="X563" s="81" t="s">
        <v>1886</v>
      </c>
      <c r="Y563" s="81">
        <v>0</v>
      </c>
      <c r="Z563" s="88">
        <v>44491.72789351852</v>
      </c>
      <c r="AA563" s="88">
        <v>44491.72789351852</v>
      </c>
      <c r="AB563" s="81"/>
      <c r="AC563" s="81"/>
      <c r="AD563" s="84" t="s">
        <v>1927</v>
      </c>
      <c r="AE563" s="82">
        <v>1</v>
      </c>
      <c r="AF563" s="83" t="str">
        <f>REPLACE(INDEX(GroupVertices[Group],MATCH(Edges[[#This Row],[Vertex 1]],GroupVertices[Vertex],0)),1,1,"")</f>
        <v>1</v>
      </c>
      <c r="AG563" s="83" t="str">
        <f>REPLACE(INDEX(GroupVertices[Group],MATCH(Edges[[#This Row],[Vertex 2]],GroupVertices[Vertex],0)),1,1,"")</f>
        <v>1</v>
      </c>
      <c r="AH563" s="111">
        <v>2</v>
      </c>
      <c r="AI563" s="112">
        <v>10.526315789473685</v>
      </c>
      <c r="AJ563" s="111">
        <v>0</v>
      </c>
      <c r="AK563" s="112">
        <v>0</v>
      </c>
      <c r="AL563" s="111">
        <v>0</v>
      </c>
      <c r="AM563" s="112">
        <v>0</v>
      </c>
      <c r="AN563" s="111">
        <v>17</v>
      </c>
      <c r="AO563" s="112">
        <v>89.47368421052632</v>
      </c>
      <c r="AP563" s="111">
        <v>19</v>
      </c>
    </row>
    <row r="564" spans="1:42" ht="15">
      <c r="A564" s="65" t="s">
        <v>735</v>
      </c>
      <c r="B564" s="65" t="s">
        <v>786</v>
      </c>
      <c r="C564" s="66" t="s">
        <v>4509</v>
      </c>
      <c r="D564" s="67">
        <v>3</v>
      </c>
      <c r="E564" s="68"/>
      <c r="F564" s="69">
        <v>40</v>
      </c>
      <c r="G564" s="66"/>
      <c r="H564" s="70"/>
      <c r="I564" s="71"/>
      <c r="J564" s="71"/>
      <c r="K564" s="35" t="s">
        <v>65</v>
      </c>
      <c r="L564" s="79">
        <v>564</v>
      </c>
      <c r="M564" s="79"/>
      <c r="N564" s="73"/>
      <c r="O564" s="81" t="s">
        <v>788</v>
      </c>
      <c r="P564" s="81" t="s">
        <v>325</v>
      </c>
      <c r="Q564" s="84" t="s">
        <v>1348</v>
      </c>
      <c r="R564" s="81" t="s">
        <v>735</v>
      </c>
      <c r="S564" s="81" t="s">
        <v>1802</v>
      </c>
      <c r="T564" s="86" t="str">
        <f>HYPERLINK("http://www.youtube.com/channel/UCteADJPEuqioxpPwU2sVT9w")</f>
        <v>http://www.youtube.com/channel/UCteADJPEuqioxpPwU2sVT9w</v>
      </c>
      <c r="U564" s="81"/>
      <c r="V564" s="81" t="s">
        <v>1885</v>
      </c>
      <c r="W564" s="86" t="str">
        <f>HYPERLINK("https://www.youtube.com/watch?v=wadBvDPeE4E")</f>
        <v>https://www.youtube.com/watch?v=wadBvDPeE4E</v>
      </c>
      <c r="X564" s="81" t="s">
        <v>1886</v>
      </c>
      <c r="Y564" s="81">
        <v>1</v>
      </c>
      <c r="Z564" s="88">
        <v>44508.306122685186</v>
      </c>
      <c r="AA564" s="88">
        <v>44508.306122685186</v>
      </c>
      <c r="AB564" s="81"/>
      <c r="AC564" s="81"/>
      <c r="AD564" s="84" t="s">
        <v>1927</v>
      </c>
      <c r="AE564" s="82">
        <v>1</v>
      </c>
      <c r="AF564" s="83" t="str">
        <f>REPLACE(INDEX(GroupVertices[Group],MATCH(Edges[[#This Row],[Vertex 1]],GroupVertices[Vertex],0)),1,1,"")</f>
        <v>1</v>
      </c>
      <c r="AG564" s="83" t="str">
        <f>REPLACE(INDEX(GroupVertices[Group],MATCH(Edges[[#This Row],[Vertex 2]],GroupVertices[Vertex],0)),1,1,"")</f>
        <v>1</v>
      </c>
      <c r="AH564" s="111">
        <v>0</v>
      </c>
      <c r="AI564" s="112">
        <v>0</v>
      </c>
      <c r="AJ564" s="111">
        <v>1</v>
      </c>
      <c r="AK564" s="112">
        <v>14.285714285714286</v>
      </c>
      <c r="AL564" s="111">
        <v>0</v>
      </c>
      <c r="AM564" s="112">
        <v>0</v>
      </c>
      <c r="AN564" s="111">
        <v>6</v>
      </c>
      <c r="AO564" s="112">
        <v>85.71428571428571</v>
      </c>
      <c r="AP564" s="111">
        <v>7</v>
      </c>
    </row>
    <row r="565" spans="1:42" ht="15">
      <c r="A565" s="65" t="s">
        <v>736</v>
      </c>
      <c r="B565" s="65" t="s">
        <v>786</v>
      </c>
      <c r="C565" s="66" t="s">
        <v>4509</v>
      </c>
      <c r="D565" s="67">
        <v>3</v>
      </c>
      <c r="E565" s="68"/>
      <c r="F565" s="69">
        <v>40</v>
      </c>
      <c r="G565" s="66"/>
      <c r="H565" s="70"/>
      <c r="I565" s="71"/>
      <c r="J565" s="71"/>
      <c r="K565" s="35" t="s">
        <v>65</v>
      </c>
      <c r="L565" s="79">
        <v>565</v>
      </c>
      <c r="M565" s="79"/>
      <c r="N565" s="73"/>
      <c r="O565" s="81" t="s">
        <v>788</v>
      </c>
      <c r="P565" s="81" t="s">
        <v>325</v>
      </c>
      <c r="Q565" s="84" t="s">
        <v>1349</v>
      </c>
      <c r="R565" s="81" t="s">
        <v>736</v>
      </c>
      <c r="S565" s="81" t="s">
        <v>1803</v>
      </c>
      <c r="T565" s="86" t="str">
        <f>HYPERLINK("http://www.youtube.com/channel/UCb4RV6A9q46EVE4854627_Q")</f>
        <v>http://www.youtube.com/channel/UCb4RV6A9q46EVE4854627_Q</v>
      </c>
      <c r="U565" s="81"/>
      <c r="V565" s="81" t="s">
        <v>1885</v>
      </c>
      <c r="W565" s="86" t="str">
        <f>HYPERLINK("https://www.youtube.com/watch?v=wadBvDPeE4E")</f>
        <v>https://www.youtube.com/watch?v=wadBvDPeE4E</v>
      </c>
      <c r="X565" s="81" t="s">
        <v>1886</v>
      </c>
      <c r="Y565" s="81">
        <v>0</v>
      </c>
      <c r="Z565" s="88">
        <v>44512.234085648146</v>
      </c>
      <c r="AA565" s="88">
        <v>44512.234085648146</v>
      </c>
      <c r="AB565" s="81"/>
      <c r="AC565" s="81"/>
      <c r="AD565" s="84" t="s">
        <v>1927</v>
      </c>
      <c r="AE565" s="82">
        <v>1</v>
      </c>
      <c r="AF565" s="83" t="str">
        <f>REPLACE(INDEX(GroupVertices[Group],MATCH(Edges[[#This Row],[Vertex 1]],GroupVertices[Vertex],0)),1,1,"")</f>
        <v>1</v>
      </c>
      <c r="AG565" s="83" t="str">
        <f>REPLACE(INDEX(GroupVertices[Group],MATCH(Edges[[#This Row],[Vertex 2]],GroupVertices[Vertex],0)),1,1,"")</f>
        <v>1</v>
      </c>
      <c r="AH565" s="111">
        <v>1</v>
      </c>
      <c r="AI565" s="112">
        <v>100</v>
      </c>
      <c r="AJ565" s="111">
        <v>0</v>
      </c>
      <c r="AK565" s="112">
        <v>0</v>
      </c>
      <c r="AL565" s="111">
        <v>0</v>
      </c>
      <c r="AM565" s="112">
        <v>0</v>
      </c>
      <c r="AN565" s="111">
        <v>0</v>
      </c>
      <c r="AO565" s="112">
        <v>0</v>
      </c>
      <c r="AP565" s="111">
        <v>1</v>
      </c>
    </row>
    <row r="566" spans="1:42" ht="15">
      <c r="A566" s="65" t="s">
        <v>737</v>
      </c>
      <c r="B566" s="65" t="s">
        <v>786</v>
      </c>
      <c r="C566" s="66" t="s">
        <v>4509</v>
      </c>
      <c r="D566" s="67">
        <v>3</v>
      </c>
      <c r="E566" s="68"/>
      <c r="F566" s="69">
        <v>40</v>
      </c>
      <c r="G566" s="66"/>
      <c r="H566" s="70"/>
      <c r="I566" s="71"/>
      <c r="J566" s="71"/>
      <c r="K566" s="35" t="s">
        <v>65</v>
      </c>
      <c r="L566" s="79">
        <v>566</v>
      </c>
      <c r="M566" s="79"/>
      <c r="N566" s="73"/>
      <c r="O566" s="81" t="s">
        <v>788</v>
      </c>
      <c r="P566" s="81" t="s">
        <v>325</v>
      </c>
      <c r="Q566" s="84" t="s">
        <v>1200</v>
      </c>
      <c r="R566" s="81" t="s">
        <v>737</v>
      </c>
      <c r="S566" s="81" t="s">
        <v>1804</v>
      </c>
      <c r="T566" s="86" t="str">
        <f>HYPERLINK("http://www.youtube.com/channel/UCNTI4xMuiS9JbJapWjUOkVA")</f>
        <v>http://www.youtube.com/channel/UCNTI4xMuiS9JbJapWjUOkVA</v>
      </c>
      <c r="U566" s="81"/>
      <c r="V566" s="81" t="s">
        <v>1885</v>
      </c>
      <c r="W566" s="86" t="str">
        <f>HYPERLINK("https://www.youtube.com/watch?v=wadBvDPeE4E")</f>
        <v>https://www.youtube.com/watch?v=wadBvDPeE4E</v>
      </c>
      <c r="X566" s="81" t="s">
        <v>1886</v>
      </c>
      <c r="Y566" s="81">
        <v>0</v>
      </c>
      <c r="Z566" s="88">
        <v>44516.84104166667</v>
      </c>
      <c r="AA566" s="88">
        <v>44516.84104166667</v>
      </c>
      <c r="AB566" s="81"/>
      <c r="AC566" s="81"/>
      <c r="AD566" s="84" t="s">
        <v>1927</v>
      </c>
      <c r="AE566" s="82">
        <v>1</v>
      </c>
      <c r="AF566" s="83" t="str">
        <f>REPLACE(INDEX(GroupVertices[Group],MATCH(Edges[[#This Row],[Vertex 1]],GroupVertices[Vertex],0)),1,1,"")</f>
        <v>1</v>
      </c>
      <c r="AG566" s="83" t="str">
        <f>REPLACE(INDEX(GroupVertices[Group],MATCH(Edges[[#This Row],[Vertex 2]],GroupVertices[Vertex],0)),1,1,"")</f>
        <v>1</v>
      </c>
      <c r="AH566" s="111">
        <v>1</v>
      </c>
      <c r="AI566" s="112">
        <v>100</v>
      </c>
      <c r="AJ566" s="111">
        <v>0</v>
      </c>
      <c r="AK566" s="112">
        <v>0</v>
      </c>
      <c r="AL566" s="111">
        <v>0</v>
      </c>
      <c r="AM566" s="112">
        <v>0</v>
      </c>
      <c r="AN566" s="111">
        <v>0</v>
      </c>
      <c r="AO566" s="112">
        <v>0</v>
      </c>
      <c r="AP566" s="111">
        <v>1</v>
      </c>
    </row>
    <row r="567" spans="1:42" ht="15">
      <c r="A567" s="65" t="s">
        <v>738</v>
      </c>
      <c r="B567" s="65" t="s">
        <v>786</v>
      </c>
      <c r="C567" s="66" t="s">
        <v>4509</v>
      </c>
      <c r="D567" s="67">
        <v>3</v>
      </c>
      <c r="E567" s="68"/>
      <c r="F567" s="69">
        <v>40</v>
      </c>
      <c r="G567" s="66"/>
      <c r="H567" s="70"/>
      <c r="I567" s="71"/>
      <c r="J567" s="71"/>
      <c r="K567" s="35" t="s">
        <v>65</v>
      </c>
      <c r="L567" s="79">
        <v>567</v>
      </c>
      <c r="M567" s="79"/>
      <c r="N567" s="73"/>
      <c r="O567" s="81" t="s">
        <v>788</v>
      </c>
      <c r="P567" s="81" t="s">
        <v>325</v>
      </c>
      <c r="Q567" s="84" t="s">
        <v>1350</v>
      </c>
      <c r="R567" s="81" t="s">
        <v>738</v>
      </c>
      <c r="S567" s="81" t="s">
        <v>1805</v>
      </c>
      <c r="T567" s="86" t="str">
        <f>HYPERLINK("http://www.youtube.com/channel/UC4Rxk3TPz-LBIzfmH75zT6A")</f>
        <v>http://www.youtube.com/channel/UC4Rxk3TPz-LBIzfmH75zT6A</v>
      </c>
      <c r="U567" s="81"/>
      <c r="V567" s="81" t="s">
        <v>1885</v>
      </c>
      <c r="W567" s="86" t="str">
        <f>HYPERLINK("https://www.youtube.com/watch?v=wadBvDPeE4E")</f>
        <v>https://www.youtube.com/watch?v=wadBvDPeE4E</v>
      </c>
      <c r="X567" s="81" t="s">
        <v>1886</v>
      </c>
      <c r="Y567" s="81">
        <v>0</v>
      </c>
      <c r="Z567" s="88">
        <v>44520.99763888889</v>
      </c>
      <c r="AA567" s="88">
        <v>44520.99763888889</v>
      </c>
      <c r="AB567" s="81"/>
      <c r="AC567" s="81"/>
      <c r="AD567" s="84" t="s">
        <v>1927</v>
      </c>
      <c r="AE567" s="82">
        <v>1</v>
      </c>
      <c r="AF567" s="83" t="str">
        <f>REPLACE(INDEX(GroupVertices[Group],MATCH(Edges[[#This Row],[Vertex 1]],GroupVertices[Vertex],0)),1,1,"")</f>
        <v>1</v>
      </c>
      <c r="AG567" s="83" t="str">
        <f>REPLACE(INDEX(GroupVertices[Group],MATCH(Edges[[#This Row],[Vertex 2]],GroupVertices[Vertex],0)),1,1,"")</f>
        <v>1</v>
      </c>
      <c r="AH567" s="111">
        <v>1</v>
      </c>
      <c r="AI567" s="112">
        <v>50</v>
      </c>
      <c r="AJ567" s="111">
        <v>0</v>
      </c>
      <c r="AK567" s="112">
        <v>0</v>
      </c>
      <c r="AL567" s="111">
        <v>0</v>
      </c>
      <c r="AM567" s="112">
        <v>0</v>
      </c>
      <c r="AN567" s="111">
        <v>1</v>
      </c>
      <c r="AO567" s="112">
        <v>50</v>
      </c>
      <c r="AP567" s="111">
        <v>2</v>
      </c>
    </row>
    <row r="568" spans="1:42" ht="15">
      <c r="A568" s="65" t="s">
        <v>739</v>
      </c>
      <c r="B568" s="65" t="s">
        <v>786</v>
      </c>
      <c r="C568" s="66" t="s">
        <v>4509</v>
      </c>
      <c r="D568" s="67">
        <v>3</v>
      </c>
      <c r="E568" s="68"/>
      <c r="F568" s="69">
        <v>40</v>
      </c>
      <c r="G568" s="66"/>
      <c r="H568" s="70"/>
      <c r="I568" s="71"/>
      <c r="J568" s="71"/>
      <c r="K568" s="35" t="s">
        <v>65</v>
      </c>
      <c r="L568" s="79">
        <v>568</v>
      </c>
      <c r="M568" s="79"/>
      <c r="N568" s="73"/>
      <c r="O568" s="81" t="s">
        <v>788</v>
      </c>
      <c r="P568" s="81" t="s">
        <v>325</v>
      </c>
      <c r="Q568" s="84" t="s">
        <v>1351</v>
      </c>
      <c r="R568" s="81" t="s">
        <v>739</v>
      </c>
      <c r="S568" s="81" t="s">
        <v>1806</v>
      </c>
      <c r="T568" s="86" t="str">
        <f>HYPERLINK("http://www.youtube.com/channel/UC5Mb8CQE6Hbqb-CjsAh5wLw")</f>
        <v>http://www.youtube.com/channel/UC5Mb8CQE6Hbqb-CjsAh5wLw</v>
      </c>
      <c r="U568" s="81"/>
      <c r="V568" s="81" t="s">
        <v>1885</v>
      </c>
      <c r="W568" s="86" t="str">
        <f>HYPERLINK("https://www.youtube.com/watch?v=wadBvDPeE4E")</f>
        <v>https://www.youtube.com/watch?v=wadBvDPeE4E</v>
      </c>
      <c r="X568" s="81" t="s">
        <v>1886</v>
      </c>
      <c r="Y568" s="81">
        <v>0</v>
      </c>
      <c r="Z568" s="88">
        <v>44523.86929398148</v>
      </c>
      <c r="AA568" s="88">
        <v>44523.86929398148</v>
      </c>
      <c r="AB568" s="81"/>
      <c r="AC568" s="81"/>
      <c r="AD568" s="84" t="s">
        <v>1927</v>
      </c>
      <c r="AE568" s="82">
        <v>1</v>
      </c>
      <c r="AF568" s="83" t="str">
        <f>REPLACE(INDEX(GroupVertices[Group],MATCH(Edges[[#This Row],[Vertex 1]],GroupVertices[Vertex],0)),1,1,"")</f>
        <v>1</v>
      </c>
      <c r="AG568" s="83" t="str">
        <f>REPLACE(INDEX(GroupVertices[Group],MATCH(Edges[[#This Row],[Vertex 2]],GroupVertices[Vertex],0)),1,1,"")</f>
        <v>1</v>
      </c>
      <c r="AH568" s="111">
        <v>0</v>
      </c>
      <c r="AI568" s="112">
        <v>0</v>
      </c>
      <c r="AJ568" s="111">
        <v>0</v>
      </c>
      <c r="AK568" s="112">
        <v>0</v>
      </c>
      <c r="AL568" s="111">
        <v>0</v>
      </c>
      <c r="AM568" s="112">
        <v>0</v>
      </c>
      <c r="AN568" s="111">
        <v>0</v>
      </c>
      <c r="AO568" s="112">
        <v>0</v>
      </c>
      <c r="AP568" s="111">
        <v>0</v>
      </c>
    </row>
    <row r="569" spans="1:42" ht="15">
      <c r="A569" s="65" t="s">
        <v>740</v>
      </c>
      <c r="B569" s="65" t="s">
        <v>786</v>
      </c>
      <c r="C569" s="66" t="s">
        <v>4509</v>
      </c>
      <c r="D569" s="67">
        <v>3</v>
      </c>
      <c r="E569" s="68"/>
      <c r="F569" s="69">
        <v>40</v>
      </c>
      <c r="G569" s="66"/>
      <c r="H569" s="70"/>
      <c r="I569" s="71"/>
      <c r="J569" s="71"/>
      <c r="K569" s="35" t="s">
        <v>65</v>
      </c>
      <c r="L569" s="79">
        <v>569</v>
      </c>
      <c r="M569" s="79"/>
      <c r="N569" s="73"/>
      <c r="O569" s="81" t="s">
        <v>788</v>
      </c>
      <c r="P569" s="81" t="s">
        <v>325</v>
      </c>
      <c r="Q569" s="84" t="s">
        <v>1352</v>
      </c>
      <c r="R569" s="81" t="s">
        <v>740</v>
      </c>
      <c r="S569" s="81" t="s">
        <v>1807</v>
      </c>
      <c r="T569" s="86" t="str">
        <f>HYPERLINK("http://www.youtube.com/channel/UCO0p5e6aM71m1xF4ObyN3wA")</f>
        <v>http://www.youtube.com/channel/UCO0p5e6aM71m1xF4ObyN3wA</v>
      </c>
      <c r="U569" s="81"/>
      <c r="V569" s="81" t="s">
        <v>1885</v>
      </c>
      <c r="W569" s="86" t="str">
        <f>HYPERLINK("https://www.youtube.com/watch?v=wadBvDPeE4E")</f>
        <v>https://www.youtube.com/watch?v=wadBvDPeE4E</v>
      </c>
      <c r="X569" s="81" t="s">
        <v>1886</v>
      </c>
      <c r="Y569" s="81">
        <v>0</v>
      </c>
      <c r="Z569" s="88">
        <v>44527.41940972222</v>
      </c>
      <c r="AA569" s="88">
        <v>44527.41940972222</v>
      </c>
      <c r="AB569" s="81"/>
      <c r="AC569" s="81"/>
      <c r="AD569" s="84" t="s">
        <v>1927</v>
      </c>
      <c r="AE569" s="82">
        <v>1</v>
      </c>
      <c r="AF569" s="83" t="str">
        <f>REPLACE(INDEX(GroupVertices[Group],MATCH(Edges[[#This Row],[Vertex 1]],GroupVertices[Vertex],0)),1,1,"")</f>
        <v>1</v>
      </c>
      <c r="AG569" s="83" t="str">
        <f>REPLACE(INDEX(GroupVertices[Group],MATCH(Edges[[#This Row],[Vertex 2]],GroupVertices[Vertex],0)),1,1,"")</f>
        <v>1</v>
      </c>
      <c r="AH569" s="111">
        <v>3</v>
      </c>
      <c r="AI569" s="112">
        <v>25</v>
      </c>
      <c r="AJ569" s="111">
        <v>1</v>
      </c>
      <c r="AK569" s="112">
        <v>8.333333333333334</v>
      </c>
      <c r="AL569" s="111">
        <v>0</v>
      </c>
      <c r="AM569" s="112">
        <v>0</v>
      </c>
      <c r="AN569" s="111">
        <v>8</v>
      </c>
      <c r="AO569" s="112">
        <v>66.66666666666667</v>
      </c>
      <c r="AP569" s="111">
        <v>12</v>
      </c>
    </row>
    <row r="570" spans="1:42" ht="15">
      <c r="A570" s="65" t="s">
        <v>741</v>
      </c>
      <c r="B570" s="65" t="s">
        <v>786</v>
      </c>
      <c r="C570" s="66" t="s">
        <v>4509</v>
      </c>
      <c r="D570" s="67">
        <v>3</v>
      </c>
      <c r="E570" s="68"/>
      <c r="F570" s="69">
        <v>40</v>
      </c>
      <c r="G570" s="66"/>
      <c r="H570" s="70"/>
      <c r="I570" s="71"/>
      <c r="J570" s="71"/>
      <c r="K570" s="35" t="s">
        <v>65</v>
      </c>
      <c r="L570" s="79">
        <v>570</v>
      </c>
      <c r="M570" s="79"/>
      <c r="N570" s="73"/>
      <c r="O570" s="81" t="s">
        <v>788</v>
      </c>
      <c r="P570" s="81" t="s">
        <v>325</v>
      </c>
      <c r="Q570" s="84" t="s">
        <v>1353</v>
      </c>
      <c r="R570" s="81" t="s">
        <v>741</v>
      </c>
      <c r="S570" s="81" t="s">
        <v>1808</v>
      </c>
      <c r="T570" s="86" t="str">
        <f>HYPERLINK("http://www.youtube.com/channel/UCNHAVAWLKzMRnAlgvEt53kQ")</f>
        <v>http://www.youtube.com/channel/UCNHAVAWLKzMRnAlgvEt53kQ</v>
      </c>
      <c r="U570" s="81"/>
      <c r="V570" s="81" t="s">
        <v>1885</v>
      </c>
      <c r="W570" s="86" t="str">
        <f>HYPERLINK("https://www.youtube.com/watch?v=wadBvDPeE4E")</f>
        <v>https://www.youtube.com/watch?v=wadBvDPeE4E</v>
      </c>
      <c r="X570" s="81" t="s">
        <v>1886</v>
      </c>
      <c r="Y570" s="81">
        <v>0</v>
      </c>
      <c r="Z570" s="88">
        <v>44540.12608796296</v>
      </c>
      <c r="AA570" s="88">
        <v>44540.12608796296</v>
      </c>
      <c r="AB570" s="81"/>
      <c r="AC570" s="81"/>
      <c r="AD570" s="84" t="s">
        <v>1927</v>
      </c>
      <c r="AE570" s="82">
        <v>1</v>
      </c>
      <c r="AF570" s="83" t="str">
        <f>REPLACE(INDEX(GroupVertices[Group],MATCH(Edges[[#This Row],[Vertex 1]],GroupVertices[Vertex],0)),1,1,"")</f>
        <v>1</v>
      </c>
      <c r="AG570" s="83" t="str">
        <f>REPLACE(INDEX(GroupVertices[Group],MATCH(Edges[[#This Row],[Vertex 2]],GroupVertices[Vertex],0)),1,1,"")</f>
        <v>1</v>
      </c>
      <c r="AH570" s="111">
        <v>1</v>
      </c>
      <c r="AI570" s="112">
        <v>14.285714285714286</v>
      </c>
      <c r="AJ570" s="111">
        <v>0</v>
      </c>
      <c r="AK570" s="112">
        <v>0</v>
      </c>
      <c r="AL570" s="111">
        <v>0</v>
      </c>
      <c r="AM570" s="112">
        <v>0</v>
      </c>
      <c r="AN570" s="111">
        <v>6</v>
      </c>
      <c r="AO570" s="112">
        <v>85.71428571428571</v>
      </c>
      <c r="AP570" s="111">
        <v>7</v>
      </c>
    </row>
    <row r="571" spans="1:42" ht="15">
      <c r="A571" s="65" t="s">
        <v>742</v>
      </c>
      <c r="B571" s="65" t="s">
        <v>786</v>
      </c>
      <c r="C571" s="66" t="s">
        <v>4509</v>
      </c>
      <c r="D571" s="67">
        <v>3</v>
      </c>
      <c r="E571" s="68"/>
      <c r="F571" s="69">
        <v>40</v>
      </c>
      <c r="G571" s="66"/>
      <c r="H571" s="70"/>
      <c r="I571" s="71"/>
      <c r="J571" s="71"/>
      <c r="K571" s="35" t="s">
        <v>65</v>
      </c>
      <c r="L571" s="79">
        <v>571</v>
      </c>
      <c r="M571" s="79"/>
      <c r="N571" s="73"/>
      <c r="O571" s="81" t="s">
        <v>788</v>
      </c>
      <c r="P571" s="81" t="s">
        <v>325</v>
      </c>
      <c r="Q571" s="84" t="s">
        <v>1354</v>
      </c>
      <c r="R571" s="81" t="s">
        <v>742</v>
      </c>
      <c r="S571" s="81" t="s">
        <v>1809</v>
      </c>
      <c r="T571" s="86" t="str">
        <f>HYPERLINK("http://www.youtube.com/channel/UCGfQTQX1BvX8-IyeCahPtBg")</f>
        <v>http://www.youtube.com/channel/UCGfQTQX1BvX8-IyeCahPtBg</v>
      </c>
      <c r="U571" s="81"/>
      <c r="V571" s="81" t="s">
        <v>1885</v>
      </c>
      <c r="W571" s="86" t="str">
        <f>HYPERLINK("https://www.youtube.com/watch?v=wadBvDPeE4E")</f>
        <v>https://www.youtube.com/watch?v=wadBvDPeE4E</v>
      </c>
      <c r="X571" s="81" t="s">
        <v>1886</v>
      </c>
      <c r="Y571" s="81">
        <v>0</v>
      </c>
      <c r="Z571" s="88">
        <v>44541.66607638889</v>
      </c>
      <c r="AA571" s="88">
        <v>44541.66607638889</v>
      </c>
      <c r="AB571" s="81"/>
      <c r="AC571" s="81"/>
      <c r="AD571" s="84" t="s">
        <v>1927</v>
      </c>
      <c r="AE571" s="82">
        <v>1</v>
      </c>
      <c r="AF571" s="83" t="str">
        <f>REPLACE(INDEX(GroupVertices[Group],MATCH(Edges[[#This Row],[Vertex 1]],GroupVertices[Vertex],0)),1,1,"")</f>
        <v>1</v>
      </c>
      <c r="AG571" s="83" t="str">
        <f>REPLACE(INDEX(GroupVertices[Group],MATCH(Edges[[#This Row],[Vertex 2]],GroupVertices[Vertex],0)),1,1,"")</f>
        <v>1</v>
      </c>
      <c r="AH571" s="111">
        <v>0</v>
      </c>
      <c r="AI571" s="112">
        <v>0</v>
      </c>
      <c r="AJ571" s="111">
        <v>1</v>
      </c>
      <c r="AK571" s="112">
        <v>4.166666666666667</v>
      </c>
      <c r="AL571" s="111">
        <v>0</v>
      </c>
      <c r="AM571" s="112">
        <v>0</v>
      </c>
      <c r="AN571" s="111">
        <v>23</v>
      </c>
      <c r="AO571" s="112">
        <v>95.83333333333333</v>
      </c>
      <c r="AP571" s="111">
        <v>24</v>
      </c>
    </row>
    <row r="572" spans="1:42" ht="15">
      <c r="A572" s="65" t="s">
        <v>743</v>
      </c>
      <c r="B572" s="65" t="s">
        <v>786</v>
      </c>
      <c r="C572" s="66" t="s">
        <v>4509</v>
      </c>
      <c r="D572" s="67">
        <v>3</v>
      </c>
      <c r="E572" s="68"/>
      <c r="F572" s="69">
        <v>40</v>
      </c>
      <c r="G572" s="66"/>
      <c r="H572" s="70"/>
      <c r="I572" s="71"/>
      <c r="J572" s="71"/>
      <c r="K572" s="35" t="s">
        <v>65</v>
      </c>
      <c r="L572" s="79">
        <v>572</v>
      </c>
      <c r="M572" s="79"/>
      <c r="N572" s="73"/>
      <c r="O572" s="81" t="s">
        <v>788</v>
      </c>
      <c r="P572" s="81" t="s">
        <v>325</v>
      </c>
      <c r="Q572" s="84" t="s">
        <v>1355</v>
      </c>
      <c r="R572" s="81" t="s">
        <v>743</v>
      </c>
      <c r="S572" s="81" t="s">
        <v>1810</v>
      </c>
      <c r="T572" s="86" t="str">
        <f>HYPERLINK("http://www.youtube.com/channel/UCN36iUXww9jexWYqBgaHoUg")</f>
        <v>http://www.youtube.com/channel/UCN36iUXww9jexWYqBgaHoUg</v>
      </c>
      <c r="U572" s="81"/>
      <c r="V572" s="81" t="s">
        <v>1885</v>
      </c>
      <c r="W572" s="86" t="str">
        <f>HYPERLINK("https://www.youtube.com/watch?v=wadBvDPeE4E")</f>
        <v>https://www.youtube.com/watch?v=wadBvDPeE4E</v>
      </c>
      <c r="X572" s="81" t="s">
        <v>1886</v>
      </c>
      <c r="Y572" s="81">
        <v>0</v>
      </c>
      <c r="Z572" s="88">
        <v>44546.54314814815</v>
      </c>
      <c r="AA572" s="88">
        <v>44546.54314814815</v>
      </c>
      <c r="AB572" s="81"/>
      <c r="AC572" s="81"/>
      <c r="AD572" s="84" t="s">
        <v>1927</v>
      </c>
      <c r="AE572" s="82">
        <v>1</v>
      </c>
      <c r="AF572" s="83" t="str">
        <f>REPLACE(INDEX(GroupVertices[Group],MATCH(Edges[[#This Row],[Vertex 1]],GroupVertices[Vertex],0)),1,1,"")</f>
        <v>1</v>
      </c>
      <c r="AG572" s="83" t="str">
        <f>REPLACE(INDEX(GroupVertices[Group],MATCH(Edges[[#This Row],[Vertex 2]],GroupVertices[Vertex],0)),1,1,"")</f>
        <v>1</v>
      </c>
      <c r="AH572" s="111">
        <v>1</v>
      </c>
      <c r="AI572" s="112">
        <v>5.555555555555555</v>
      </c>
      <c r="AJ572" s="111">
        <v>1</v>
      </c>
      <c r="AK572" s="112">
        <v>5.555555555555555</v>
      </c>
      <c r="AL572" s="111">
        <v>0</v>
      </c>
      <c r="AM572" s="112">
        <v>0</v>
      </c>
      <c r="AN572" s="111">
        <v>16</v>
      </c>
      <c r="AO572" s="112">
        <v>88.88888888888889</v>
      </c>
      <c r="AP572" s="111">
        <v>18</v>
      </c>
    </row>
    <row r="573" spans="1:42" ht="15">
      <c r="A573" s="65" t="s">
        <v>744</v>
      </c>
      <c r="B573" s="65" t="s">
        <v>786</v>
      </c>
      <c r="C573" s="66" t="s">
        <v>4509</v>
      </c>
      <c r="D573" s="67">
        <v>3</v>
      </c>
      <c r="E573" s="68"/>
      <c r="F573" s="69">
        <v>40</v>
      </c>
      <c r="G573" s="66"/>
      <c r="H573" s="70"/>
      <c r="I573" s="71"/>
      <c r="J573" s="71"/>
      <c r="K573" s="35" t="s">
        <v>65</v>
      </c>
      <c r="L573" s="79">
        <v>573</v>
      </c>
      <c r="M573" s="79"/>
      <c r="N573" s="73"/>
      <c r="O573" s="81" t="s">
        <v>788</v>
      </c>
      <c r="P573" s="81" t="s">
        <v>325</v>
      </c>
      <c r="Q573" s="84" t="s">
        <v>1356</v>
      </c>
      <c r="R573" s="81" t="s">
        <v>744</v>
      </c>
      <c r="S573" s="81" t="s">
        <v>1811</v>
      </c>
      <c r="T573" s="86" t="str">
        <f>HYPERLINK("http://www.youtube.com/channel/UCeCxGyTDldOY5LhiL42uT8A")</f>
        <v>http://www.youtube.com/channel/UCeCxGyTDldOY5LhiL42uT8A</v>
      </c>
      <c r="U573" s="81"/>
      <c r="V573" s="81" t="s">
        <v>1885</v>
      </c>
      <c r="W573" s="86" t="str">
        <f>HYPERLINK("https://www.youtube.com/watch?v=wadBvDPeE4E")</f>
        <v>https://www.youtube.com/watch?v=wadBvDPeE4E</v>
      </c>
      <c r="X573" s="81" t="s">
        <v>1886</v>
      </c>
      <c r="Y573" s="81">
        <v>0</v>
      </c>
      <c r="Z573" s="88">
        <v>44548.16137731481</v>
      </c>
      <c r="AA573" s="88">
        <v>44548.16137731481</v>
      </c>
      <c r="AB573" s="81"/>
      <c r="AC573" s="81"/>
      <c r="AD573" s="84" t="s">
        <v>1927</v>
      </c>
      <c r="AE573" s="82">
        <v>1</v>
      </c>
      <c r="AF573" s="83" t="str">
        <f>REPLACE(INDEX(GroupVertices[Group],MATCH(Edges[[#This Row],[Vertex 1]],GroupVertices[Vertex],0)),1,1,"")</f>
        <v>1</v>
      </c>
      <c r="AG573" s="83" t="str">
        <f>REPLACE(INDEX(GroupVertices[Group],MATCH(Edges[[#This Row],[Vertex 2]],GroupVertices[Vertex],0)),1,1,"")</f>
        <v>1</v>
      </c>
      <c r="AH573" s="111">
        <v>0</v>
      </c>
      <c r="AI573" s="112">
        <v>0</v>
      </c>
      <c r="AJ573" s="111">
        <v>4</v>
      </c>
      <c r="AK573" s="112">
        <v>20</v>
      </c>
      <c r="AL573" s="111">
        <v>0</v>
      </c>
      <c r="AM573" s="112">
        <v>0</v>
      </c>
      <c r="AN573" s="111">
        <v>16</v>
      </c>
      <c r="AO573" s="112">
        <v>80</v>
      </c>
      <c r="AP573" s="111">
        <v>20</v>
      </c>
    </row>
    <row r="574" spans="1:42" ht="15">
      <c r="A574" s="65" t="s">
        <v>745</v>
      </c>
      <c r="B574" s="65" t="s">
        <v>786</v>
      </c>
      <c r="C574" s="66" t="s">
        <v>4509</v>
      </c>
      <c r="D574" s="67">
        <v>3</v>
      </c>
      <c r="E574" s="68"/>
      <c r="F574" s="69">
        <v>40</v>
      </c>
      <c r="G574" s="66"/>
      <c r="H574" s="70"/>
      <c r="I574" s="71"/>
      <c r="J574" s="71"/>
      <c r="K574" s="35" t="s">
        <v>65</v>
      </c>
      <c r="L574" s="79">
        <v>574</v>
      </c>
      <c r="M574" s="79"/>
      <c r="N574" s="73"/>
      <c r="O574" s="81" t="s">
        <v>788</v>
      </c>
      <c r="P574" s="81" t="s">
        <v>325</v>
      </c>
      <c r="Q574" s="84" t="s">
        <v>1357</v>
      </c>
      <c r="R574" s="81" t="s">
        <v>745</v>
      </c>
      <c r="S574" s="81" t="s">
        <v>1812</v>
      </c>
      <c r="T574" s="86" t="str">
        <f>HYPERLINK("http://www.youtube.com/channel/UCdPSS_W6YNaDo19-3iVE7Og")</f>
        <v>http://www.youtube.com/channel/UCdPSS_W6YNaDo19-3iVE7Og</v>
      </c>
      <c r="U574" s="81"/>
      <c r="V574" s="81" t="s">
        <v>1885</v>
      </c>
      <c r="W574" s="86" t="str">
        <f>HYPERLINK("https://www.youtube.com/watch?v=wadBvDPeE4E")</f>
        <v>https://www.youtube.com/watch?v=wadBvDPeE4E</v>
      </c>
      <c r="X574" s="81" t="s">
        <v>1886</v>
      </c>
      <c r="Y574" s="81">
        <v>0</v>
      </c>
      <c r="Z574" s="88">
        <v>44548.61289351852</v>
      </c>
      <c r="AA574" s="88">
        <v>44548.623564814814</v>
      </c>
      <c r="AB574" s="81"/>
      <c r="AC574" s="81"/>
      <c r="AD574" s="84" t="s">
        <v>1927</v>
      </c>
      <c r="AE574" s="82">
        <v>1</v>
      </c>
      <c r="AF574" s="83" t="str">
        <f>REPLACE(INDEX(GroupVertices[Group],MATCH(Edges[[#This Row],[Vertex 1]],GroupVertices[Vertex],0)),1,1,"")</f>
        <v>1</v>
      </c>
      <c r="AG574" s="83" t="str">
        <f>REPLACE(INDEX(GroupVertices[Group],MATCH(Edges[[#This Row],[Vertex 2]],GroupVertices[Vertex],0)),1,1,"")</f>
        <v>1</v>
      </c>
      <c r="AH574" s="111">
        <v>0</v>
      </c>
      <c r="AI574" s="112">
        <v>0</v>
      </c>
      <c r="AJ574" s="111">
        <v>5</v>
      </c>
      <c r="AK574" s="112">
        <v>5.05050505050505</v>
      </c>
      <c r="AL574" s="111">
        <v>0</v>
      </c>
      <c r="AM574" s="112">
        <v>0</v>
      </c>
      <c r="AN574" s="111">
        <v>94</v>
      </c>
      <c r="AO574" s="112">
        <v>94.94949494949495</v>
      </c>
      <c r="AP574" s="111">
        <v>99</v>
      </c>
    </row>
    <row r="575" spans="1:42" ht="15">
      <c r="A575" s="65" t="s">
        <v>746</v>
      </c>
      <c r="B575" s="65" t="s">
        <v>786</v>
      </c>
      <c r="C575" s="66" t="s">
        <v>4509</v>
      </c>
      <c r="D575" s="67">
        <v>3</v>
      </c>
      <c r="E575" s="68"/>
      <c r="F575" s="69">
        <v>40</v>
      </c>
      <c r="G575" s="66"/>
      <c r="H575" s="70"/>
      <c r="I575" s="71"/>
      <c r="J575" s="71"/>
      <c r="K575" s="35" t="s">
        <v>65</v>
      </c>
      <c r="L575" s="79">
        <v>575</v>
      </c>
      <c r="M575" s="79"/>
      <c r="N575" s="73"/>
      <c r="O575" s="81" t="s">
        <v>788</v>
      </c>
      <c r="P575" s="81" t="s">
        <v>325</v>
      </c>
      <c r="Q575" s="84" t="s">
        <v>1358</v>
      </c>
      <c r="R575" s="81" t="s">
        <v>746</v>
      </c>
      <c r="S575" s="81" t="s">
        <v>1813</v>
      </c>
      <c r="T575" s="86" t="str">
        <f>HYPERLINK("http://www.youtube.com/channel/UCuA3G-mWkyY3NsZ7bgy4Xyw")</f>
        <v>http://www.youtube.com/channel/UCuA3G-mWkyY3NsZ7bgy4Xyw</v>
      </c>
      <c r="U575" s="81"/>
      <c r="V575" s="81" t="s">
        <v>1885</v>
      </c>
      <c r="W575" s="86" t="str">
        <f>HYPERLINK("https://www.youtube.com/watch?v=wadBvDPeE4E")</f>
        <v>https://www.youtube.com/watch?v=wadBvDPeE4E</v>
      </c>
      <c r="X575" s="81" t="s">
        <v>1886</v>
      </c>
      <c r="Y575" s="81">
        <v>2</v>
      </c>
      <c r="Z575" s="88">
        <v>44550.18430555556</v>
      </c>
      <c r="AA575" s="88">
        <v>44550.18430555556</v>
      </c>
      <c r="AB575" s="81"/>
      <c r="AC575" s="81"/>
      <c r="AD575" s="84" t="s">
        <v>1927</v>
      </c>
      <c r="AE575" s="82">
        <v>1</v>
      </c>
      <c r="AF575" s="83" t="str">
        <f>REPLACE(INDEX(GroupVertices[Group],MATCH(Edges[[#This Row],[Vertex 1]],GroupVertices[Vertex],0)),1,1,"")</f>
        <v>1</v>
      </c>
      <c r="AG575" s="83" t="str">
        <f>REPLACE(INDEX(GroupVertices[Group],MATCH(Edges[[#This Row],[Vertex 2]],GroupVertices[Vertex],0)),1,1,"")</f>
        <v>1</v>
      </c>
      <c r="AH575" s="111">
        <v>0</v>
      </c>
      <c r="AI575" s="112">
        <v>0</v>
      </c>
      <c r="AJ575" s="111">
        <v>0</v>
      </c>
      <c r="AK575" s="112">
        <v>0</v>
      </c>
      <c r="AL575" s="111">
        <v>0</v>
      </c>
      <c r="AM575" s="112">
        <v>0</v>
      </c>
      <c r="AN575" s="111">
        <v>2</v>
      </c>
      <c r="AO575" s="112">
        <v>100</v>
      </c>
      <c r="AP575" s="111">
        <v>2</v>
      </c>
    </row>
    <row r="576" spans="1:42" ht="15">
      <c r="A576" s="65" t="s">
        <v>747</v>
      </c>
      <c r="B576" s="65" t="s">
        <v>786</v>
      </c>
      <c r="C576" s="66" t="s">
        <v>4509</v>
      </c>
      <c r="D576" s="67">
        <v>3</v>
      </c>
      <c r="E576" s="68"/>
      <c r="F576" s="69">
        <v>40</v>
      </c>
      <c r="G576" s="66"/>
      <c r="H576" s="70"/>
      <c r="I576" s="71"/>
      <c r="J576" s="71"/>
      <c r="K576" s="35" t="s">
        <v>65</v>
      </c>
      <c r="L576" s="79">
        <v>576</v>
      </c>
      <c r="M576" s="79"/>
      <c r="N576" s="73"/>
      <c r="O576" s="81" t="s">
        <v>788</v>
      </c>
      <c r="P576" s="81" t="s">
        <v>325</v>
      </c>
      <c r="Q576" s="84" t="s">
        <v>1359</v>
      </c>
      <c r="R576" s="81" t="s">
        <v>747</v>
      </c>
      <c r="S576" s="81" t="s">
        <v>1814</v>
      </c>
      <c r="T576" s="86" t="str">
        <f>HYPERLINK("http://www.youtube.com/channel/UC7X7qkzqQNmra-HB0KrMQXA")</f>
        <v>http://www.youtube.com/channel/UC7X7qkzqQNmra-HB0KrMQXA</v>
      </c>
      <c r="U576" s="81"/>
      <c r="V576" s="81" t="s">
        <v>1885</v>
      </c>
      <c r="W576" s="86" t="str">
        <f>HYPERLINK("https://www.youtube.com/watch?v=wadBvDPeE4E")</f>
        <v>https://www.youtube.com/watch?v=wadBvDPeE4E</v>
      </c>
      <c r="X576" s="81" t="s">
        <v>1886</v>
      </c>
      <c r="Y576" s="81">
        <v>1</v>
      </c>
      <c r="Z576" s="88">
        <v>44550.22550925926</v>
      </c>
      <c r="AA576" s="88">
        <v>44550.2290162037</v>
      </c>
      <c r="AB576" s="81"/>
      <c r="AC576" s="81"/>
      <c r="AD576" s="84" t="s">
        <v>1927</v>
      </c>
      <c r="AE576" s="82">
        <v>1</v>
      </c>
      <c r="AF576" s="83" t="str">
        <f>REPLACE(INDEX(GroupVertices[Group],MATCH(Edges[[#This Row],[Vertex 1]],GroupVertices[Vertex],0)),1,1,"")</f>
        <v>1</v>
      </c>
      <c r="AG576" s="83" t="str">
        <f>REPLACE(INDEX(GroupVertices[Group],MATCH(Edges[[#This Row],[Vertex 2]],GroupVertices[Vertex],0)),1,1,"")</f>
        <v>1</v>
      </c>
      <c r="AH576" s="111">
        <v>2</v>
      </c>
      <c r="AI576" s="112">
        <v>5.882352941176471</v>
      </c>
      <c r="AJ576" s="111">
        <v>2</v>
      </c>
      <c r="AK576" s="112">
        <v>5.882352941176471</v>
      </c>
      <c r="AL576" s="111">
        <v>0</v>
      </c>
      <c r="AM576" s="112">
        <v>0</v>
      </c>
      <c r="AN576" s="111">
        <v>30</v>
      </c>
      <c r="AO576" s="112">
        <v>88.23529411764706</v>
      </c>
      <c r="AP576" s="111">
        <v>34</v>
      </c>
    </row>
    <row r="577" spans="1:42" ht="15">
      <c r="A577" s="65" t="s">
        <v>748</v>
      </c>
      <c r="B577" s="65" t="s">
        <v>786</v>
      </c>
      <c r="C577" s="66" t="s">
        <v>4509</v>
      </c>
      <c r="D577" s="67">
        <v>3</v>
      </c>
      <c r="E577" s="68"/>
      <c r="F577" s="69">
        <v>40</v>
      </c>
      <c r="G577" s="66"/>
      <c r="H577" s="70"/>
      <c r="I577" s="71"/>
      <c r="J577" s="71"/>
      <c r="K577" s="35" t="s">
        <v>65</v>
      </c>
      <c r="L577" s="79">
        <v>577</v>
      </c>
      <c r="M577" s="79"/>
      <c r="N577" s="73"/>
      <c r="O577" s="81" t="s">
        <v>788</v>
      </c>
      <c r="P577" s="81" t="s">
        <v>325</v>
      </c>
      <c r="Q577" s="84" t="s">
        <v>1360</v>
      </c>
      <c r="R577" s="81" t="s">
        <v>748</v>
      </c>
      <c r="S577" s="81" t="s">
        <v>1815</v>
      </c>
      <c r="T577" s="86" t="str">
        <f>HYPERLINK("http://www.youtube.com/channel/UCwPCR2Yp2n12JPO8lNKPX2w")</f>
        <v>http://www.youtube.com/channel/UCwPCR2Yp2n12JPO8lNKPX2w</v>
      </c>
      <c r="U577" s="81"/>
      <c r="V577" s="81" t="s">
        <v>1885</v>
      </c>
      <c r="W577" s="86" t="str">
        <f>HYPERLINK("https://www.youtube.com/watch?v=wadBvDPeE4E")</f>
        <v>https://www.youtube.com/watch?v=wadBvDPeE4E</v>
      </c>
      <c r="X577" s="81" t="s">
        <v>1886</v>
      </c>
      <c r="Y577" s="81">
        <v>2</v>
      </c>
      <c r="Z577" s="88">
        <v>44551.950520833336</v>
      </c>
      <c r="AA577" s="88">
        <v>44551.950520833336</v>
      </c>
      <c r="AB577" s="81"/>
      <c r="AC577" s="81"/>
      <c r="AD577" s="84" t="s">
        <v>1927</v>
      </c>
      <c r="AE577" s="82">
        <v>1</v>
      </c>
      <c r="AF577" s="83" t="str">
        <f>REPLACE(INDEX(GroupVertices[Group],MATCH(Edges[[#This Row],[Vertex 1]],GroupVertices[Vertex],0)),1,1,"")</f>
        <v>1</v>
      </c>
      <c r="AG577" s="83" t="str">
        <f>REPLACE(INDEX(GroupVertices[Group],MATCH(Edges[[#This Row],[Vertex 2]],GroupVertices[Vertex],0)),1,1,"")</f>
        <v>1</v>
      </c>
      <c r="AH577" s="111">
        <v>5</v>
      </c>
      <c r="AI577" s="112">
        <v>13.513513513513514</v>
      </c>
      <c r="AJ577" s="111">
        <v>0</v>
      </c>
      <c r="AK577" s="112">
        <v>0</v>
      </c>
      <c r="AL577" s="111">
        <v>0</v>
      </c>
      <c r="AM577" s="112">
        <v>0</v>
      </c>
      <c r="AN577" s="111">
        <v>32</v>
      </c>
      <c r="AO577" s="112">
        <v>86.48648648648648</v>
      </c>
      <c r="AP577" s="111">
        <v>37</v>
      </c>
    </row>
    <row r="578" spans="1:42" ht="15">
      <c r="A578" s="65" t="s">
        <v>749</v>
      </c>
      <c r="B578" s="65" t="s">
        <v>786</v>
      </c>
      <c r="C578" s="66" t="s">
        <v>4509</v>
      </c>
      <c r="D578" s="67">
        <v>3</v>
      </c>
      <c r="E578" s="68"/>
      <c r="F578" s="69">
        <v>40</v>
      </c>
      <c r="G578" s="66"/>
      <c r="H578" s="70"/>
      <c r="I578" s="71"/>
      <c r="J578" s="71"/>
      <c r="K578" s="35" t="s">
        <v>65</v>
      </c>
      <c r="L578" s="79">
        <v>578</v>
      </c>
      <c r="M578" s="79"/>
      <c r="N578" s="73"/>
      <c r="O578" s="81" t="s">
        <v>788</v>
      </c>
      <c r="P578" s="81" t="s">
        <v>325</v>
      </c>
      <c r="Q578" s="84" t="s">
        <v>1361</v>
      </c>
      <c r="R578" s="81" t="s">
        <v>749</v>
      </c>
      <c r="S578" s="81" t="s">
        <v>1816</v>
      </c>
      <c r="T578" s="86" t="str">
        <f>HYPERLINK("http://www.youtube.com/channel/UCPpFfdMH_Os5UBrLJPfL50w")</f>
        <v>http://www.youtube.com/channel/UCPpFfdMH_Os5UBrLJPfL50w</v>
      </c>
      <c r="U578" s="81"/>
      <c r="V578" s="81" t="s">
        <v>1885</v>
      </c>
      <c r="W578" s="86" t="str">
        <f>HYPERLINK("https://www.youtube.com/watch?v=wadBvDPeE4E")</f>
        <v>https://www.youtube.com/watch?v=wadBvDPeE4E</v>
      </c>
      <c r="X578" s="81" t="s">
        <v>1886</v>
      </c>
      <c r="Y578" s="81">
        <v>0</v>
      </c>
      <c r="Z578" s="88">
        <v>44554.60559027778</v>
      </c>
      <c r="AA578" s="88">
        <v>44554.60559027778</v>
      </c>
      <c r="AB578" s="81"/>
      <c r="AC578" s="81"/>
      <c r="AD578" s="84" t="s">
        <v>1927</v>
      </c>
      <c r="AE578" s="82">
        <v>1</v>
      </c>
      <c r="AF578" s="83" t="str">
        <f>REPLACE(INDEX(GroupVertices[Group],MATCH(Edges[[#This Row],[Vertex 1]],GroupVertices[Vertex],0)),1,1,"")</f>
        <v>1</v>
      </c>
      <c r="AG578" s="83" t="str">
        <f>REPLACE(INDEX(GroupVertices[Group],MATCH(Edges[[#This Row],[Vertex 2]],GroupVertices[Vertex],0)),1,1,"")</f>
        <v>1</v>
      </c>
      <c r="AH578" s="111">
        <v>2</v>
      </c>
      <c r="AI578" s="112">
        <v>5.2631578947368425</v>
      </c>
      <c r="AJ578" s="111">
        <v>3</v>
      </c>
      <c r="AK578" s="112">
        <v>7.894736842105263</v>
      </c>
      <c r="AL578" s="111">
        <v>0</v>
      </c>
      <c r="AM578" s="112">
        <v>0</v>
      </c>
      <c r="AN578" s="111">
        <v>33</v>
      </c>
      <c r="AO578" s="112">
        <v>86.84210526315789</v>
      </c>
      <c r="AP578" s="111">
        <v>38</v>
      </c>
    </row>
    <row r="579" spans="1:42" ht="15">
      <c r="A579" s="65" t="s">
        <v>750</v>
      </c>
      <c r="B579" s="65" t="s">
        <v>786</v>
      </c>
      <c r="C579" s="66" t="s">
        <v>4509</v>
      </c>
      <c r="D579" s="67">
        <v>3</v>
      </c>
      <c r="E579" s="68"/>
      <c r="F579" s="69">
        <v>40</v>
      </c>
      <c r="G579" s="66"/>
      <c r="H579" s="70"/>
      <c r="I579" s="71"/>
      <c r="J579" s="71"/>
      <c r="K579" s="35" t="s">
        <v>65</v>
      </c>
      <c r="L579" s="79">
        <v>579</v>
      </c>
      <c r="M579" s="79"/>
      <c r="N579" s="73"/>
      <c r="O579" s="81" t="s">
        <v>788</v>
      </c>
      <c r="P579" s="81" t="s">
        <v>325</v>
      </c>
      <c r="Q579" s="84" t="s">
        <v>1362</v>
      </c>
      <c r="R579" s="81" t="s">
        <v>750</v>
      </c>
      <c r="S579" s="81" t="s">
        <v>1817</v>
      </c>
      <c r="T579" s="86" t="str">
        <f>HYPERLINK("http://www.youtube.com/channel/UCpfYPqoVlTEwB0O3zBgPvuQ")</f>
        <v>http://www.youtube.com/channel/UCpfYPqoVlTEwB0O3zBgPvuQ</v>
      </c>
      <c r="U579" s="81"/>
      <c r="V579" s="81" t="s">
        <v>1885</v>
      </c>
      <c r="W579" s="86" t="str">
        <f>HYPERLINK("https://www.youtube.com/watch?v=wadBvDPeE4E")</f>
        <v>https://www.youtube.com/watch?v=wadBvDPeE4E</v>
      </c>
      <c r="X579" s="81" t="s">
        <v>1886</v>
      </c>
      <c r="Y579" s="81">
        <v>0</v>
      </c>
      <c r="Z579" s="88">
        <v>44558.56553240741</v>
      </c>
      <c r="AA579" s="88">
        <v>44558.56553240741</v>
      </c>
      <c r="AB579" s="81"/>
      <c r="AC579" s="81"/>
      <c r="AD579" s="84" t="s">
        <v>1927</v>
      </c>
      <c r="AE579" s="82">
        <v>1</v>
      </c>
      <c r="AF579" s="83" t="str">
        <f>REPLACE(INDEX(GroupVertices[Group],MATCH(Edges[[#This Row],[Vertex 1]],GroupVertices[Vertex],0)),1,1,"")</f>
        <v>1</v>
      </c>
      <c r="AG579" s="83" t="str">
        <f>REPLACE(INDEX(GroupVertices[Group],MATCH(Edges[[#This Row],[Vertex 2]],GroupVertices[Vertex],0)),1,1,"")</f>
        <v>1</v>
      </c>
      <c r="AH579" s="111">
        <v>0</v>
      </c>
      <c r="AI579" s="112">
        <v>0</v>
      </c>
      <c r="AJ579" s="111">
        <v>1</v>
      </c>
      <c r="AK579" s="112">
        <v>5</v>
      </c>
      <c r="AL579" s="111">
        <v>0</v>
      </c>
      <c r="AM579" s="112">
        <v>0</v>
      </c>
      <c r="AN579" s="111">
        <v>19</v>
      </c>
      <c r="AO579" s="112">
        <v>95</v>
      </c>
      <c r="AP579" s="111">
        <v>20</v>
      </c>
    </row>
    <row r="580" spans="1:42" ht="15">
      <c r="A580" s="65" t="s">
        <v>751</v>
      </c>
      <c r="B580" s="65" t="s">
        <v>786</v>
      </c>
      <c r="C580" s="66" t="s">
        <v>4509</v>
      </c>
      <c r="D580" s="67">
        <v>3</v>
      </c>
      <c r="E580" s="68"/>
      <c r="F580" s="69">
        <v>40</v>
      </c>
      <c r="G580" s="66"/>
      <c r="H580" s="70"/>
      <c r="I580" s="71"/>
      <c r="J580" s="71"/>
      <c r="K580" s="35" t="s">
        <v>65</v>
      </c>
      <c r="L580" s="79">
        <v>580</v>
      </c>
      <c r="M580" s="79"/>
      <c r="N580" s="73"/>
      <c r="O580" s="81" t="s">
        <v>788</v>
      </c>
      <c r="P580" s="81" t="s">
        <v>325</v>
      </c>
      <c r="Q580" s="84" t="s">
        <v>1363</v>
      </c>
      <c r="R580" s="81" t="s">
        <v>751</v>
      </c>
      <c r="S580" s="81" t="s">
        <v>1818</v>
      </c>
      <c r="T580" s="86" t="str">
        <f>HYPERLINK("http://www.youtube.com/channel/UCuLu-c3l1tEUguLA5EnzGbQ")</f>
        <v>http://www.youtube.com/channel/UCuLu-c3l1tEUguLA5EnzGbQ</v>
      </c>
      <c r="U580" s="81"/>
      <c r="V580" s="81" t="s">
        <v>1885</v>
      </c>
      <c r="W580" s="86" t="str">
        <f>HYPERLINK("https://www.youtube.com/watch?v=wadBvDPeE4E")</f>
        <v>https://www.youtube.com/watch?v=wadBvDPeE4E</v>
      </c>
      <c r="X580" s="81" t="s">
        <v>1886</v>
      </c>
      <c r="Y580" s="81">
        <v>0</v>
      </c>
      <c r="Z580" s="88">
        <v>44558.959027777775</v>
      </c>
      <c r="AA580" s="88">
        <v>44558.959027777775</v>
      </c>
      <c r="AB580" s="81"/>
      <c r="AC580" s="81"/>
      <c r="AD580" s="84" t="s">
        <v>1927</v>
      </c>
      <c r="AE580" s="82">
        <v>1</v>
      </c>
      <c r="AF580" s="83" t="str">
        <f>REPLACE(INDEX(GroupVertices[Group],MATCH(Edges[[#This Row],[Vertex 1]],GroupVertices[Vertex],0)),1,1,"")</f>
        <v>1</v>
      </c>
      <c r="AG580" s="83" t="str">
        <f>REPLACE(INDEX(GroupVertices[Group],MATCH(Edges[[#This Row],[Vertex 2]],GroupVertices[Vertex],0)),1,1,"")</f>
        <v>1</v>
      </c>
      <c r="AH580" s="111">
        <v>0</v>
      </c>
      <c r="AI580" s="112">
        <v>0</v>
      </c>
      <c r="AJ580" s="111">
        <v>0</v>
      </c>
      <c r="AK580" s="112">
        <v>0</v>
      </c>
      <c r="AL580" s="111">
        <v>0</v>
      </c>
      <c r="AM580" s="112">
        <v>0</v>
      </c>
      <c r="AN580" s="111">
        <v>17</v>
      </c>
      <c r="AO580" s="112">
        <v>100</v>
      </c>
      <c r="AP580" s="111">
        <v>17</v>
      </c>
    </row>
    <row r="581" spans="1:42" ht="15">
      <c r="A581" s="65" t="s">
        <v>752</v>
      </c>
      <c r="B581" s="65" t="s">
        <v>786</v>
      </c>
      <c r="C581" s="66" t="s">
        <v>4509</v>
      </c>
      <c r="D581" s="67">
        <v>3</v>
      </c>
      <c r="E581" s="68"/>
      <c r="F581" s="69">
        <v>40</v>
      </c>
      <c r="G581" s="66"/>
      <c r="H581" s="70"/>
      <c r="I581" s="71"/>
      <c r="J581" s="71"/>
      <c r="K581" s="35" t="s">
        <v>65</v>
      </c>
      <c r="L581" s="79">
        <v>581</v>
      </c>
      <c r="M581" s="79"/>
      <c r="N581" s="73"/>
      <c r="O581" s="81" t="s">
        <v>788</v>
      </c>
      <c r="P581" s="81" t="s">
        <v>325</v>
      </c>
      <c r="Q581" s="84" t="s">
        <v>1364</v>
      </c>
      <c r="R581" s="81" t="s">
        <v>752</v>
      </c>
      <c r="S581" s="81" t="s">
        <v>1819</v>
      </c>
      <c r="T581" s="86" t="str">
        <f>HYPERLINK("http://www.youtube.com/channel/UCstLkHpFmLnMF1gg8R1Cwgw")</f>
        <v>http://www.youtube.com/channel/UCstLkHpFmLnMF1gg8R1Cwgw</v>
      </c>
      <c r="U581" s="81"/>
      <c r="V581" s="81" t="s">
        <v>1885</v>
      </c>
      <c r="W581" s="86" t="str">
        <f>HYPERLINK("https://www.youtube.com/watch?v=wadBvDPeE4E")</f>
        <v>https://www.youtube.com/watch?v=wadBvDPeE4E</v>
      </c>
      <c r="X581" s="81" t="s">
        <v>1886</v>
      </c>
      <c r="Y581" s="81">
        <v>0</v>
      </c>
      <c r="Z581" s="88">
        <v>44559.13355324074</v>
      </c>
      <c r="AA581" s="88">
        <v>44559.13355324074</v>
      </c>
      <c r="AB581" s="81"/>
      <c r="AC581" s="81"/>
      <c r="AD581" s="84" t="s">
        <v>1927</v>
      </c>
      <c r="AE581" s="82">
        <v>1</v>
      </c>
      <c r="AF581" s="83" t="str">
        <f>REPLACE(INDEX(GroupVertices[Group],MATCH(Edges[[#This Row],[Vertex 1]],GroupVertices[Vertex],0)),1,1,"")</f>
        <v>1</v>
      </c>
      <c r="AG581" s="83" t="str">
        <f>REPLACE(INDEX(GroupVertices[Group],MATCH(Edges[[#This Row],[Vertex 2]],GroupVertices[Vertex],0)),1,1,"")</f>
        <v>1</v>
      </c>
      <c r="AH581" s="111">
        <v>0</v>
      </c>
      <c r="AI581" s="112">
        <v>0</v>
      </c>
      <c r="AJ581" s="111">
        <v>0</v>
      </c>
      <c r="AK581" s="112">
        <v>0</v>
      </c>
      <c r="AL581" s="111">
        <v>0</v>
      </c>
      <c r="AM581" s="112">
        <v>0</v>
      </c>
      <c r="AN581" s="111">
        <v>6</v>
      </c>
      <c r="AO581" s="112">
        <v>100</v>
      </c>
      <c r="AP581" s="111">
        <v>6</v>
      </c>
    </row>
    <row r="582" spans="1:42" ht="15">
      <c r="A582" s="65" t="s">
        <v>753</v>
      </c>
      <c r="B582" s="65" t="s">
        <v>786</v>
      </c>
      <c r="C582" s="66" t="s">
        <v>4509</v>
      </c>
      <c r="D582" s="67">
        <v>3</v>
      </c>
      <c r="E582" s="68"/>
      <c r="F582" s="69">
        <v>40</v>
      </c>
      <c r="G582" s="66"/>
      <c r="H582" s="70"/>
      <c r="I582" s="71"/>
      <c r="J582" s="71"/>
      <c r="K582" s="35" t="s">
        <v>65</v>
      </c>
      <c r="L582" s="79">
        <v>582</v>
      </c>
      <c r="M582" s="79"/>
      <c r="N582" s="73"/>
      <c r="O582" s="81" t="s">
        <v>788</v>
      </c>
      <c r="P582" s="81" t="s">
        <v>325</v>
      </c>
      <c r="Q582" s="84" t="s">
        <v>1365</v>
      </c>
      <c r="R582" s="81" t="s">
        <v>753</v>
      </c>
      <c r="S582" s="81" t="s">
        <v>1820</v>
      </c>
      <c r="T582" s="86" t="str">
        <f>HYPERLINK("http://www.youtube.com/channel/UCDIE4nObtn_nqJ6AnSAOijg")</f>
        <v>http://www.youtube.com/channel/UCDIE4nObtn_nqJ6AnSAOijg</v>
      </c>
      <c r="U582" s="81"/>
      <c r="V582" s="81" t="s">
        <v>1885</v>
      </c>
      <c r="W582" s="86" t="str">
        <f>HYPERLINK("https://www.youtube.com/watch?v=wadBvDPeE4E")</f>
        <v>https://www.youtube.com/watch?v=wadBvDPeE4E</v>
      </c>
      <c r="X582" s="81" t="s">
        <v>1886</v>
      </c>
      <c r="Y582" s="81">
        <v>0</v>
      </c>
      <c r="Z582" s="88">
        <v>44563.03314814815</v>
      </c>
      <c r="AA582" s="88">
        <v>44563.03314814815</v>
      </c>
      <c r="AB582" s="81"/>
      <c r="AC582" s="81"/>
      <c r="AD582" s="84" t="s">
        <v>1927</v>
      </c>
      <c r="AE582" s="82">
        <v>1</v>
      </c>
      <c r="AF582" s="83" t="str">
        <f>REPLACE(INDEX(GroupVertices[Group],MATCH(Edges[[#This Row],[Vertex 1]],GroupVertices[Vertex],0)),1,1,"")</f>
        <v>1</v>
      </c>
      <c r="AG582" s="83" t="str">
        <f>REPLACE(INDEX(GroupVertices[Group],MATCH(Edges[[#This Row],[Vertex 2]],GroupVertices[Vertex],0)),1,1,"")</f>
        <v>1</v>
      </c>
      <c r="AH582" s="111">
        <v>10</v>
      </c>
      <c r="AI582" s="112">
        <v>4.3478260869565215</v>
      </c>
      <c r="AJ582" s="111">
        <v>13</v>
      </c>
      <c r="AK582" s="112">
        <v>5.6521739130434785</v>
      </c>
      <c r="AL582" s="111">
        <v>0</v>
      </c>
      <c r="AM582" s="112">
        <v>0</v>
      </c>
      <c r="AN582" s="111">
        <v>207</v>
      </c>
      <c r="AO582" s="112">
        <v>90</v>
      </c>
      <c r="AP582" s="111">
        <v>230</v>
      </c>
    </row>
    <row r="583" spans="1:42" ht="15">
      <c r="A583" s="65" t="s">
        <v>754</v>
      </c>
      <c r="B583" s="65" t="s">
        <v>786</v>
      </c>
      <c r="C583" s="66" t="s">
        <v>4509</v>
      </c>
      <c r="D583" s="67">
        <v>3</v>
      </c>
      <c r="E583" s="68"/>
      <c r="F583" s="69">
        <v>40</v>
      </c>
      <c r="G583" s="66"/>
      <c r="H583" s="70"/>
      <c r="I583" s="71"/>
      <c r="J583" s="71"/>
      <c r="K583" s="35" t="s">
        <v>65</v>
      </c>
      <c r="L583" s="79">
        <v>583</v>
      </c>
      <c r="M583" s="79"/>
      <c r="N583" s="73"/>
      <c r="O583" s="81" t="s">
        <v>788</v>
      </c>
      <c r="P583" s="81" t="s">
        <v>325</v>
      </c>
      <c r="Q583" s="84" t="s">
        <v>1366</v>
      </c>
      <c r="R583" s="81" t="s">
        <v>754</v>
      </c>
      <c r="S583" s="81" t="s">
        <v>1821</v>
      </c>
      <c r="T583" s="86" t="str">
        <f>HYPERLINK("http://www.youtube.com/channel/UCpd5AQ6E9NR3G4EfHRyaB9w")</f>
        <v>http://www.youtube.com/channel/UCpd5AQ6E9NR3G4EfHRyaB9w</v>
      </c>
      <c r="U583" s="81"/>
      <c r="V583" s="81" t="s">
        <v>1885</v>
      </c>
      <c r="W583" s="86" t="str">
        <f>HYPERLINK("https://www.youtube.com/watch?v=wadBvDPeE4E")</f>
        <v>https://www.youtube.com/watch?v=wadBvDPeE4E</v>
      </c>
      <c r="X583" s="81" t="s">
        <v>1886</v>
      </c>
      <c r="Y583" s="81">
        <v>0</v>
      </c>
      <c r="Z583" s="88">
        <v>44563.11766203704</v>
      </c>
      <c r="AA583" s="88">
        <v>44563.11766203704</v>
      </c>
      <c r="AB583" s="81"/>
      <c r="AC583" s="81"/>
      <c r="AD583" s="84" t="s">
        <v>1927</v>
      </c>
      <c r="AE583" s="82">
        <v>1</v>
      </c>
      <c r="AF583" s="83" t="str">
        <f>REPLACE(INDEX(GroupVertices[Group],MATCH(Edges[[#This Row],[Vertex 1]],GroupVertices[Vertex],0)),1,1,"")</f>
        <v>1</v>
      </c>
      <c r="AG583" s="83" t="str">
        <f>REPLACE(INDEX(GroupVertices[Group],MATCH(Edges[[#This Row],[Vertex 2]],GroupVertices[Vertex],0)),1,1,"")</f>
        <v>1</v>
      </c>
      <c r="AH583" s="111">
        <v>0</v>
      </c>
      <c r="AI583" s="112">
        <v>0</v>
      </c>
      <c r="AJ583" s="111">
        <v>1</v>
      </c>
      <c r="AK583" s="112">
        <v>100</v>
      </c>
      <c r="AL583" s="111">
        <v>0</v>
      </c>
      <c r="AM583" s="112">
        <v>0</v>
      </c>
      <c r="AN583" s="111">
        <v>0</v>
      </c>
      <c r="AO583" s="112">
        <v>0</v>
      </c>
      <c r="AP583" s="111">
        <v>1</v>
      </c>
    </row>
    <row r="584" spans="1:42" ht="15">
      <c r="A584" s="65" t="s">
        <v>755</v>
      </c>
      <c r="B584" s="65" t="s">
        <v>786</v>
      </c>
      <c r="C584" s="66" t="s">
        <v>4509</v>
      </c>
      <c r="D584" s="67">
        <v>3</v>
      </c>
      <c r="E584" s="68"/>
      <c r="F584" s="69">
        <v>40</v>
      </c>
      <c r="G584" s="66"/>
      <c r="H584" s="70"/>
      <c r="I584" s="71"/>
      <c r="J584" s="71"/>
      <c r="K584" s="35" t="s">
        <v>65</v>
      </c>
      <c r="L584" s="79">
        <v>584</v>
      </c>
      <c r="M584" s="79"/>
      <c r="N584" s="73"/>
      <c r="O584" s="81" t="s">
        <v>788</v>
      </c>
      <c r="P584" s="81" t="s">
        <v>325</v>
      </c>
      <c r="Q584" s="84" t="s">
        <v>1367</v>
      </c>
      <c r="R584" s="81" t="s">
        <v>755</v>
      </c>
      <c r="S584" s="81" t="s">
        <v>1822</v>
      </c>
      <c r="T584" s="86" t="str">
        <f>HYPERLINK("http://www.youtube.com/channel/UCwkW3Xy5eamGPKnyIdSyEMg")</f>
        <v>http://www.youtube.com/channel/UCwkW3Xy5eamGPKnyIdSyEMg</v>
      </c>
      <c r="U584" s="81"/>
      <c r="V584" s="81" t="s">
        <v>1885</v>
      </c>
      <c r="W584" s="86" t="str">
        <f>HYPERLINK("https://www.youtube.com/watch?v=wadBvDPeE4E")</f>
        <v>https://www.youtube.com/watch?v=wadBvDPeE4E</v>
      </c>
      <c r="X584" s="81" t="s">
        <v>1886</v>
      </c>
      <c r="Y584" s="81">
        <v>0</v>
      </c>
      <c r="Z584" s="88">
        <v>44563.72707175926</v>
      </c>
      <c r="AA584" s="88">
        <v>44563.728854166664</v>
      </c>
      <c r="AB584" s="81"/>
      <c r="AC584" s="81"/>
      <c r="AD584" s="84" t="s">
        <v>1927</v>
      </c>
      <c r="AE584" s="82">
        <v>1</v>
      </c>
      <c r="AF584" s="83" t="str">
        <f>REPLACE(INDEX(GroupVertices[Group],MATCH(Edges[[#This Row],[Vertex 1]],GroupVertices[Vertex],0)),1,1,"")</f>
        <v>1</v>
      </c>
      <c r="AG584" s="83" t="str">
        <f>REPLACE(INDEX(GroupVertices[Group],MATCH(Edges[[#This Row],[Vertex 2]],GroupVertices[Vertex],0)),1,1,"")</f>
        <v>1</v>
      </c>
      <c r="AH584" s="111">
        <v>6</v>
      </c>
      <c r="AI584" s="112">
        <v>6.451612903225806</v>
      </c>
      <c r="AJ584" s="111">
        <v>0</v>
      </c>
      <c r="AK584" s="112">
        <v>0</v>
      </c>
      <c r="AL584" s="111">
        <v>0</v>
      </c>
      <c r="AM584" s="112">
        <v>0</v>
      </c>
      <c r="AN584" s="111">
        <v>87</v>
      </c>
      <c r="AO584" s="112">
        <v>93.54838709677419</v>
      </c>
      <c r="AP584" s="111">
        <v>93</v>
      </c>
    </row>
    <row r="585" spans="1:42" ht="15">
      <c r="A585" s="65" t="s">
        <v>756</v>
      </c>
      <c r="B585" s="65" t="s">
        <v>786</v>
      </c>
      <c r="C585" s="66" t="s">
        <v>4509</v>
      </c>
      <c r="D585" s="67">
        <v>3</v>
      </c>
      <c r="E585" s="68"/>
      <c r="F585" s="69">
        <v>40</v>
      </c>
      <c r="G585" s="66"/>
      <c r="H585" s="70"/>
      <c r="I585" s="71"/>
      <c r="J585" s="71"/>
      <c r="K585" s="35" t="s">
        <v>65</v>
      </c>
      <c r="L585" s="79">
        <v>585</v>
      </c>
      <c r="M585" s="79"/>
      <c r="N585" s="73"/>
      <c r="O585" s="81" t="s">
        <v>788</v>
      </c>
      <c r="P585" s="81" t="s">
        <v>325</v>
      </c>
      <c r="Q585" s="84" t="s">
        <v>1368</v>
      </c>
      <c r="R585" s="81" t="s">
        <v>756</v>
      </c>
      <c r="S585" s="81" t="s">
        <v>1823</v>
      </c>
      <c r="T585" s="86" t="str">
        <f>HYPERLINK("http://www.youtube.com/channel/UCRcd6UqY4rydW00AIWLX8SA")</f>
        <v>http://www.youtube.com/channel/UCRcd6UqY4rydW00AIWLX8SA</v>
      </c>
      <c r="U585" s="81"/>
      <c r="V585" s="81" t="s">
        <v>1885</v>
      </c>
      <c r="W585" s="86" t="str">
        <f>HYPERLINK("https://www.youtube.com/watch?v=wadBvDPeE4E")</f>
        <v>https://www.youtube.com/watch?v=wadBvDPeE4E</v>
      </c>
      <c r="X585" s="81" t="s">
        <v>1886</v>
      </c>
      <c r="Y585" s="81">
        <v>0</v>
      </c>
      <c r="Z585" s="88">
        <v>44564.68054398148</v>
      </c>
      <c r="AA585" s="88">
        <v>44564.68054398148</v>
      </c>
      <c r="AB585" s="81"/>
      <c r="AC585" s="81"/>
      <c r="AD585" s="84" t="s">
        <v>1927</v>
      </c>
      <c r="AE585" s="82">
        <v>1</v>
      </c>
      <c r="AF585" s="83" t="str">
        <f>REPLACE(INDEX(GroupVertices[Group],MATCH(Edges[[#This Row],[Vertex 1]],GroupVertices[Vertex],0)),1,1,"")</f>
        <v>1</v>
      </c>
      <c r="AG585" s="83" t="str">
        <f>REPLACE(INDEX(GroupVertices[Group],MATCH(Edges[[#This Row],[Vertex 2]],GroupVertices[Vertex],0)),1,1,"")</f>
        <v>1</v>
      </c>
      <c r="AH585" s="111">
        <v>1</v>
      </c>
      <c r="AI585" s="112">
        <v>7.142857142857143</v>
      </c>
      <c r="AJ585" s="111">
        <v>0</v>
      </c>
      <c r="AK585" s="112">
        <v>0</v>
      </c>
      <c r="AL585" s="111">
        <v>0</v>
      </c>
      <c r="AM585" s="112">
        <v>0</v>
      </c>
      <c r="AN585" s="111">
        <v>13</v>
      </c>
      <c r="AO585" s="112">
        <v>92.85714285714286</v>
      </c>
      <c r="AP585" s="111">
        <v>14</v>
      </c>
    </row>
    <row r="586" spans="1:42" ht="15">
      <c r="A586" s="65" t="s">
        <v>757</v>
      </c>
      <c r="B586" s="65" t="s">
        <v>786</v>
      </c>
      <c r="C586" s="66" t="s">
        <v>4509</v>
      </c>
      <c r="D586" s="67">
        <v>3</v>
      </c>
      <c r="E586" s="68"/>
      <c r="F586" s="69">
        <v>40</v>
      </c>
      <c r="G586" s="66"/>
      <c r="H586" s="70"/>
      <c r="I586" s="71"/>
      <c r="J586" s="71"/>
      <c r="K586" s="35" t="s">
        <v>65</v>
      </c>
      <c r="L586" s="79">
        <v>586</v>
      </c>
      <c r="M586" s="79"/>
      <c r="N586" s="73"/>
      <c r="O586" s="81" t="s">
        <v>788</v>
      </c>
      <c r="P586" s="81" t="s">
        <v>325</v>
      </c>
      <c r="Q586" s="84" t="s">
        <v>1369</v>
      </c>
      <c r="R586" s="81" t="s">
        <v>757</v>
      </c>
      <c r="S586" s="81" t="s">
        <v>1824</v>
      </c>
      <c r="T586" s="86" t="str">
        <f>HYPERLINK("http://www.youtube.com/channel/UCX0bE8mKUvuaeANFHT3oTzg")</f>
        <v>http://www.youtube.com/channel/UCX0bE8mKUvuaeANFHT3oTzg</v>
      </c>
      <c r="U586" s="81"/>
      <c r="V586" s="81" t="s">
        <v>1885</v>
      </c>
      <c r="W586" s="86" t="str">
        <f>HYPERLINK("https://www.youtube.com/watch?v=wadBvDPeE4E")</f>
        <v>https://www.youtube.com/watch?v=wadBvDPeE4E</v>
      </c>
      <c r="X586" s="81" t="s">
        <v>1886</v>
      </c>
      <c r="Y586" s="81">
        <v>0</v>
      </c>
      <c r="Z586" s="88">
        <v>44580.6268287037</v>
      </c>
      <c r="AA586" s="88">
        <v>44580.6268287037</v>
      </c>
      <c r="AB586" s="81"/>
      <c r="AC586" s="81"/>
      <c r="AD586" s="84" t="s">
        <v>1927</v>
      </c>
      <c r="AE586" s="82">
        <v>1</v>
      </c>
      <c r="AF586" s="83" t="str">
        <f>REPLACE(INDEX(GroupVertices[Group],MATCH(Edges[[#This Row],[Vertex 1]],GroupVertices[Vertex],0)),1,1,"")</f>
        <v>1</v>
      </c>
      <c r="AG586" s="83" t="str">
        <f>REPLACE(INDEX(GroupVertices[Group],MATCH(Edges[[#This Row],[Vertex 2]],GroupVertices[Vertex],0)),1,1,"")</f>
        <v>1</v>
      </c>
      <c r="AH586" s="111">
        <v>0</v>
      </c>
      <c r="AI586" s="112">
        <v>0</v>
      </c>
      <c r="AJ586" s="111">
        <v>1</v>
      </c>
      <c r="AK586" s="112">
        <v>2.127659574468085</v>
      </c>
      <c r="AL586" s="111">
        <v>0</v>
      </c>
      <c r="AM586" s="112">
        <v>0</v>
      </c>
      <c r="AN586" s="111">
        <v>46</v>
      </c>
      <c r="AO586" s="112">
        <v>97.87234042553192</v>
      </c>
      <c r="AP586" s="111">
        <v>47</v>
      </c>
    </row>
    <row r="587" spans="1:42" ht="15">
      <c r="A587" s="65" t="s">
        <v>758</v>
      </c>
      <c r="B587" s="65" t="s">
        <v>786</v>
      </c>
      <c r="C587" s="66" t="s">
        <v>4509</v>
      </c>
      <c r="D587" s="67">
        <v>3</v>
      </c>
      <c r="E587" s="68"/>
      <c r="F587" s="69">
        <v>40</v>
      </c>
      <c r="G587" s="66"/>
      <c r="H587" s="70"/>
      <c r="I587" s="71"/>
      <c r="J587" s="71"/>
      <c r="K587" s="35" t="s">
        <v>65</v>
      </c>
      <c r="L587" s="79">
        <v>587</v>
      </c>
      <c r="M587" s="79"/>
      <c r="N587" s="73"/>
      <c r="O587" s="81" t="s">
        <v>788</v>
      </c>
      <c r="P587" s="81" t="s">
        <v>325</v>
      </c>
      <c r="Q587" s="84" t="s">
        <v>1370</v>
      </c>
      <c r="R587" s="81" t="s">
        <v>758</v>
      </c>
      <c r="S587" s="81" t="s">
        <v>1825</v>
      </c>
      <c r="T587" s="86" t="str">
        <f>HYPERLINK("http://www.youtube.com/channel/UC5-EFY8q_zKzSqK_ENoEI7g")</f>
        <v>http://www.youtube.com/channel/UC5-EFY8q_zKzSqK_ENoEI7g</v>
      </c>
      <c r="U587" s="81"/>
      <c r="V587" s="81" t="s">
        <v>1885</v>
      </c>
      <c r="W587" s="86" t="str">
        <f>HYPERLINK("https://www.youtube.com/watch?v=wadBvDPeE4E")</f>
        <v>https://www.youtube.com/watch?v=wadBvDPeE4E</v>
      </c>
      <c r="X587" s="81" t="s">
        <v>1886</v>
      </c>
      <c r="Y587" s="81">
        <v>0</v>
      </c>
      <c r="Z587" s="88">
        <v>44584.25802083333</v>
      </c>
      <c r="AA587" s="88">
        <v>44584.25802083333</v>
      </c>
      <c r="AB587" s="81"/>
      <c r="AC587" s="81"/>
      <c r="AD587" s="84" t="s">
        <v>1927</v>
      </c>
      <c r="AE587" s="82">
        <v>1</v>
      </c>
      <c r="AF587" s="83" t="str">
        <f>REPLACE(INDEX(GroupVertices[Group],MATCH(Edges[[#This Row],[Vertex 1]],GroupVertices[Vertex],0)),1,1,"")</f>
        <v>1</v>
      </c>
      <c r="AG587" s="83" t="str">
        <f>REPLACE(INDEX(GroupVertices[Group],MATCH(Edges[[#This Row],[Vertex 2]],GroupVertices[Vertex],0)),1,1,"")</f>
        <v>1</v>
      </c>
      <c r="AH587" s="111">
        <v>2</v>
      </c>
      <c r="AI587" s="112">
        <v>6.896551724137931</v>
      </c>
      <c r="AJ587" s="111">
        <v>0</v>
      </c>
      <c r="AK587" s="112">
        <v>0</v>
      </c>
      <c r="AL587" s="111">
        <v>0</v>
      </c>
      <c r="AM587" s="112">
        <v>0</v>
      </c>
      <c r="AN587" s="111">
        <v>27</v>
      </c>
      <c r="AO587" s="112">
        <v>93.10344827586206</v>
      </c>
      <c r="AP587" s="111">
        <v>29</v>
      </c>
    </row>
    <row r="588" spans="1:42" ht="15">
      <c r="A588" s="65" t="s">
        <v>759</v>
      </c>
      <c r="B588" s="65" t="s">
        <v>786</v>
      </c>
      <c r="C588" s="66" t="s">
        <v>4509</v>
      </c>
      <c r="D588" s="67">
        <v>3</v>
      </c>
      <c r="E588" s="68"/>
      <c r="F588" s="69">
        <v>40</v>
      </c>
      <c r="G588" s="66"/>
      <c r="H588" s="70"/>
      <c r="I588" s="71"/>
      <c r="J588" s="71"/>
      <c r="K588" s="35" t="s">
        <v>65</v>
      </c>
      <c r="L588" s="79">
        <v>588</v>
      </c>
      <c r="M588" s="79"/>
      <c r="N588" s="73"/>
      <c r="O588" s="81" t="s">
        <v>788</v>
      </c>
      <c r="P588" s="81" t="s">
        <v>325</v>
      </c>
      <c r="Q588" s="84" t="s">
        <v>1371</v>
      </c>
      <c r="R588" s="81" t="s">
        <v>759</v>
      </c>
      <c r="S588" s="81" t="s">
        <v>1826</v>
      </c>
      <c r="T588" s="86" t="str">
        <f>HYPERLINK("http://www.youtube.com/channel/UC1yYSZzrlCEPm3mH74t3H6g")</f>
        <v>http://www.youtube.com/channel/UC1yYSZzrlCEPm3mH74t3H6g</v>
      </c>
      <c r="U588" s="81"/>
      <c r="V588" s="81" t="s">
        <v>1885</v>
      </c>
      <c r="W588" s="86" t="str">
        <f>HYPERLINK("https://www.youtube.com/watch?v=wadBvDPeE4E")</f>
        <v>https://www.youtube.com/watch?v=wadBvDPeE4E</v>
      </c>
      <c r="X588" s="81" t="s">
        <v>1886</v>
      </c>
      <c r="Y588" s="81">
        <v>0</v>
      </c>
      <c r="Z588" s="88">
        <v>44587.21900462963</v>
      </c>
      <c r="AA588" s="88">
        <v>44587.21900462963</v>
      </c>
      <c r="AB588" s="81"/>
      <c r="AC588" s="81"/>
      <c r="AD588" s="84" t="s">
        <v>1927</v>
      </c>
      <c r="AE588" s="82">
        <v>1</v>
      </c>
      <c r="AF588" s="83" t="str">
        <f>REPLACE(INDEX(GroupVertices[Group],MATCH(Edges[[#This Row],[Vertex 1]],GroupVertices[Vertex],0)),1,1,"")</f>
        <v>1</v>
      </c>
      <c r="AG588" s="83" t="str">
        <f>REPLACE(INDEX(GroupVertices[Group],MATCH(Edges[[#This Row],[Vertex 2]],GroupVertices[Vertex],0)),1,1,"")</f>
        <v>1</v>
      </c>
      <c r="AH588" s="111">
        <v>0</v>
      </c>
      <c r="AI588" s="112">
        <v>0</v>
      </c>
      <c r="AJ588" s="111">
        <v>0</v>
      </c>
      <c r="AK588" s="112">
        <v>0</v>
      </c>
      <c r="AL588" s="111">
        <v>0</v>
      </c>
      <c r="AM588" s="112">
        <v>0</v>
      </c>
      <c r="AN588" s="111">
        <v>0</v>
      </c>
      <c r="AO588" s="112">
        <v>0</v>
      </c>
      <c r="AP588" s="111">
        <v>0</v>
      </c>
    </row>
    <row r="589" spans="1:42" ht="15">
      <c r="A589" s="65" t="s">
        <v>760</v>
      </c>
      <c r="B589" s="65" t="s">
        <v>761</v>
      </c>
      <c r="C589" s="66" t="s">
        <v>4509</v>
      </c>
      <c r="D589" s="67">
        <v>3</v>
      </c>
      <c r="E589" s="68"/>
      <c r="F589" s="69">
        <v>40</v>
      </c>
      <c r="G589" s="66"/>
      <c r="H589" s="70"/>
      <c r="I589" s="71"/>
      <c r="J589" s="71"/>
      <c r="K589" s="35" t="s">
        <v>65</v>
      </c>
      <c r="L589" s="79">
        <v>589</v>
      </c>
      <c r="M589" s="79"/>
      <c r="N589" s="73"/>
      <c r="O589" s="81" t="s">
        <v>789</v>
      </c>
      <c r="P589" s="81" t="s">
        <v>791</v>
      </c>
      <c r="Q589" s="84" t="s">
        <v>1372</v>
      </c>
      <c r="R589" s="81" t="s">
        <v>760</v>
      </c>
      <c r="S589" s="81" t="s">
        <v>1827</v>
      </c>
      <c r="T589" s="86" t="str">
        <f>HYPERLINK("http://www.youtube.com/channel/UCeByvlHB4vBprM5D_4oAt3A")</f>
        <v>http://www.youtube.com/channel/UCeByvlHB4vBprM5D_4oAt3A</v>
      </c>
      <c r="U589" s="81" t="s">
        <v>1883</v>
      </c>
      <c r="V589" s="81" t="s">
        <v>1885</v>
      </c>
      <c r="W589" s="86" t="str">
        <f>HYPERLINK("https://www.youtube.com/watch?v=wadBvDPeE4E")</f>
        <v>https://www.youtube.com/watch?v=wadBvDPeE4E</v>
      </c>
      <c r="X589" s="81" t="s">
        <v>1886</v>
      </c>
      <c r="Y589" s="81">
        <v>0</v>
      </c>
      <c r="Z589" s="88">
        <v>44683.72115740741</v>
      </c>
      <c r="AA589" s="88">
        <v>44683.72115740741</v>
      </c>
      <c r="AB589" s="81"/>
      <c r="AC589" s="81"/>
      <c r="AD589" s="84" t="s">
        <v>1927</v>
      </c>
      <c r="AE589" s="82">
        <v>1</v>
      </c>
      <c r="AF589" s="83" t="str">
        <f>REPLACE(INDEX(GroupVertices[Group],MATCH(Edges[[#This Row],[Vertex 1]],GroupVertices[Vertex],0)),1,1,"")</f>
        <v>14</v>
      </c>
      <c r="AG589" s="83" t="str">
        <f>REPLACE(INDEX(GroupVertices[Group],MATCH(Edges[[#This Row],[Vertex 2]],GroupVertices[Vertex],0)),1,1,"")</f>
        <v>14</v>
      </c>
      <c r="AH589" s="111">
        <v>1</v>
      </c>
      <c r="AI589" s="112">
        <v>1.7543859649122806</v>
      </c>
      <c r="AJ589" s="111">
        <v>1</v>
      </c>
      <c r="AK589" s="112">
        <v>1.7543859649122806</v>
      </c>
      <c r="AL589" s="111">
        <v>0</v>
      </c>
      <c r="AM589" s="112">
        <v>0</v>
      </c>
      <c r="AN589" s="111">
        <v>55</v>
      </c>
      <c r="AO589" s="112">
        <v>96.49122807017544</v>
      </c>
      <c r="AP589" s="111">
        <v>57</v>
      </c>
    </row>
    <row r="590" spans="1:42" ht="15">
      <c r="A590" s="65" t="s">
        <v>761</v>
      </c>
      <c r="B590" s="65" t="s">
        <v>786</v>
      </c>
      <c r="C590" s="66" t="s">
        <v>4510</v>
      </c>
      <c r="D590" s="67">
        <v>5.333333333333334</v>
      </c>
      <c r="E590" s="68"/>
      <c r="F590" s="69">
        <v>31.666666666666664</v>
      </c>
      <c r="G590" s="66"/>
      <c r="H590" s="70"/>
      <c r="I590" s="71"/>
      <c r="J590" s="71"/>
      <c r="K590" s="35" t="s">
        <v>65</v>
      </c>
      <c r="L590" s="79">
        <v>590</v>
      </c>
      <c r="M590" s="79"/>
      <c r="N590" s="73"/>
      <c r="O590" s="81" t="s">
        <v>788</v>
      </c>
      <c r="P590" s="81" t="s">
        <v>325</v>
      </c>
      <c r="Q590" s="84" t="s">
        <v>1373</v>
      </c>
      <c r="R590" s="81" t="s">
        <v>761</v>
      </c>
      <c r="S590" s="81" t="s">
        <v>1828</v>
      </c>
      <c r="T590" s="86" t="str">
        <f>HYPERLINK("http://www.youtube.com/channel/UCjt77vzlNNBTd3CoLx-gyOg")</f>
        <v>http://www.youtube.com/channel/UCjt77vzlNNBTd3CoLx-gyOg</v>
      </c>
      <c r="U590" s="81"/>
      <c r="V590" s="81" t="s">
        <v>1885</v>
      </c>
      <c r="W590" s="86" t="str">
        <f>HYPERLINK("https://www.youtube.com/watch?v=wadBvDPeE4E")</f>
        <v>https://www.youtube.com/watch?v=wadBvDPeE4E</v>
      </c>
      <c r="X590" s="81" t="s">
        <v>1886</v>
      </c>
      <c r="Y590" s="81">
        <v>0</v>
      </c>
      <c r="Z590" s="88">
        <v>44589.025509259256</v>
      </c>
      <c r="AA590" s="88">
        <v>44589.025509259256</v>
      </c>
      <c r="AB590" s="81"/>
      <c r="AC590" s="81"/>
      <c r="AD590" s="84" t="s">
        <v>1927</v>
      </c>
      <c r="AE590" s="82">
        <v>2</v>
      </c>
      <c r="AF590" s="83" t="str">
        <f>REPLACE(INDEX(GroupVertices[Group],MATCH(Edges[[#This Row],[Vertex 1]],GroupVertices[Vertex],0)),1,1,"")</f>
        <v>14</v>
      </c>
      <c r="AG590" s="83" t="str">
        <f>REPLACE(INDEX(GroupVertices[Group],MATCH(Edges[[#This Row],[Vertex 2]],GroupVertices[Vertex],0)),1,1,"")</f>
        <v>1</v>
      </c>
      <c r="AH590" s="111">
        <v>1</v>
      </c>
      <c r="AI590" s="112">
        <v>7.6923076923076925</v>
      </c>
      <c r="AJ590" s="111">
        <v>0</v>
      </c>
      <c r="AK590" s="112">
        <v>0</v>
      </c>
      <c r="AL590" s="111">
        <v>0</v>
      </c>
      <c r="AM590" s="112">
        <v>0</v>
      </c>
      <c r="AN590" s="111">
        <v>12</v>
      </c>
      <c r="AO590" s="112">
        <v>92.3076923076923</v>
      </c>
      <c r="AP590" s="111">
        <v>13</v>
      </c>
    </row>
    <row r="591" spans="1:42" ht="15">
      <c r="A591" s="65" t="s">
        <v>761</v>
      </c>
      <c r="B591" s="65" t="s">
        <v>761</v>
      </c>
      <c r="C591" s="66" t="s">
        <v>4509</v>
      </c>
      <c r="D591" s="67">
        <v>3</v>
      </c>
      <c r="E591" s="68"/>
      <c r="F591" s="69">
        <v>40</v>
      </c>
      <c r="G591" s="66"/>
      <c r="H591" s="70"/>
      <c r="I591" s="71"/>
      <c r="J591" s="71"/>
      <c r="K591" s="35" t="s">
        <v>65</v>
      </c>
      <c r="L591" s="79">
        <v>591</v>
      </c>
      <c r="M591" s="79"/>
      <c r="N591" s="73"/>
      <c r="O591" s="81" t="s">
        <v>789</v>
      </c>
      <c r="P591" s="81" t="s">
        <v>791</v>
      </c>
      <c r="Q591" s="84" t="s">
        <v>1374</v>
      </c>
      <c r="R591" s="81" t="s">
        <v>761</v>
      </c>
      <c r="S591" s="81" t="s">
        <v>1828</v>
      </c>
      <c r="T591" s="86" t="str">
        <f>HYPERLINK("http://www.youtube.com/channel/UCjt77vzlNNBTd3CoLx-gyOg")</f>
        <v>http://www.youtube.com/channel/UCjt77vzlNNBTd3CoLx-gyOg</v>
      </c>
      <c r="U591" s="81" t="s">
        <v>1883</v>
      </c>
      <c r="V591" s="81" t="s">
        <v>1885</v>
      </c>
      <c r="W591" s="86" t="str">
        <f>HYPERLINK("https://www.youtube.com/watch?v=wadBvDPeE4E")</f>
        <v>https://www.youtube.com/watch?v=wadBvDPeE4E</v>
      </c>
      <c r="X591" s="81" t="s">
        <v>1886</v>
      </c>
      <c r="Y591" s="81">
        <v>0</v>
      </c>
      <c r="Z591" s="88">
        <v>44686.95515046296</v>
      </c>
      <c r="AA591" s="88">
        <v>44686.95515046296</v>
      </c>
      <c r="AB591" s="81"/>
      <c r="AC591" s="81"/>
      <c r="AD591" s="84" t="s">
        <v>1927</v>
      </c>
      <c r="AE591" s="82">
        <v>1</v>
      </c>
      <c r="AF591" s="83" t="str">
        <f>REPLACE(INDEX(GroupVertices[Group],MATCH(Edges[[#This Row],[Vertex 1]],GroupVertices[Vertex],0)),1,1,"")</f>
        <v>14</v>
      </c>
      <c r="AG591" s="83" t="str">
        <f>REPLACE(INDEX(GroupVertices[Group],MATCH(Edges[[#This Row],[Vertex 2]],GroupVertices[Vertex],0)),1,1,"")</f>
        <v>14</v>
      </c>
      <c r="AH591" s="111">
        <v>1</v>
      </c>
      <c r="AI591" s="112">
        <v>3.3333333333333335</v>
      </c>
      <c r="AJ591" s="111">
        <v>1</v>
      </c>
      <c r="AK591" s="112">
        <v>3.3333333333333335</v>
      </c>
      <c r="AL591" s="111">
        <v>0</v>
      </c>
      <c r="AM591" s="112">
        <v>0</v>
      </c>
      <c r="AN591" s="111">
        <v>28</v>
      </c>
      <c r="AO591" s="112">
        <v>93.33333333333333</v>
      </c>
      <c r="AP591" s="111">
        <v>30</v>
      </c>
    </row>
    <row r="592" spans="1:42" ht="15">
      <c r="A592" s="65" t="s">
        <v>761</v>
      </c>
      <c r="B592" s="65" t="s">
        <v>786</v>
      </c>
      <c r="C592" s="66" t="s">
        <v>4510</v>
      </c>
      <c r="D592" s="67">
        <v>5.333333333333334</v>
      </c>
      <c r="E592" s="68"/>
      <c r="F592" s="69">
        <v>31.666666666666664</v>
      </c>
      <c r="G592" s="66"/>
      <c r="H592" s="70"/>
      <c r="I592" s="71"/>
      <c r="J592" s="71"/>
      <c r="K592" s="35" t="s">
        <v>65</v>
      </c>
      <c r="L592" s="79">
        <v>592</v>
      </c>
      <c r="M592" s="79"/>
      <c r="N592" s="73"/>
      <c r="O592" s="81" t="s">
        <v>788</v>
      </c>
      <c r="P592" s="81" t="s">
        <v>325</v>
      </c>
      <c r="Q592" s="84" t="s">
        <v>1375</v>
      </c>
      <c r="R592" s="81" t="s">
        <v>761</v>
      </c>
      <c r="S592" s="81" t="s">
        <v>1828</v>
      </c>
      <c r="T592" s="86" t="str">
        <f>HYPERLINK("http://www.youtube.com/channel/UCjt77vzlNNBTd3CoLx-gyOg")</f>
        <v>http://www.youtube.com/channel/UCjt77vzlNNBTd3CoLx-gyOg</v>
      </c>
      <c r="U592" s="81"/>
      <c r="V592" s="81" t="s">
        <v>1885</v>
      </c>
      <c r="W592" s="86" t="str">
        <f>HYPERLINK("https://www.youtube.com/watch?v=wadBvDPeE4E")</f>
        <v>https://www.youtube.com/watch?v=wadBvDPeE4E</v>
      </c>
      <c r="X592" s="81" t="s">
        <v>1886</v>
      </c>
      <c r="Y592" s="81">
        <v>0</v>
      </c>
      <c r="Z592" s="88">
        <v>44589.02989583334</v>
      </c>
      <c r="AA592" s="88">
        <v>44589.02989583334</v>
      </c>
      <c r="AB592" s="81"/>
      <c r="AC592" s="81"/>
      <c r="AD592" s="84" t="s">
        <v>1927</v>
      </c>
      <c r="AE592" s="82">
        <v>2</v>
      </c>
      <c r="AF592" s="83" t="str">
        <f>REPLACE(INDEX(GroupVertices[Group],MATCH(Edges[[#This Row],[Vertex 1]],GroupVertices[Vertex],0)),1,1,"")</f>
        <v>14</v>
      </c>
      <c r="AG592" s="83" t="str">
        <f>REPLACE(INDEX(GroupVertices[Group],MATCH(Edges[[#This Row],[Vertex 2]],GroupVertices[Vertex],0)),1,1,"")</f>
        <v>1</v>
      </c>
      <c r="AH592" s="111">
        <v>1</v>
      </c>
      <c r="AI592" s="112">
        <v>1.5873015873015872</v>
      </c>
      <c r="AJ592" s="111">
        <v>1</v>
      </c>
      <c r="AK592" s="112">
        <v>1.5873015873015872</v>
      </c>
      <c r="AL592" s="111">
        <v>0</v>
      </c>
      <c r="AM592" s="112">
        <v>0</v>
      </c>
      <c r="AN592" s="111">
        <v>61</v>
      </c>
      <c r="AO592" s="112">
        <v>96.82539682539682</v>
      </c>
      <c r="AP592" s="111">
        <v>63</v>
      </c>
    </row>
    <row r="593" spans="1:42" ht="15">
      <c r="A593" s="65" t="s">
        <v>762</v>
      </c>
      <c r="B593" s="65" t="s">
        <v>786</v>
      </c>
      <c r="C593" s="66" t="s">
        <v>4509</v>
      </c>
      <c r="D593" s="67">
        <v>3</v>
      </c>
      <c r="E593" s="68"/>
      <c r="F593" s="69">
        <v>40</v>
      </c>
      <c r="G593" s="66"/>
      <c r="H593" s="70"/>
      <c r="I593" s="71"/>
      <c r="J593" s="71"/>
      <c r="K593" s="35" t="s">
        <v>65</v>
      </c>
      <c r="L593" s="79">
        <v>593</v>
      </c>
      <c r="M593" s="79"/>
      <c r="N593" s="73"/>
      <c r="O593" s="81" t="s">
        <v>788</v>
      </c>
      <c r="P593" s="81" t="s">
        <v>325</v>
      </c>
      <c r="Q593" s="84" t="s">
        <v>1376</v>
      </c>
      <c r="R593" s="81" t="s">
        <v>762</v>
      </c>
      <c r="S593" s="81" t="s">
        <v>1829</v>
      </c>
      <c r="T593" s="86" t="str">
        <f>HYPERLINK("http://www.youtube.com/channel/UCH4RfcM_vm4NN8BjeBgXCrg")</f>
        <v>http://www.youtube.com/channel/UCH4RfcM_vm4NN8BjeBgXCrg</v>
      </c>
      <c r="U593" s="81"/>
      <c r="V593" s="81" t="s">
        <v>1885</v>
      </c>
      <c r="W593" s="86" t="str">
        <f>HYPERLINK("https://www.youtube.com/watch?v=wadBvDPeE4E")</f>
        <v>https://www.youtube.com/watch?v=wadBvDPeE4E</v>
      </c>
      <c r="X593" s="81" t="s">
        <v>1886</v>
      </c>
      <c r="Y593" s="81">
        <v>0</v>
      </c>
      <c r="Z593" s="88">
        <v>44590.99369212963</v>
      </c>
      <c r="AA593" s="88">
        <v>44590.99427083333</v>
      </c>
      <c r="AB593" s="81" t="s">
        <v>1919</v>
      </c>
      <c r="AC593" s="81" t="s">
        <v>1922</v>
      </c>
      <c r="AD593" s="84" t="s">
        <v>1927</v>
      </c>
      <c r="AE593" s="82">
        <v>1</v>
      </c>
      <c r="AF593" s="83" t="str">
        <f>REPLACE(INDEX(GroupVertices[Group],MATCH(Edges[[#This Row],[Vertex 1]],GroupVertices[Vertex],0)),1,1,"")</f>
        <v>1</v>
      </c>
      <c r="AG593" s="83" t="str">
        <f>REPLACE(INDEX(GroupVertices[Group],MATCH(Edges[[#This Row],[Vertex 2]],GroupVertices[Vertex],0)),1,1,"")</f>
        <v>1</v>
      </c>
      <c r="AH593" s="111">
        <v>1</v>
      </c>
      <c r="AI593" s="112">
        <v>3.4482758620689653</v>
      </c>
      <c r="AJ593" s="111">
        <v>1</v>
      </c>
      <c r="AK593" s="112">
        <v>3.4482758620689653</v>
      </c>
      <c r="AL593" s="111">
        <v>0</v>
      </c>
      <c r="AM593" s="112">
        <v>0</v>
      </c>
      <c r="AN593" s="111">
        <v>27</v>
      </c>
      <c r="AO593" s="112">
        <v>93.10344827586206</v>
      </c>
      <c r="AP593" s="111">
        <v>29</v>
      </c>
    </row>
    <row r="594" spans="1:42" ht="15">
      <c r="A594" s="65" t="s">
        <v>763</v>
      </c>
      <c r="B594" s="65" t="s">
        <v>786</v>
      </c>
      <c r="C594" s="66" t="s">
        <v>4509</v>
      </c>
      <c r="D594" s="67">
        <v>3</v>
      </c>
      <c r="E594" s="68"/>
      <c r="F594" s="69">
        <v>40</v>
      </c>
      <c r="G594" s="66"/>
      <c r="H594" s="70"/>
      <c r="I594" s="71"/>
      <c r="J594" s="71"/>
      <c r="K594" s="35" t="s">
        <v>65</v>
      </c>
      <c r="L594" s="79">
        <v>594</v>
      </c>
      <c r="M594" s="79"/>
      <c r="N594" s="73"/>
      <c r="O594" s="81" t="s">
        <v>788</v>
      </c>
      <c r="P594" s="81" t="s">
        <v>325</v>
      </c>
      <c r="Q594" s="84" t="s">
        <v>1377</v>
      </c>
      <c r="R594" s="81" t="s">
        <v>763</v>
      </c>
      <c r="S594" s="81" t="s">
        <v>1830</v>
      </c>
      <c r="T594" s="86" t="str">
        <f>HYPERLINK("http://www.youtube.com/channel/UCWIyHlLDLM7SLBKwmVcRK9w")</f>
        <v>http://www.youtube.com/channel/UCWIyHlLDLM7SLBKwmVcRK9w</v>
      </c>
      <c r="U594" s="81"/>
      <c r="V594" s="81" t="s">
        <v>1885</v>
      </c>
      <c r="W594" s="86" t="str">
        <f>HYPERLINK("https://www.youtube.com/watch?v=wadBvDPeE4E")</f>
        <v>https://www.youtube.com/watch?v=wadBvDPeE4E</v>
      </c>
      <c r="X594" s="81" t="s">
        <v>1886</v>
      </c>
      <c r="Y594" s="81">
        <v>0</v>
      </c>
      <c r="Z594" s="88">
        <v>44600.503657407404</v>
      </c>
      <c r="AA594" s="88">
        <v>44600.503657407404</v>
      </c>
      <c r="AB594" s="81"/>
      <c r="AC594" s="81"/>
      <c r="AD594" s="84" t="s">
        <v>1927</v>
      </c>
      <c r="AE594" s="82">
        <v>1</v>
      </c>
      <c r="AF594" s="83" t="str">
        <f>REPLACE(INDEX(GroupVertices[Group],MATCH(Edges[[#This Row],[Vertex 1]],GroupVertices[Vertex],0)),1,1,"")</f>
        <v>1</v>
      </c>
      <c r="AG594" s="83" t="str">
        <f>REPLACE(INDEX(GroupVertices[Group],MATCH(Edges[[#This Row],[Vertex 2]],GroupVertices[Vertex],0)),1,1,"")</f>
        <v>1</v>
      </c>
      <c r="AH594" s="111">
        <v>0</v>
      </c>
      <c r="AI594" s="112">
        <v>0</v>
      </c>
      <c r="AJ594" s="111">
        <v>0</v>
      </c>
      <c r="AK594" s="112">
        <v>0</v>
      </c>
      <c r="AL594" s="111">
        <v>0</v>
      </c>
      <c r="AM594" s="112">
        <v>0</v>
      </c>
      <c r="AN594" s="111">
        <v>4</v>
      </c>
      <c r="AO594" s="112">
        <v>100</v>
      </c>
      <c r="AP594" s="111">
        <v>4</v>
      </c>
    </row>
    <row r="595" spans="1:42" ht="15">
      <c r="A595" s="65" t="s">
        <v>764</v>
      </c>
      <c r="B595" s="65" t="s">
        <v>786</v>
      </c>
      <c r="C595" s="66" t="s">
        <v>4509</v>
      </c>
      <c r="D595" s="67">
        <v>3</v>
      </c>
      <c r="E595" s="68"/>
      <c r="F595" s="69">
        <v>40</v>
      </c>
      <c r="G595" s="66"/>
      <c r="H595" s="70"/>
      <c r="I595" s="71"/>
      <c r="J595" s="71"/>
      <c r="K595" s="35" t="s">
        <v>65</v>
      </c>
      <c r="L595" s="79">
        <v>595</v>
      </c>
      <c r="M595" s="79"/>
      <c r="N595" s="73"/>
      <c r="O595" s="81" t="s">
        <v>788</v>
      </c>
      <c r="P595" s="81" t="s">
        <v>325</v>
      </c>
      <c r="Q595" s="84" t="s">
        <v>1378</v>
      </c>
      <c r="R595" s="81" t="s">
        <v>764</v>
      </c>
      <c r="S595" s="81" t="s">
        <v>1831</v>
      </c>
      <c r="T595" s="86" t="str">
        <f>HYPERLINK("http://www.youtube.com/channel/UC66x2x2MlwIWi_wI4429K8g")</f>
        <v>http://www.youtube.com/channel/UC66x2x2MlwIWi_wI4429K8g</v>
      </c>
      <c r="U595" s="81"/>
      <c r="V595" s="81" t="s">
        <v>1885</v>
      </c>
      <c r="W595" s="86" t="str">
        <f>HYPERLINK("https://www.youtube.com/watch?v=wadBvDPeE4E")</f>
        <v>https://www.youtube.com/watch?v=wadBvDPeE4E</v>
      </c>
      <c r="X595" s="81" t="s">
        <v>1886</v>
      </c>
      <c r="Y595" s="81">
        <v>0</v>
      </c>
      <c r="Z595" s="88">
        <v>44600.67005787037</v>
      </c>
      <c r="AA595" s="88">
        <v>44600.67005787037</v>
      </c>
      <c r="AB595" s="81"/>
      <c r="AC595" s="81"/>
      <c r="AD595" s="84" t="s">
        <v>1927</v>
      </c>
      <c r="AE595" s="82">
        <v>1</v>
      </c>
      <c r="AF595" s="83" t="str">
        <f>REPLACE(INDEX(GroupVertices[Group],MATCH(Edges[[#This Row],[Vertex 1]],GroupVertices[Vertex],0)),1,1,"")</f>
        <v>1</v>
      </c>
      <c r="AG595" s="83" t="str">
        <f>REPLACE(INDEX(GroupVertices[Group],MATCH(Edges[[#This Row],[Vertex 2]],GroupVertices[Vertex],0)),1,1,"")</f>
        <v>1</v>
      </c>
      <c r="AH595" s="111">
        <v>0</v>
      </c>
      <c r="AI595" s="112">
        <v>0</v>
      </c>
      <c r="AJ595" s="111">
        <v>1</v>
      </c>
      <c r="AK595" s="112">
        <v>11.11111111111111</v>
      </c>
      <c r="AL595" s="111">
        <v>0</v>
      </c>
      <c r="AM595" s="112">
        <v>0</v>
      </c>
      <c r="AN595" s="111">
        <v>8</v>
      </c>
      <c r="AO595" s="112">
        <v>88.88888888888889</v>
      </c>
      <c r="AP595" s="111">
        <v>9</v>
      </c>
    </row>
    <row r="596" spans="1:42" ht="15">
      <c r="A596" s="65" t="s">
        <v>765</v>
      </c>
      <c r="B596" s="65" t="s">
        <v>786</v>
      </c>
      <c r="C596" s="66" t="s">
        <v>4509</v>
      </c>
      <c r="D596" s="67">
        <v>3</v>
      </c>
      <c r="E596" s="68"/>
      <c r="F596" s="69">
        <v>40</v>
      </c>
      <c r="G596" s="66"/>
      <c r="H596" s="70"/>
      <c r="I596" s="71"/>
      <c r="J596" s="71"/>
      <c r="K596" s="35" t="s">
        <v>65</v>
      </c>
      <c r="L596" s="79">
        <v>596</v>
      </c>
      <c r="M596" s="79"/>
      <c r="N596" s="73"/>
      <c r="O596" s="81" t="s">
        <v>788</v>
      </c>
      <c r="P596" s="81" t="s">
        <v>325</v>
      </c>
      <c r="Q596" s="84" t="s">
        <v>1379</v>
      </c>
      <c r="R596" s="81" t="s">
        <v>765</v>
      </c>
      <c r="S596" s="81" t="s">
        <v>1832</v>
      </c>
      <c r="T596" s="86" t="str">
        <f>HYPERLINK("http://www.youtube.com/channel/UCHA9J_ssmzA2G3eSrDCZ3MQ")</f>
        <v>http://www.youtube.com/channel/UCHA9J_ssmzA2G3eSrDCZ3MQ</v>
      </c>
      <c r="U596" s="81"/>
      <c r="V596" s="81" t="s">
        <v>1885</v>
      </c>
      <c r="W596" s="86" t="str">
        <f>HYPERLINK("https://www.youtube.com/watch?v=wadBvDPeE4E")</f>
        <v>https://www.youtube.com/watch?v=wadBvDPeE4E</v>
      </c>
      <c r="X596" s="81" t="s">
        <v>1886</v>
      </c>
      <c r="Y596" s="81">
        <v>0</v>
      </c>
      <c r="Z596" s="88">
        <v>44601.59837962963</v>
      </c>
      <c r="AA596" s="88">
        <v>44601.59837962963</v>
      </c>
      <c r="AB596" s="81"/>
      <c r="AC596" s="81"/>
      <c r="AD596" s="84" t="s">
        <v>1927</v>
      </c>
      <c r="AE596" s="82">
        <v>1</v>
      </c>
      <c r="AF596" s="83" t="str">
        <f>REPLACE(INDEX(GroupVertices[Group],MATCH(Edges[[#This Row],[Vertex 1]],GroupVertices[Vertex],0)),1,1,"")</f>
        <v>1</v>
      </c>
      <c r="AG596" s="83" t="str">
        <f>REPLACE(INDEX(GroupVertices[Group],MATCH(Edges[[#This Row],[Vertex 2]],GroupVertices[Vertex],0)),1,1,"")</f>
        <v>1</v>
      </c>
      <c r="AH596" s="111">
        <v>2</v>
      </c>
      <c r="AI596" s="112">
        <v>28.571428571428573</v>
      </c>
      <c r="AJ596" s="111">
        <v>0</v>
      </c>
      <c r="AK596" s="112">
        <v>0</v>
      </c>
      <c r="AL596" s="111">
        <v>0</v>
      </c>
      <c r="AM596" s="112">
        <v>0</v>
      </c>
      <c r="AN596" s="111">
        <v>5</v>
      </c>
      <c r="AO596" s="112">
        <v>71.42857142857143</v>
      </c>
      <c r="AP596" s="111">
        <v>7</v>
      </c>
    </row>
    <row r="597" spans="1:42" ht="15">
      <c r="A597" s="65" t="s">
        <v>766</v>
      </c>
      <c r="B597" s="65" t="s">
        <v>786</v>
      </c>
      <c r="C597" s="66" t="s">
        <v>4509</v>
      </c>
      <c r="D597" s="67">
        <v>3</v>
      </c>
      <c r="E597" s="68"/>
      <c r="F597" s="69">
        <v>40</v>
      </c>
      <c r="G597" s="66"/>
      <c r="H597" s="70"/>
      <c r="I597" s="71"/>
      <c r="J597" s="71"/>
      <c r="K597" s="35" t="s">
        <v>65</v>
      </c>
      <c r="L597" s="79">
        <v>597</v>
      </c>
      <c r="M597" s="79"/>
      <c r="N597" s="73"/>
      <c r="O597" s="81" t="s">
        <v>788</v>
      </c>
      <c r="P597" s="81" t="s">
        <v>325</v>
      </c>
      <c r="Q597" s="84" t="s">
        <v>1380</v>
      </c>
      <c r="R597" s="81" t="s">
        <v>766</v>
      </c>
      <c r="S597" s="81" t="s">
        <v>1833</v>
      </c>
      <c r="T597" s="86" t="str">
        <f>HYPERLINK("http://www.youtube.com/channel/UCPVkkumCndZboahNYXKfMiA")</f>
        <v>http://www.youtube.com/channel/UCPVkkumCndZboahNYXKfMiA</v>
      </c>
      <c r="U597" s="81"/>
      <c r="V597" s="81" t="s">
        <v>1885</v>
      </c>
      <c r="W597" s="86" t="str">
        <f>HYPERLINK("https://www.youtube.com/watch?v=wadBvDPeE4E")</f>
        <v>https://www.youtube.com/watch?v=wadBvDPeE4E</v>
      </c>
      <c r="X597" s="81" t="s">
        <v>1886</v>
      </c>
      <c r="Y597" s="81">
        <v>0</v>
      </c>
      <c r="Z597" s="88">
        <v>44602.80337962963</v>
      </c>
      <c r="AA597" s="88">
        <v>44602.80337962963</v>
      </c>
      <c r="AB597" s="81" t="s">
        <v>1920</v>
      </c>
      <c r="AC597" s="81" t="s">
        <v>1922</v>
      </c>
      <c r="AD597" s="84" t="s">
        <v>1927</v>
      </c>
      <c r="AE597" s="82">
        <v>1</v>
      </c>
      <c r="AF597" s="83" t="str">
        <f>REPLACE(INDEX(GroupVertices[Group],MATCH(Edges[[#This Row],[Vertex 1]],GroupVertices[Vertex],0)),1,1,"")</f>
        <v>1</v>
      </c>
      <c r="AG597" s="83" t="str">
        <f>REPLACE(INDEX(GroupVertices[Group],MATCH(Edges[[#This Row],[Vertex 2]],GroupVertices[Vertex],0)),1,1,"")</f>
        <v>1</v>
      </c>
      <c r="AH597" s="111">
        <v>0</v>
      </c>
      <c r="AI597" s="112">
        <v>0</v>
      </c>
      <c r="AJ597" s="111">
        <v>0</v>
      </c>
      <c r="AK597" s="112">
        <v>0</v>
      </c>
      <c r="AL597" s="111">
        <v>0</v>
      </c>
      <c r="AM597" s="112">
        <v>0</v>
      </c>
      <c r="AN597" s="111">
        <v>18</v>
      </c>
      <c r="AO597" s="112">
        <v>100</v>
      </c>
      <c r="AP597" s="111">
        <v>18</v>
      </c>
    </row>
    <row r="598" spans="1:42" ht="15">
      <c r="A598" s="65" t="s">
        <v>767</v>
      </c>
      <c r="B598" s="65" t="s">
        <v>786</v>
      </c>
      <c r="C598" s="66" t="s">
        <v>4509</v>
      </c>
      <c r="D598" s="67">
        <v>3</v>
      </c>
      <c r="E598" s="68"/>
      <c r="F598" s="69">
        <v>40</v>
      </c>
      <c r="G598" s="66"/>
      <c r="H598" s="70"/>
      <c r="I598" s="71"/>
      <c r="J598" s="71"/>
      <c r="K598" s="35" t="s">
        <v>65</v>
      </c>
      <c r="L598" s="79">
        <v>598</v>
      </c>
      <c r="M598" s="79"/>
      <c r="N598" s="73"/>
      <c r="O598" s="81" t="s">
        <v>788</v>
      </c>
      <c r="P598" s="81" t="s">
        <v>325</v>
      </c>
      <c r="Q598" s="84" t="s">
        <v>1381</v>
      </c>
      <c r="R598" s="81" t="s">
        <v>767</v>
      </c>
      <c r="S598" s="81" t="s">
        <v>1834</v>
      </c>
      <c r="T598" s="86" t="str">
        <f>HYPERLINK("http://www.youtube.com/channel/UCNMedR2qj7QNsV6Ofy6fqLQ")</f>
        <v>http://www.youtube.com/channel/UCNMedR2qj7QNsV6Ofy6fqLQ</v>
      </c>
      <c r="U598" s="81"/>
      <c r="V598" s="81" t="s">
        <v>1885</v>
      </c>
      <c r="W598" s="86" t="str">
        <f>HYPERLINK("https://www.youtube.com/watch?v=wadBvDPeE4E")</f>
        <v>https://www.youtube.com/watch?v=wadBvDPeE4E</v>
      </c>
      <c r="X598" s="81" t="s">
        <v>1886</v>
      </c>
      <c r="Y598" s="81">
        <v>0</v>
      </c>
      <c r="Z598" s="88">
        <v>44623.42028935185</v>
      </c>
      <c r="AA598" s="88">
        <v>44623.42028935185</v>
      </c>
      <c r="AB598" s="81"/>
      <c r="AC598" s="81"/>
      <c r="AD598" s="84" t="s">
        <v>1927</v>
      </c>
      <c r="AE598" s="82">
        <v>1</v>
      </c>
      <c r="AF598" s="83" t="str">
        <f>REPLACE(INDEX(GroupVertices[Group],MATCH(Edges[[#This Row],[Vertex 1]],GroupVertices[Vertex],0)),1,1,"")</f>
        <v>1</v>
      </c>
      <c r="AG598" s="83" t="str">
        <f>REPLACE(INDEX(GroupVertices[Group],MATCH(Edges[[#This Row],[Vertex 2]],GroupVertices[Vertex],0)),1,1,"")</f>
        <v>1</v>
      </c>
      <c r="AH598" s="111">
        <v>0</v>
      </c>
      <c r="AI598" s="112">
        <v>0</v>
      </c>
      <c r="AJ598" s="111">
        <v>0</v>
      </c>
      <c r="AK598" s="112">
        <v>0</v>
      </c>
      <c r="AL598" s="111">
        <v>0</v>
      </c>
      <c r="AM598" s="112">
        <v>0</v>
      </c>
      <c r="AN598" s="111">
        <v>6</v>
      </c>
      <c r="AO598" s="112">
        <v>100</v>
      </c>
      <c r="AP598" s="111">
        <v>6</v>
      </c>
    </row>
    <row r="599" spans="1:42" ht="15">
      <c r="A599" s="65" t="s">
        <v>768</v>
      </c>
      <c r="B599" s="65" t="s">
        <v>786</v>
      </c>
      <c r="C599" s="66" t="s">
        <v>4509</v>
      </c>
      <c r="D599" s="67">
        <v>3</v>
      </c>
      <c r="E599" s="68"/>
      <c r="F599" s="69">
        <v>40</v>
      </c>
      <c r="G599" s="66"/>
      <c r="H599" s="70"/>
      <c r="I599" s="71"/>
      <c r="J599" s="71"/>
      <c r="K599" s="35" t="s">
        <v>65</v>
      </c>
      <c r="L599" s="79">
        <v>599</v>
      </c>
      <c r="M599" s="79"/>
      <c r="N599" s="73"/>
      <c r="O599" s="81" t="s">
        <v>788</v>
      </c>
      <c r="P599" s="81" t="s">
        <v>325</v>
      </c>
      <c r="Q599" s="84" t="s">
        <v>1382</v>
      </c>
      <c r="R599" s="81" t="s">
        <v>768</v>
      </c>
      <c r="S599" s="81" t="s">
        <v>1835</v>
      </c>
      <c r="T599" s="86" t="str">
        <f>HYPERLINK("http://www.youtube.com/channel/UCp2NneZubdLqDXKhxJar7_Q")</f>
        <v>http://www.youtube.com/channel/UCp2NneZubdLqDXKhxJar7_Q</v>
      </c>
      <c r="U599" s="81"/>
      <c r="V599" s="81" t="s">
        <v>1885</v>
      </c>
      <c r="W599" s="86" t="str">
        <f>HYPERLINK("https://www.youtube.com/watch?v=wadBvDPeE4E")</f>
        <v>https://www.youtube.com/watch?v=wadBvDPeE4E</v>
      </c>
      <c r="X599" s="81" t="s">
        <v>1886</v>
      </c>
      <c r="Y599" s="81">
        <v>0</v>
      </c>
      <c r="Z599" s="88">
        <v>44638.04517361111</v>
      </c>
      <c r="AA599" s="88">
        <v>44638.04517361111</v>
      </c>
      <c r="AB599" s="81"/>
      <c r="AC599" s="81"/>
      <c r="AD599" s="84" t="s">
        <v>1927</v>
      </c>
      <c r="AE599" s="82">
        <v>1</v>
      </c>
      <c r="AF599" s="83" t="str">
        <f>REPLACE(INDEX(GroupVertices[Group],MATCH(Edges[[#This Row],[Vertex 1]],GroupVertices[Vertex],0)),1,1,"")</f>
        <v>1</v>
      </c>
      <c r="AG599" s="83" t="str">
        <f>REPLACE(INDEX(GroupVertices[Group],MATCH(Edges[[#This Row],[Vertex 2]],GroupVertices[Vertex],0)),1,1,"")</f>
        <v>1</v>
      </c>
      <c r="AH599" s="111">
        <v>1</v>
      </c>
      <c r="AI599" s="112">
        <v>0.704225352112676</v>
      </c>
      <c r="AJ599" s="111">
        <v>15</v>
      </c>
      <c r="AK599" s="112">
        <v>10.56338028169014</v>
      </c>
      <c r="AL599" s="111">
        <v>0</v>
      </c>
      <c r="AM599" s="112">
        <v>0</v>
      </c>
      <c r="AN599" s="111">
        <v>126</v>
      </c>
      <c r="AO599" s="112">
        <v>88.73239436619718</v>
      </c>
      <c r="AP599" s="111">
        <v>142</v>
      </c>
    </row>
    <row r="600" spans="1:42" ht="15">
      <c r="A600" s="65" t="s">
        <v>769</v>
      </c>
      <c r="B600" s="65" t="s">
        <v>786</v>
      </c>
      <c r="C600" s="66" t="s">
        <v>4512</v>
      </c>
      <c r="D600" s="67">
        <v>10</v>
      </c>
      <c r="E600" s="68"/>
      <c r="F600" s="69">
        <v>15</v>
      </c>
      <c r="G600" s="66"/>
      <c r="H600" s="70"/>
      <c r="I600" s="71"/>
      <c r="J600" s="71"/>
      <c r="K600" s="35" t="s">
        <v>65</v>
      </c>
      <c r="L600" s="79">
        <v>600</v>
      </c>
      <c r="M600" s="79"/>
      <c r="N600" s="73"/>
      <c r="O600" s="81" t="s">
        <v>788</v>
      </c>
      <c r="P600" s="81" t="s">
        <v>325</v>
      </c>
      <c r="Q600" s="84" t="s">
        <v>1383</v>
      </c>
      <c r="R600" s="81" t="s">
        <v>769</v>
      </c>
      <c r="S600" s="81" t="s">
        <v>1836</v>
      </c>
      <c r="T600" s="86" t="str">
        <f>HYPERLINK("http://www.youtube.com/channel/UC9GSZMvA8kMBn__1GNk8JTA")</f>
        <v>http://www.youtube.com/channel/UC9GSZMvA8kMBn__1GNk8JTA</v>
      </c>
      <c r="U600" s="81"/>
      <c r="V600" s="81" t="s">
        <v>1885</v>
      </c>
      <c r="W600" s="86" t="str">
        <f>HYPERLINK("https://www.youtube.com/watch?v=wadBvDPeE4E")</f>
        <v>https://www.youtube.com/watch?v=wadBvDPeE4E</v>
      </c>
      <c r="X600" s="81" t="s">
        <v>1886</v>
      </c>
      <c r="Y600" s="81">
        <v>0</v>
      </c>
      <c r="Z600" s="88">
        <v>44657.43418981481</v>
      </c>
      <c r="AA600" s="88">
        <v>44657.43418981481</v>
      </c>
      <c r="AB600" s="81"/>
      <c r="AC600" s="81"/>
      <c r="AD600" s="84" t="s">
        <v>1927</v>
      </c>
      <c r="AE600" s="82">
        <v>4</v>
      </c>
      <c r="AF600" s="83" t="str">
        <f>REPLACE(INDEX(GroupVertices[Group],MATCH(Edges[[#This Row],[Vertex 1]],GroupVertices[Vertex],0)),1,1,"")</f>
        <v>1</v>
      </c>
      <c r="AG600" s="83" t="str">
        <f>REPLACE(INDEX(GroupVertices[Group],MATCH(Edges[[#This Row],[Vertex 2]],GroupVertices[Vertex],0)),1,1,"")</f>
        <v>1</v>
      </c>
      <c r="AH600" s="111">
        <v>0</v>
      </c>
      <c r="AI600" s="112">
        <v>0</v>
      </c>
      <c r="AJ600" s="111">
        <v>0</v>
      </c>
      <c r="AK600" s="112">
        <v>0</v>
      </c>
      <c r="AL600" s="111">
        <v>0</v>
      </c>
      <c r="AM600" s="112">
        <v>0</v>
      </c>
      <c r="AN600" s="111">
        <v>1</v>
      </c>
      <c r="AO600" s="112">
        <v>100</v>
      </c>
      <c r="AP600" s="111">
        <v>1</v>
      </c>
    </row>
    <row r="601" spans="1:42" ht="15">
      <c r="A601" s="65" t="s">
        <v>769</v>
      </c>
      <c r="B601" s="65" t="s">
        <v>786</v>
      </c>
      <c r="C601" s="66" t="s">
        <v>4512</v>
      </c>
      <c r="D601" s="67">
        <v>10</v>
      </c>
      <c r="E601" s="68"/>
      <c r="F601" s="69">
        <v>15</v>
      </c>
      <c r="G601" s="66"/>
      <c r="H601" s="70"/>
      <c r="I601" s="71"/>
      <c r="J601" s="71"/>
      <c r="K601" s="35" t="s">
        <v>65</v>
      </c>
      <c r="L601" s="79">
        <v>601</v>
      </c>
      <c r="M601" s="79"/>
      <c r="N601" s="73"/>
      <c r="O601" s="81" t="s">
        <v>788</v>
      </c>
      <c r="P601" s="81" t="s">
        <v>325</v>
      </c>
      <c r="Q601" s="84" t="s">
        <v>1384</v>
      </c>
      <c r="R601" s="81" t="s">
        <v>769</v>
      </c>
      <c r="S601" s="81" t="s">
        <v>1836</v>
      </c>
      <c r="T601" s="86" t="str">
        <f>HYPERLINK("http://www.youtube.com/channel/UC9GSZMvA8kMBn__1GNk8JTA")</f>
        <v>http://www.youtube.com/channel/UC9GSZMvA8kMBn__1GNk8JTA</v>
      </c>
      <c r="U601" s="81"/>
      <c r="V601" s="81" t="s">
        <v>1885</v>
      </c>
      <c r="W601" s="86" t="str">
        <f>HYPERLINK("https://www.youtube.com/watch?v=wadBvDPeE4E")</f>
        <v>https://www.youtube.com/watch?v=wadBvDPeE4E</v>
      </c>
      <c r="X601" s="81" t="s">
        <v>1886</v>
      </c>
      <c r="Y601" s="81">
        <v>0</v>
      </c>
      <c r="Z601" s="88">
        <v>44657.4353587963</v>
      </c>
      <c r="AA601" s="88">
        <v>44657.4353587963</v>
      </c>
      <c r="AB601" s="81"/>
      <c r="AC601" s="81"/>
      <c r="AD601" s="84" t="s">
        <v>1927</v>
      </c>
      <c r="AE601" s="82">
        <v>4</v>
      </c>
      <c r="AF601" s="83" t="str">
        <f>REPLACE(INDEX(GroupVertices[Group],MATCH(Edges[[#This Row],[Vertex 1]],GroupVertices[Vertex],0)),1,1,"")</f>
        <v>1</v>
      </c>
      <c r="AG601" s="83" t="str">
        <f>REPLACE(INDEX(GroupVertices[Group],MATCH(Edges[[#This Row],[Vertex 2]],GroupVertices[Vertex],0)),1,1,"")</f>
        <v>1</v>
      </c>
      <c r="AH601" s="111">
        <v>2</v>
      </c>
      <c r="AI601" s="112">
        <v>40</v>
      </c>
      <c r="AJ601" s="111">
        <v>0</v>
      </c>
      <c r="AK601" s="112">
        <v>0</v>
      </c>
      <c r="AL601" s="111">
        <v>0</v>
      </c>
      <c r="AM601" s="112">
        <v>0</v>
      </c>
      <c r="AN601" s="111">
        <v>3</v>
      </c>
      <c r="AO601" s="112">
        <v>60</v>
      </c>
      <c r="AP601" s="111">
        <v>5</v>
      </c>
    </row>
    <row r="602" spans="1:42" ht="15">
      <c r="A602" s="65" t="s">
        <v>769</v>
      </c>
      <c r="B602" s="65" t="s">
        <v>786</v>
      </c>
      <c r="C602" s="66" t="s">
        <v>4512</v>
      </c>
      <c r="D602" s="67">
        <v>10</v>
      </c>
      <c r="E602" s="68"/>
      <c r="F602" s="69">
        <v>15</v>
      </c>
      <c r="G602" s="66"/>
      <c r="H602" s="70"/>
      <c r="I602" s="71"/>
      <c r="J602" s="71"/>
      <c r="K602" s="35" t="s">
        <v>65</v>
      </c>
      <c r="L602" s="79">
        <v>602</v>
      </c>
      <c r="M602" s="79"/>
      <c r="N602" s="73"/>
      <c r="O602" s="81" t="s">
        <v>788</v>
      </c>
      <c r="P602" s="81" t="s">
        <v>325</v>
      </c>
      <c r="Q602" s="84" t="s">
        <v>1385</v>
      </c>
      <c r="R602" s="81" t="s">
        <v>769</v>
      </c>
      <c r="S602" s="81" t="s">
        <v>1836</v>
      </c>
      <c r="T602" s="86" t="str">
        <f>HYPERLINK("http://www.youtube.com/channel/UC9GSZMvA8kMBn__1GNk8JTA")</f>
        <v>http://www.youtube.com/channel/UC9GSZMvA8kMBn__1GNk8JTA</v>
      </c>
      <c r="U602" s="81"/>
      <c r="V602" s="81" t="s">
        <v>1885</v>
      </c>
      <c r="W602" s="86" t="str">
        <f>HYPERLINK("https://www.youtube.com/watch?v=wadBvDPeE4E")</f>
        <v>https://www.youtube.com/watch?v=wadBvDPeE4E</v>
      </c>
      <c r="X602" s="81" t="s">
        <v>1886</v>
      </c>
      <c r="Y602" s="81">
        <v>0</v>
      </c>
      <c r="Z602" s="88">
        <v>44657.437743055554</v>
      </c>
      <c r="AA602" s="88">
        <v>44657.437743055554</v>
      </c>
      <c r="AB602" s="81"/>
      <c r="AC602" s="81"/>
      <c r="AD602" s="84" t="s">
        <v>1927</v>
      </c>
      <c r="AE602" s="82">
        <v>4</v>
      </c>
      <c r="AF602" s="83" t="str">
        <f>REPLACE(INDEX(GroupVertices[Group],MATCH(Edges[[#This Row],[Vertex 1]],GroupVertices[Vertex],0)),1,1,"")</f>
        <v>1</v>
      </c>
      <c r="AG602" s="83" t="str">
        <f>REPLACE(INDEX(GroupVertices[Group],MATCH(Edges[[#This Row],[Vertex 2]],GroupVertices[Vertex],0)),1,1,"")</f>
        <v>1</v>
      </c>
      <c r="AH602" s="111">
        <v>0</v>
      </c>
      <c r="AI602" s="112">
        <v>0</v>
      </c>
      <c r="AJ602" s="111">
        <v>0</v>
      </c>
      <c r="AK602" s="112">
        <v>0</v>
      </c>
      <c r="AL602" s="111">
        <v>0</v>
      </c>
      <c r="AM602" s="112">
        <v>0</v>
      </c>
      <c r="AN602" s="111">
        <v>8</v>
      </c>
      <c r="AO602" s="112">
        <v>100</v>
      </c>
      <c r="AP602" s="111">
        <v>8</v>
      </c>
    </row>
    <row r="603" spans="1:42" ht="15">
      <c r="A603" s="65" t="s">
        <v>769</v>
      </c>
      <c r="B603" s="65" t="s">
        <v>786</v>
      </c>
      <c r="C603" s="66" t="s">
        <v>4512</v>
      </c>
      <c r="D603" s="67">
        <v>10</v>
      </c>
      <c r="E603" s="68"/>
      <c r="F603" s="69">
        <v>15</v>
      </c>
      <c r="G603" s="66"/>
      <c r="H603" s="70"/>
      <c r="I603" s="71"/>
      <c r="J603" s="71"/>
      <c r="K603" s="35" t="s">
        <v>65</v>
      </c>
      <c r="L603" s="79">
        <v>603</v>
      </c>
      <c r="M603" s="79"/>
      <c r="N603" s="73"/>
      <c r="O603" s="81" t="s">
        <v>788</v>
      </c>
      <c r="P603" s="81" t="s">
        <v>325</v>
      </c>
      <c r="Q603" s="84" t="s">
        <v>1386</v>
      </c>
      <c r="R603" s="81" t="s">
        <v>769</v>
      </c>
      <c r="S603" s="81" t="s">
        <v>1836</v>
      </c>
      <c r="T603" s="86" t="str">
        <f>HYPERLINK("http://www.youtube.com/channel/UC9GSZMvA8kMBn__1GNk8JTA")</f>
        <v>http://www.youtube.com/channel/UC9GSZMvA8kMBn__1GNk8JTA</v>
      </c>
      <c r="U603" s="81"/>
      <c r="V603" s="81" t="s">
        <v>1885</v>
      </c>
      <c r="W603" s="86" t="str">
        <f>HYPERLINK("https://www.youtube.com/watch?v=wadBvDPeE4E")</f>
        <v>https://www.youtube.com/watch?v=wadBvDPeE4E</v>
      </c>
      <c r="X603" s="81" t="s">
        <v>1886</v>
      </c>
      <c r="Y603" s="81">
        <v>0</v>
      </c>
      <c r="Z603" s="88">
        <v>44657.45471064815</v>
      </c>
      <c r="AA603" s="88">
        <v>44657.45471064815</v>
      </c>
      <c r="AB603" s="81"/>
      <c r="AC603" s="81"/>
      <c r="AD603" s="84" t="s">
        <v>1927</v>
      </c>
      <c r="AE603" s="82">
        <v>4</v>
      </c>
      <c r="AF603" s="83" t="str">
        <f>REPLACE(INDEX(GroupVertices[Group],MATCH(Edges[[#This Row],[Vertex 1]],GroupVertices[Vertex],0)),1,1,"")</f>
        <v>1</v>
      </c>
      <c r="AG603" s="83" t="str">
        <f>REPLACE(INDEX(GroupVertices[Group],MATCH(Edges[[#This Row],[Vertex 2]],GroupVertices[Vertex],0)),1,1,"")</f>
        <v>1</v>
      </c>
      <c r="AH603" s="111">
        <v>1</v>
      </c>
      <c r="AI603" s="112">
        <v>3.3333333333333335</v>
      </c>
      <c r="AJ603" s="111">
        <v>1</v>
      </c>
      <c r="AK603" s="112">
        <v>3.3333333333333335</v>
      </c>
      <c r="AL603" s="111">
        <v>0</v>
      </c>
      <c r="AM603" s="112">
        <v>0</v>
      </c>
      <c r="AN603" s="111">
        <v>28</v>
      </c>
      <c r="AO603" s="112">
        <v>93.33333333333333</v>
      </c>
      <c r="AP603" s="111">
        <v>30</v>
      </c>
    </row>
    <row r="604" spans="1:42" ht="15">
      <c r="A604" s="65" t="s">
        <v>770</v>
      </c>
      <c r="B604" s="65" t="s">
        <v>786</v>
      </c>
      <c r="C604" s="66" t="s">
        <v>4509</v>
      </c>
      <c r="D604" s="67">
        <v>3</v>
      </c>
      <c r="E604" s="68"/>
      <c r="F604" s="69">
        <v>40</v>
      </c>
      <c r="G604" s="66"/>
      <c r="H604" s="70"/>
      <c r="I604" s="71"/>
      <c r="J604" s="71"/>
      <c r="K604" s="35" t="s">
        <v>65</v>
      </c>
      <c r="L604" s="79">
        <v>604</v>
      </c>
      <c r="M604" s="79"/>
      <c r="N604" s="73"/>
      <c r="O604" s="81" t="s">
        <v>788</v>
      </c>
      <c r="P604" s="81" t="s">
        <v>325</v>
      </c>
      <c r="Q604" s="84" t="s">
        <v>1387</v>
      </c>
      <c r="R604" s="81" t="s">
        <v>770</v>
      </c>
      <c r="S604" s="81" t="s">
        <v>1837</v>
      </c>
      <c r="T604" s="86" t="str">
        <f>HYPERLINK("http://www.youtube.com/channel/UClaqWbGvrbzjoGbt2qlvk-g")</f>
        <v>http://www.youtube.com/channel/UClaqWbGvrbzjoGbt2qlvk-g</v>
      </c>
      <c r="U604" s="81"/>
      <c r="V604" s="81" t="s">
        <v>1885</v>
      </c>
      <c r="W604" s="86" t="str">
        <f>HYPERLINK("https://www.youtube.com/watch?v=wadBvDPeE4E")</f>
        <v>https://www.youtube.com/watch?v=wadBvDPeE4E</v>
      </c>
      <c r="X604" s="81" t="s">
        <v>1886</v>
      </c>
      <c r="Y604" s="81">
        <v>0</v>
      </c>
      <c r="Z604" s="88">
        <v>44665.54033564815</v>
      </c>
      <c r="AA604" s="88">
        <v>44665.54033564815</v>
      </c>
      <c r="AB604" s="81"/>
      <c r="AC604" s="81"/>
      <c r="AD604" s="84" t="s">
        <v>1927</v>
      </c>
      <c r="AE604" s="82">
        <v>1</v>
      </c>
      <c r="AF604" s="83" t="str">
        <f>REPLACE(INDEX(GroupVertices[Group],MATCH(Edges[[#This Row],[Vertex 1]],GroupVertices[Vertex],0)),1,1,"")</f>
        <v>1</v>
      </c>
      <c r="AG604" s="83" t="str">
        <f>REPLACE(INDEX(GroupVertices[Group],MATCH(Edges[[#This Row],[Vertex 2]],GroupVertices[Vertex],0)),1,1,"")</f>
        <v>1</v>
      </c>
      <c r="AH604" s="111">
        <v>1</v>
      </c>
      <c r="AI604" s="112">
        <v>10</v>
      </c>
      <c r="AJ604" s="111">
        <v>0</v>
      </c>
      <c r="AK604" s="112">
        <v>0</v>
      </c>
      <c r="AL604" s="111">
        <v>0</v>
      </c>
      <c r="AM604" s="112">
        <v>0</v>
      </c>
      <c r="AN604" s="111">
        <v>9</v>
      </c>
      <c r="AO604" s="112">
        <v>90</v>
      </c>
      <c r="AP604" s="111">
        <v>10</v>
      </c>
    </row>
    <row r="605" spans="1:42" ht="15">
      <c r="A605" s="65" t="s">
        <v>771</v>
      </c>
      <c r="B605" s="65" t="s">
        <v>786</v>
      </c>
      <c r="C605" s="66" t="s">
        <v>4509</v>
      </c>
      <c r="D605" s="67">
        <v>3</v>
      </c>
      <c r="E605" s="68"/>
      <c r="F605" s="69">
        <v>40</v>
      </c>
      <c r="G605" s="66"/>
      <c r="H605" s="70"/>
      <c r="I605" s="71"/>
      <c r="J605" s="71"/>
      <c r="K605" s="35" t="s">
        <v>65</v>
      </c>
      <c r="L605" s="79">
        <v>605</v>
      </c>
      <c r="M605" s="79"/>
      <c r="N605" s="73"/>
      <c r="O605" s="81" t="s">
        <v>788</v>
      </c>
      <c r="P605" s="81" t="s">
        <v>325</v>
      </c>
      <c r="Q605" s="84" t="s">
        <v>1388</v>
      </c>
      <c r="R605" s="81" t="s">
        <v>771</v>
      </c>
      <c r="S605" s="81" t="s">
        <v>1838</v>
      </c>
      <c r="T605" s="86" t="str">
        <f>HYPERLINK("http://www.youtube.com/channel/UCr3JXuoyBMQ6MqbtXojBJeQ")</f>
        <v>http://www.youtube.com/channel/UCr3JXuoyBMQ6MqbtXojBJeQ</v>
      </c>
      <c r="U605" s="81"/>
      <c r="V605" s="81" t="s">
        <v>1885</v>
      </c>
      <c r="W605" s="86" t="str">
        <f>HYPERLINK("https://www.youtube.com/watch?v=wadBvDPeE4E")</f>
        <v>https://www.youtube.com/watch?v=wadBvDPeE4E</v>
      </c>
      <c r="X605" s="81" t="s">
        <v>1886</v>
      </c>
      <c r="Y605" s="81">
        <v>0</v>
      </c>
      <c r="Z605" s="88">
        <v>44675.09116898148</v>
      </c>
      <c r="AA605" s="88">
        <v>44675.09116898148</v>
      </c>
      <c r="AB605" s="81"/>
      <c r="AC605" s="81"/>
      <c r="AD605" s="84" t="s">
        <v>1927</v>
      </c>
      <c r="AE605" s="82">
        <v>1</v>
      </c>
      <c r="AF605" s="83" t="str">
        <f>REPLACE(INDEX(GroupVertices[Group],MATCH(Edges[[#This Row],[Vertex 1]],GroupVertices[Vertex],0)),1,1,"")</f>
        <v>1</v>
      </c>
      <c r="AG605" s="83" t="str">
        <f>REPLACE(INDEX(GroupVertices[Group],MATCH(Edges[[#This Row],[Vertex 2]],GroupVertices[Vertex],0)),1,1,"")</f>
        <v>1</v>
      </c>
      <c r="AH605" s="111">
        <v>1</v>
      </c>
      <c r="AI605" s="112">
        <v>100</v>
      </c>
      <c r="AJ605" s="111">
        <v>0</v>
      </c>
      <c r="AK605" s="112">
        <v>0</v>
      </c>
      <c r="AL605" s="111">
        <v>0</v>
      </c>
      <c r="AM605" s="112">
        <v>0</v>
      </c>
      <c r="AN605" s="111">
        <v>0</v>
      </c>
      <c r="AO605" s="112">
        <v>0</v>
      </c>
      <c r="AP605" s="111">
        <v>1</v>
      </c>
    </row>
    <row r="606" spans="1:42" ht="15">
      <c r="A606" s="65" t="s">
        <v>772</v>
      </c>
      <c r="B606" s="65" t="s">
        <v>786</v>
      </c>
      <c r="C606" s="66" t="s">
        <v>4509</v>
      </c>
      <c r="D606" s="67">
        <v>3</v>
      </c>
      <c r="E606" s="68"/>
      <c r="F606" s="69">
        <v>40</v>
      </c>
      <c r="G606" s="66"/>
      <c r="H606" s="70"/>
      <c r="I606" s="71"/>
      <c r="J606" s="71"/>
      <c r="K606" s="35" t="s">
        <v>65</v>
      </c>
      <c r="L606" s="79">
        <v>606</v>
      </c>
      <c r="M606" s="79"/>
      <c r="N606" s="73"/>
      <c r="O606" s="81" t="s">
        <v>788</v>
      </c>
      <c r="P606" s="81" t="s">
        <v>325</v>
      </c>
      <c r="Q606" s="84" t="s">
        <v>1389</v>
      </c>
      <c r="R606" s="81" t="s">
        <v>772</v>
      </c>
      <c r="S606" s="81" t="s">
        <v>1839</v>
      </c>
      <c r="T606" s="86" t="str">
        <f>HYPERLINK("http://www.youtube.com/channel/UCacB5Aq-7GT6MlxP_u729vA")</f>
        <v>http://www.youtube.com/channel/UCacB5Aq-7GT6MlxP_u729vA</v>
      </c>
      <c r="U606" s="81"/>
      <c r="V606" s="81" t="s">
        <v>1885</v>
      </c>
      <c r="W606" s="86" t="str">
        <f>HYPERLINK("https://www.youtube.com/watch?v=wadBvDPeE4E")</f>
        <v>https://www.youtube.com/watch?v=wadBvDPeE4E</v>
      </c>
      <c r="X606" s="81" t="s">
        <v>1886</v>
      </c>
      <c r="Y606" s="81">
        <v>0</v>
      </c>
      <c r="Z606" s="88">
        <v>44675.43203703704</v>
      </c>
      <c r="AA606" s="88">
        <v>44675.43203703704</v>
      </c>
      <c r="AB606" s="81"/>
      <c r="AC606" s="81"/>
      <c r="AD606" s="84" t="s">
        <v>1927</v>
      </c>
      <c r="AE606" s="82">
        <v>1</v>
      </c>
      <c r="AF606" s="83" t="str">
        <f>REPLACE(INDEX(GroupVertices[Group],MATCH(Edges[[#This Row],[Vertex 1]],GroupVertices[Vertex],0)),1,1,"")</f>
        <v>1</v>
      </c>
      <c r="AG606" s="83" t="str">
        <f>REPLACE(INDEX(GroupVertices[Group],MATCH(Edges[[#This Row],[Vertex 2]],GroupVertices[Vertex],0)),1,1,"")</f>
        <v>1</v>
      </c>
      <c r="AH606" s="111">
        <v>1</v>
      </c>
      <c r="AI606" s="112">
        <v>5.882352941176471</v>
      </c>
      <c r="AJ606" s="111">
        <v>2</v>
      </c>
      <c r="AK606" s="112">
        <v>11.764705882352942</v>
      </c>
      <c r="AL606" s="111">
        <v>0</v>
      </c>
      <c r="AM606" s="112">
        <v>0</v>
      </c>
      <c r="AN606" s="111">
        <v>14</v>
      </c>
      <c r="AO606" s="112">
        <v>82.3529411764706</v>
      </c>
      <c r="AP606" s="111">
        <v>17</v>
      </c>
    </row>
    <row r="607" spans="1:42" ht="15">
      <c r="A607" s="65" t="s">
        <v>773</v>
      </c>
      <c r="B607" s="65" t="s">
        <v>786</v>
      </c>
      <c r="C607" s="66" t="s">
        <v>4509</v>
      </c>
      <c r="D607" s="67">
        <v>3</v>
      </c>
      <c r="E607" s="68"/>
      <c r="F607" s="69">
        <v>40</v>
      </c>
      <c r="G607" s="66"/>
      <c r="H607" s="70"/>
      <c r="I607" s="71"/>
      <c r="J607" s="71"/>
      <c r="K607" s="35" t="s">
        <v>65</v>
      </c>
      <c r="L607" s="79">
        <v>607</v>
      </c>
      <c r="M607" s="79"/>
      <c r="N607" s="73"/>
      <c r="O607" s="81" t="s">
        <v>788</v>
      </c>
      <c r="P607" s="81" t="s">
        <v>325</v>
      </c>
      <c r="Q607" s="84" t="s">
        <v>1390</v>
      </c>
      <c r="R607" s="81" t="s">
        <v>773</v>
      </c>
      <c r="S607" s="81" t="s">
        <v>1840</v>
      </c>
      <c r="T607" s="86" t="str">
        <f>HYPERLINK("http://www.youtube.com/channel/UCrUzUaPoH6NYbxsttzmGq-g")</f>
        <v>http://www.youtube.com/channel/UCrUzUaPoH6NYbxsttzmGq-g</v>
      </c>
      <c r="U607" s="81"/>
      <c r="V607" s="81" t="s">
        <v>1885</v>
      </c>
      <c r="W607" s="86" t="str">
        <f>HYPERLINK("https://www.youtube.com/watch?v=wadBvDPeE4E")</f>
        <v>https://www.youtube.com/watch?v=wadBvDPeE4E</v>
      </c>
      <c r="X607" s="81" t="s">
        <v>1886</v>
      </c>
      <c r="Y607" s="81">
        <v>0</v>
      </c>
      <c r="Z607" s="88">
        <v>44677.76521990741</v>
      </c>
      <c r="AA607" s="88">
        <v>44677.76521990741</v>
      </c>
      <c r="AB607" s="81"/>
      <c r="AC607" s="81"/>
      <c r="AD607" s="84" t="s">
        <v>1927</v>
      </c>
      <c r="AE607" s="82">
        <v>1</v>
      </c>
      <c r="AF607" s="83" t="str">
        <f>REPLACE(INDEX(GroupVertices[Group],MATCH(Edges[[#This Row],[Vertex 1]],GroupVertices[Vertex],0)),1,1,"")</f>
        <v>1</v>
      </c>
      <c r="AG607" s="83" t="str">
        <f>REPLACE(INDEX(GroupVertices[Group],MATCH(Edges[[#This Row],[Vertex 2]],GroupVertices[Vertex],0)),1,1,"")</f>
        <v>1</v>
      </c>
      <c r="AH607" s="111">
        <v>0</v>
      </c>
      <c r="AI607" s="112">
        <v>0</v>
      </c>
      <c r="AJ607" s="111">
        <v>0</v>
      </c>
      <c r="AK607" s="112">
        <v>0</v>
      </c>
      <c r="AL607" s="111">
        <v>0</v>
      </c>
      <c r="AM607" s="112">
        <v>0</v>
      </c>
      <c r="AN607" s="111">
        <v>17</v>
      </c>
      <c r="AO607" s="112">
        <v>100</v>
      </c>
      <c r="AP607" s="111">
        <v>17</v>
      </c>
    </row>
    <row r="608" spans="1:42" ht="15">
      <c r="A608" s="65" t="s">
        <v>774</v>
      </c>
      <c r="B608" s="65" t="s">
        <v>786</v>
      </c>
      <c r="C608" s="66" t="s">
        <v>4509</v>
      </c>
      <c r="D608" s="67">
        <v>3</v>
      </c>
      <c r="E608" s="68"/>
      <c r="F608" s="69">
        <v>40</v>
      </c>
      <c r="G608" s="66"/>
      <c r="H608" s="70"/>
      <c r="I608" s="71"/>
      <c r="J608" s="71"/>
      <c r="K608" s="35" t="s">
        <v>65</v>
      </c>
      <c r="L608" s="79">
        <v>608</v>
      </c>
      <c r="M608" s="79"/>
      <c r="N608" s="73"/>
      <c r="O608" s="81" t="s">
        <v>788</v>
      </c>
      <c r="P608" s="81" t="s">
        <v>325</v>
      </c>
      <c r="Q608" s="84" t="s">
        <v>1391</v>
      </c>
      <c r="R608" s="81" t="s">
        <v>774</v>
      </c>
      <c r="S608" s="81" t="s">
        <v>1841</v>
      </c>
      <c r="T608" s="86" t="str">
        <f>HYPERLINK("http://www.youtube.com/channel/UCUZ4fVlYrIDI1K6lX3N0spw")</f>
        <v>http://www.youtube.com/channel/UCUZ4fVlYrIDI1K6lX3N0spw</v>
      </c>
      <c r="U608" s="81"/>
      <c r="V608" s="81" t="s">
        <v>1885</v>
      </c>
      <c r="W608" s="86" t="str">
        <f>HYPERLINK("https://www.youtube.com/watch?v=wadBvDPeE4E")</f>
        <v>https://www.youtube.com/watch?v=wadBvDPeE4E</v>
      </c>
      <c r="X608" s="81" t="s">
        <v>1886</v>
      </c>
      <c r="Y608" s="81">
        <v>0</v>
      </c>
      <c r="Z608" s="88">
        <v>44682.34842592593</v>
      </c>
      <c r="AA608" s="88">
        <v>44682.34842592593</v>
      </c>
      <c r="AB608" s="81"/>
      <c r="AC608" s="81"/>
      <c r="AD608" s="84" t="s">
        <v>1927</v>
      </c>
      <c r="AE608" s="82">
        <v>1</v>
      </c>
      <c r="AF608" s="83" t="str">
        <f>REPLACE(INDEX(GroupVertices[Group],MATCH(Edges[[#This Row],[Vertex 1]],GroupVertices[Vertex],0)),1,1,"")</f>
        <v>1</v>
      </c>
      <c r="AG608" s="83" t="str">
        <f>REPLACE(INDEX(GroupVertices[Group],MATCH(Edges[[#This Row],[Vertex 2]],GroupVertices[Vertex],0)),1,1,"")</f>
        <v>1</v>
      </c>
      <c r="AH608" s="111">
        <v>0</v>
      </c>
      <c r="AI608" s="112">
        <v>0</v>
      </c>
      <c r="AJ608" s="111">
        <v>0</v>
      </c>
      <c r="AK608" s="112">
        <v>0</v>
      </c>
      <c r="AL608" s="111">
        <v>0</v>
      </c>
      <c r="AM608" s="112">
        <v>0</v>
      </c>
      <c r="AN608" s="111">
        <v>17</v>
      </c>
      <c r="AO608" s="112">
        <v>100</v>
      </c>
      <c r="AP608" s="111">
        <v>17</v>
      </c>
    </row>
    <row r="609" spans="1:42" ht="15">
      <c r="A609" s="65" t="s">
        <v>775</v>
      </c>
      <c r="B609" s="65" t="s">
        <v>786</v>
      </c>
      <c r="C609" s="66" t="s">
        <v>4509</v>
      </c>
      <c r="D609" s="67">
        <v>3</v>
      </c>
      <c r="E609" s="68"/>
      <c r="F609" s="69">
        <v>40</v>
      </c>
      <c r="G609" s="66"/>
      <c r="H609" s="70"/>
      <c r="I609" s="71"/>
      <c r="J609" s="71"/>
      <c r="K609" s="35" t="s">
        <v>65</v>
      </c>
      <c r="L609" s="79">
        <v>609</v>
      </c>
      <c r="M609" s="79"/>
      <c r="N609" s="73"/>
      <c r="O609" s="81" t="s">
        <v>788</v>
      </c>
      <c r="P609" s="81" t="s">
        <v>325</v>
      </c>
      <c r="Q609" s="84" t="s">
        <v>1392</v>
      </c>
      <c r="R609" s="81" t="s">
        <v>775</v>
      </c>
      <c r="S609" s="81" t="s">
        <v>1842</v>
      </c>
      <c r="T609" s="86" t="str">
        <f>HYPERLINK("http://www.youtube.com/channel/UC6KN3OhZPDh-RnGnKoHCzqw")</f>
        <v>http://www.youtube.com/channel/UC6KN3OhZPDh-RnGnKoHCzqw</v>
      </c>
      <c r="U609" s="81"/>
      <c r="V609" s="81" t="s">
        <v>1885</v>
      </c>
      <c r="W609" s="86" t="str">
        <f>HYPERLINK("https://www.youtube.com/watch?v=wadBvDPeE4E")</f>
        <v>https://www.youtube.com/watch?v=wadBvDPeE4E</v>
      </c>
      <c r="X609" s="81" t="s">
        <v>1886</v>
      </c>
      <c r="Y609" s="81">
        <v>0</v>
      </c>
      <c r="Z609" s="88">
        <v>44687.11224537037</v>
      </c>
      <c r="AA609" s="88">
        <v>44687.11224537037</v>
      </c>
      <c r="AB609" s="81"/>
      <c r="AC609" s="81"/>
      <c r="AD609" s="84" t="s">
        <v>1927</v>
      </c>
      <c r="AE609" s="82">
        <v>1</v>
      </c>
      <c r="AF609" s="83" t="str">
        <f>REPLACE(INDEX(GroupVertices[Group],MATCH(Edges[[#This Row],[Vertex 1]],GroupVertices[Vertex],0)),1,1,"")</f>
        <v>1</v>
      </c>
      <c r="AG609" s="83" t="str">
        <f>REPLACE(INDEX(GroupVertices[Group],MATCH(Edges[[#This Row],[Vertex 2]],GroupVertices[Vertex],0)),1,1,"")</f>
        <v>1</v>
      </c>
      <c r="AH609" s="111">
        <v>1</v>
      </c>
      <c r="AI609" s="112">
        <v>100</v>
      </c>
      <c r="AJ609" s="111">
        <v>0</v>
      </c>
      <c r="AK609" s="112">
        <v>0</v>
      </c>
      <c r="AL609" s="111">
        <v>0</v>
      </c>
      <c r="AM609" s="112">
        <v>0</v>
      </c>
      <c r="AN609" s="111">
        <v>0</v>
      </c>
      <c r="AO609" s="112">
        <v>0</v>
      </c>
      <c r="AP609" s="111">
        <v>1</v>
      </c>
    </row>
    <row r="610" spans="1:42" ht="15">
      <c r="A610" s="65" t="s">
        <v>776</v>
      </c>
      <c r="B610" s="65" t="s">
        <v>786</v>
      </c>
      <c r="C610" s="66" t="s">
        <v>4509</v>
      </c>
      <c r="D610" s="67">
        <v>3</v>
      </c>
      <c r="E610" s="68"/>
      <c r="F610" s="69">
        <v>40</v>
      </c>
      <c r="G610" s="66"/>
      <c r="H610" s="70"/>
      <c r="I610" s="71"/>
      <c r="J610" s="71"/>
      <c r="K610" s="35" t="s">
        <v>65</v>
      </c>
      <c r="L610" s="79">
        <v>610</v>
      </c>
      <c r="M610" s="79"/>
      <c r="N610" s="73"/>
      <c r="O610" s="81" t="s">
        <v>788</v>
      </c>
      <c r="P610" s="81" t="s">
        <v>325</v>
      </c>
      <c r="Q610" s="84" t="s">
        <v>1393</v>
      </c>
      <c r="R610" s="81" t="s">
        <v>776</v>
      </c>
      <c r="S610" s="81" t="s">
        <v>1843</v>
      </c>
      <c r="T610" s="86" t="str">
        <f>HYPERLINK("http://www.youtube.com/channel/UCkvHP60Akt1kfF3FUMD45lQ")</f>
        <v>http://www.youtube.com/channel/UCkvHP60Akt1kfF3FUMD45lQ</v>
      </c>
      <c r="U610" s="81"/>
      <c r="V610" s="81" t="s">
        <v>1885</v>
      </c>
      <c r="W610" s="86" t="str">
        <f>HYPERLINK("https://www.youtube.com/watch?v=wadBvDPeE4E")</f>
        <v>https://www.youtube.com/watch?v=wadBvDPeE4E</v>
      </c>
      <c r="X610" s="81" t="s">
        <v>1886</v>
      </c>
      <c r="Y610" s="81">
        <v>0</v>
      </c>
      <c r="Z610" s="88">
        <v>44687.33982638889</v>
      </c>
      <c r="AA610" s="88">
        <v>44687.33982638889</v>
      </c>
      <c r="AB610" s="81"/>
      <c r="AC610" s="81"/>
      <c r="AD610" s="84" t="s">
        <v>1927</v>
      </c>
      <c r="AE610" s="82">
        <v>1</v>
      </c>
      <c r="AF610" s="83" t="str">
        <f>REPLACE(INDEX(GroupVertices[Group],MATCH(Edges[[#This Row],[Vertex 1]],GroupVertices[Vertex],0)),1,1,"")</f>
        <v>1</v>
      </c>
      <c r="AG610" s="83" t="str">
        <f>REPLACE(INDEX(GroupVertices[Group],MATCH(Edges[[#This Row],[Vertex 2]],GroupVertices[Vertex],0)),1,1,"")</f>
        <v>1</v>
      </c>
      <c r="AH610" s="111">
        <v>1</v>
      </c>
      <c r="AI610" s="112">
        <v>7.142857142857143</v>
      </c>
      <c r="AJ610" s="111">
        <v>0</v>
      </c>
      <c r="AK610" s="112">
        <v>0</v>
      </c>
      <c r="AL610" s="111">
        <v>0</v>
      </c>
      <c r="AM610" s="112">
        <v>0</v>
      </c>
      <c r="AN610" s="111">
        <v>13</v>
      </c>
      <c r="AO610" s="112">
        <v>92.85714285714286</v>
      </c>
      <c r="AP610" s="111">
        <v>14</v>
      </c>
    </row>
    <row r="611" spans="1:42" ht="15">
      <c r="A611" s="65" t="s">
        <v>777</v>
      </c>
      <c r="B611" s="65" t="s">
        <v>786</v>
      </c>
      <c r="C611" s="66" t="s">
        <v>4509</v>
      </c>
      <c r="D611" s="67">
        <v>3</v>
      </c>
      <c r="E611" s="68"/>
      <c r="F611" s="69">
        <v>40</v>
      </c>
      <c r="G611" s="66"/>
      <c r="H611" s="70"/>
      <c r="I611" s="71"/>
      <c r="J611" s="71"/>
      <c r="K611" s="35" t="s">
        <v>65</v>
      </c>
      <c r="L611" s="79">
        <v>611</v>
      </c>
      <c r="M611" s="79"/>
      <c r="N611" s="73"/>
      <c r="O611" s="81" t="s">
        <v>788</v>
      </c>
      <c r="P611" s="81" t="s">
        <v>325</v>
      </c>
      <c r="Q611" s="84" t="s">
        <v>1394</v>
      </c>
      <c r="R611" s="81" t="s">
        <v>777</v>
      </c>
      <c r="S611" s="81" t="s">
        <v>1844</v>
      </c>
      <c r="T611" s="86" t="str">
        <f>HYPERLINK("http://www.youtube.com/channel/UCNG_yvMeAfS9RbCPkvthc7g")</f>
        <v>http://www.youtube.com/channel/UCNG_yvMeAfS9RbCPkvthc7g</v>
      </c>
      <c r="U611" s="81"/>
      <c r="V611" s="81" t="s">
        <v>1885</v>
      </c>
      <c r="W611" s="86" t="str">
        <f>HYPERLINK("https://www.youtube.com/watch?v=wadBvDPeE4E")</f>
        <v>https://www.youtube.com/watch?v=wadBvDPeE4E</v>
      </c>
      <c r="X611" s="81" t="s">
        <v>1886</v>
      </c>
      <c r="Y611" s="81">
        <v>0</v>
      </c>
      <c r="Z611" s="88">
        <v>44692.04703703704</v>
      </c>
      <c r="AA611" s="88">
        <v>44692.04703703704</v>
      </c>
      <c r="AB611" s="81"/>
      <c r="AC611" s="81"/>
      <c r="AD611" s="84" t="s">
        <v>1927</v>
      </c>
      <c r="AE611" s="82">
        <v>1</v>
      </c>
      <c r="AF611" s="83" t="str">
        <f>REPLACE(INDEX(GroupVertices[Group],MATCH(Edges[[#This Row],[Vertex 1]],GroupVertices[Vertex],0)),1,1,"")</f>
        <v>1</v>
      </c>
      <c r="AG611" s="83" t="str">
        <f>REPLACE(INDEX(GroupVertices[Group],MATCH(Edges[[#This Row],[Vertex 2]],GroupVertices[Vertex],0)),1,1,"")</f>
        <v>1</v>
      </c>
      <c r="AH611" s="111">
        <v>0</v>
      </c>
      <c r="AI611" s="112">
        <v>0</v>
      </c>
      <c r="AJ611" s="111">
        <v>1</v>
      </c>
      <c r="AK611" s="112">
        <v>11.11111111111111</v>
      </c>
      <c r="AL611" s="111">
        <v>0</v>
      </c>
      <c r="AM611" s="112">
        <v>0</v>
      </c>
      <c r="AN611" s="111">
        <v>8</v>
      </c>
      <c r="AO611" s="112">
        <v>88.88888888888889</v>
      </c>
      <c r="AP611" s="111">
        <v>9</v>
      </c>
    </row>
    <row r="612" spans="1:42" ht="15">
      <c r="A612" s="65" t="s">
        <v>778</v>
      </c>
      <c r="B612" s="65" t="s">
        <v>786</v>
      </c>
      <c r="C612" s="66" t="s">
        <v>4509</v>
      </c>
      <c r="D612" s="67">
        <v>3</v>
      </c>
      <c r="E612" s="68"/>
      <c r="F612" s="69">
        <v>40</v>
      </c>
      <c r="G612" s="66"/>
      <c r="H612" s="70"/>
      <c r="I612" s="71"/>
      <c r="J612" s="71"/>
      <c r="K612" s="35" t="s">
        <v>65</v>
      </c>
      <c r="L612" s="79">
        <v>612</v>
      </c>
      <c r="M612" s="79"/>
      <c r="N612" s="73"/>
      <c r="O612" s="81" t="s">
        <v>788</v>
      </c>
      <c r="P612" s="81" t="s">
        <v>325</v>
      </c>
      <c r="Q612" s="84" t="s">
        <v>1395</v>
      </c>
      <c r="R612" s="81" t="s">
        <v>778</v>
      </c>
      <c r="S612" s="81" t="s">
        <v>1845</v>
      </c>
      <c r="T612" s="86" t="str">
        <f>HYPERLINK("http://www.youtube.com/channel/UCxiVHhU6qu2lNb5a8pafrzg")</f>
        <v>http://www.youtube.com/channel/UCxiVHhU6qu2lNb5a8pafrzg</v>
      </c>
      <c r="U612" s="81"/>
      <c r="V612" s="81" t="s">
        <v>1885</v>
      </c>
      <c r="W612" s="86" t="str">
        <f>HYPERLINK("https://www.youtube.com/watch?v=wadBvDPeE4E")</f>
        <v>https://www.youtube.com/watch?v=wadBvDPeE4E</v>
      </c>
      <c r="X612" s="81" t="s">
        <v>1886</v>
      </c>
      <c r="Y612" s="81">
        <v>0</v>
      </c>
      <c r="Z612" s="88">
        <v>44693.17351851852</v>
      </c>
      <c r="AA612" s="88">
        <v>44693.17351851852</v>
      </c>
      <c r="AB612" s="81"/>
      <c r="AC612" s="81"/>
      <c r="AD612" s="84" t="s">
        <v>1927</v>
      </c>
      <c r="AE612" s="82">
        <v>1</v>
      </c>
      <c r="AF612" s="83" t="str">
        <f>REPLACE(INDEX(GroupVertices[Group],MATCH(Edges[[#This Row],[Vertex 1]],GroupVertices[Vertex],0)),1,1,"")</f>
        <v>1</v>
      </c>
      <c r="AG612" s="83" t="str">
        <f>REPLACE(INDEX(GroupVertices[Group],MATCH(Edges[[#This Row],[Vertex 2]],GroupVertices[Vertex],0)),1,1,"")</f>
        <v>1</v>
      </c>
      <c r="AH612" s="111">
        <v>0</v>
      </c>
      <c r="AI612" s="112">
        <v>0</v>
      </c>
      <c r="AJ612" s="111">
        <v>1</v>
      </c>
      <c r="AK612" s="112">
        <v>9.090909090909092</v>
      </c>
      <c r="AL612" s="111">
        <v>0</v>
      </c>
      <c r="AM612" s="112">
        <v>0</v>
      </c>
      <c r="AN612" s="111">
        <v>10</v>
      </c>
      <c r="AO612" s="112">
        <v>90.9090909090909</v>
      </c>
      <c r="AP612" s="111">
        <v>11</v>
      </c>
    </row>
    <row r="613" spans="1:42" ht="15">
      <c r="A613" s="65" t="s">
        <v>672</v>
      </c>
      <c r="B613" s="65" t="s">
        <v>786</v>
      </c>
      <c r="C613" s="66" t="s">
        <v>4509</v>
      </c>
      <c r="D613" s="67">
        <v>3</v>
      </c>
      <c r="E613" s="68"/>
      <c r="F613" s="69">
        <v>40</v>
      </c>
      <c r="G613" s="66"/>
      <c r="H613" s="70"/>
      <c r="I613" s="71"/>
      <c r="J613" s="71"/>
      <c r="K613" s="35" t="s">
        <v>65</v>
      </c>
      <c r="L613" s="79">
        <v>613</v>
      </c>
      <c r="M613" s="79"/>
      <c r="N613" s="73"/>
      <c r="O613" s="81" t="s">
        <v>788</v>
      </c>
      <c r="P613" s="81" t="s">
        <v>325</v>
      </c>
      <c r="Q613" s="84" t="s">
        <v>1396</v>
      </c>
      <c r="R613" s="81" t="s">
        <v>672</v>
      </c>
      <c r="S613" s="81" t="s">
        <v>1739</v>
      </c>
      <c r="T613" s="86" t="str">
        <f>HYPERLINK("http://www.youtube.com/channel/UC_-FIxHPBnhLkE9cGbL2ZiQ")</f>
        <v>http://www.youtube.com/channel/UC_-FIxHPBnhLkE9cGbL2ZiQ</v>
      </c>
      <c r="U613" s="81"/>
      <c r="V613" s="81" t="s">
        <v>1885</v>
      </c>
      <c r="W613" s="86" t="str">
        <f>HYPERLINK("https://www.youtube.com/watch?v=wadBvDPeE4E")</f>
        <v>https://www.youtube.com/watch?v=wadBvDPeE4E</v>
      </c>
      <c r="X613" s="81" t="s">
        <v>1886</v>
      </c>
      <c r="Y613" s="81">
        <v>0</v>
      </c>
      <c r="Z613" s="88">
        <v>44693.7031712963</v>
      </c>
      <c r="AA613" s="88">
        <v>44693.70583333333</v>
      </c>
      <c r="AB613" s="81"/>
      <c r="AC613" s="81"/>
      <c r="AD613" s="84" t="s">
        <v>1927</v>
      </c>
      <c r="AE613" s="82">
        <v>1</v>
      </c>
      <c r="AF613" s="83" t="str">
        <f>REPLACE(INDEX(GroupVertices[Group],MATCH(Edges[[#This Row],[Vertex 1]],GroupVertices[Vertex],0)),1,1,"")</f>
        <v>7</v>
      </c>
      <c r="AG613" s="83" t="str">
        <f>REPLACE(INDEX(GroupVertices[Group],MATCH(Edges[[#This Row],[Vertex 2]],GroupVertices[Vertex],0)),1,1,"")</f>
        <v>1</v>
      </c>
      <c r="AH613" s="111">
        <v>6</v>
      </c>
      <c r="AI613" s="112">
        <v>5.504587155963303</v>
      </c>
      <c r="AJ613" s="111">
        <v>7</v>
      </c>
      <c r="AK613" s="112">
        <v>6.422018348623853</v>
      </c>
      <c r="AL613" s="111">
        <v>0</v>
      </c>
      <c r="AM613" s="112">
        <v>0</v>
      </c>
      <c r="AN613" s="111">
        <v>96</v>
      </c>
      <c r="AO613" s="112">
        <v>88.07339449541284</v>
      </c>
      <c r="AP613" s="111">
        <v>109</v>
      </c>
    </row>
    <row r="614" spans="1:42" ht="15">
      <c r="A614" s="65" t="s">
        <v>779</v>
      </c>
      <c r="B614" s="65" t="s">
        <v>786</v>
      </c>
      <c r="C614" s="66" t="s">
        <v>4509</v>
      </c>
      <c r="D614" s="67">
        <v>3</v>
      </c>
      <c r="E614" s="68"/>
      <c r="F614" s="69">
        <v>40</v>
      </c>
      <c r="G614" s="66"/>
      <c r="H614" s="70"/>
      <c r="I614" s="71"/>
      <c r="J614" s="71"/>
      <c r="K614" s="35" t="s">
        <v>65</v>
      </c>
      <c r="L614" s="79">
        <v>614</v>
      </c>
      <c r="M614" s="79"/>
      <c r="N614" s="73"/>
      <c r="O614" s="81" t="s">
        <v>788</v>
      </c>
      <c r="P614" s="81" t="s">
        <v>325</v>
      </c>
      <c r="Q614" s="84" t="s">
        <v>1397</v>
      </c>
      <c r="R614" s="81" t="s">
        <v>779</v>
      </c>
      <c r="S614" s="81" t="s">
        <v>1846</v>
      </c>
      <c r="T614" s="86" t="str">
        <f>HYPERLINK("http://www.youtube.com/channel/UCaYpMdJFIL6MXMucIr83k4A")</f>
        <v>http://www.youtube.com/channel/UCaYpMdJFIL6MXMucIr83k4A</v>
      </c>
      <c r="U614" s="81"/>
      <c r="V614" s="81" t="s">
        <v>1885</v>
      </c>
      <c r="W614" s="86" t="str">
        <f>HYPERLINK("https://www.youtube.com/watch?v=wadBvDPeE4E")</f>
        <v>https://www.youtube.com/watch?v=wadBvDPeE4E</v>
      </c>
      <c r="X614" s="81" t="s">
        <v>1886</v>
      </c>
      <c r="Y614" s="81">
        <v>0</v>
      </c>
      <c r="Z614" s="88">
        <v>44704.59795138889</v>
      </c>
      <c r="AA614" s="88">
        <v>44704.59795138889</v>
      </c>
      <c r="AB614" s="81"/>
      <c r="AC614" s="81"/>
      <c r="AD614" s="84" t="s">
        <v>1927</v>
      </c>
      <c r="AE614" s="82">
        <v>1</v>
      </c>
      <c r="AF614" s="83" t="str">
        <f>REPLACE(INDEX(GroupVertices[Group],MATCH(Edges[[#This Row],[Vertex 1]],GroupVertices[Vertex],0)),1,1,"")</f>
        <v>1</v>
      </c>
      <c r="AG614" s="83" t="str">
        <f>REPLACE(INDEX(GroupVertices[Group],MATCH(Edges[[#This Row],[Vertex 2]],GroupVertices[Vertex],0)),1,1,"")</f>
        <v>1</v>
      </c>
      <c r="AH614" s="111">
        <v>3</v>
      </c>
      <c r="AI614" s="112">
        <v>12</v>
      </c>
      <c r="AJ614" s="111">
        <v>1</v>
      </c>
      <c r="AK614" s="112">
        <v>4</v>
      </c>
      <c r="AL614" s="111">
        <v>0</v>
      </c>
      <c r="AM614" s="112">
        <v>0</v>
      </c>
      <c r="AN614" s="111">
        <v>21</v>
      </c>
      <c r="AO614" s="112">
        <v>84</v>
      </c>
      <c r="AP614" s="111">
        <v>25</v>
      </c>
    </row>
    <row r="615" spans="1:42" ht="15">
      <c r="A615" s="65" t="s">
        <v>780</v>
      </c>
      <c r="B615" s="65" t="s">
        <v>786</v>
      </c>
      <c r="C615" s="66" t="s">
        <v>4509</v>
      </c>
      <c r="D615" s="67">
        <v>3</v>
      </c>
      <c r="E615" s="68"/>
      <c r="F615" s="69">
        <v>40</v>
      </c>
      <c r="G615" s="66"/>
      <c r="H615" s="70"/>
      <c r="I615" s="71"/>
      <c r="J615" s="71"/>
      <c r="K615" s="35" t="s">
        <v>65</v>
      </c>
      <c r="L615" s="79">
        <v>615</v>
      </c>
      <c r="M615" s="79"/>
      <c r="N615" s="73"/>
      <c r="O615" s="81" t="s">
        <v>788</v>
      </c>
      <c r="P615" s="81" t="s">
        <v>325</v>
      </c>
      <c r="Q615" s="84" t="s">
        <v>1398</v>
      </c>
      <c r="R615" s="81" t="s">
        <v>780</v>
      </c>
      <c r="S615" s="81" t="s">
        <v>1847</v>
      </c>
      <c r="T615" s="86" t="str">
        <f>HYPERLINK("http://www.youtube.com/channel/UCGp1Z_UT_OJhADsa5J4jXAQ")</f>
        <v>http://www.youtube.com/channel/UCGp1Z_UT_OJhADsa5J4jXAQ</v>
      </c>
      <c r="U615" s="81"/>
      <c r="V615" s="81" t="s">
        <v>1885</v>
      </c>
      <c r="W615" s="86" t="str">
        <f>HYPERLINK("https://www.youtube.com/watch?v=wadBvDPeE4E")</f>
        <v>https://www.youtube.com/watch?v=wadBvDPeE4E</v>
      </c>
      <c r="X615" s="81" t="s">
        <v>1886</v>
      </c>
      <c r="Y615" s="81">
        <v>0</v>
      </c>
      <c r="Z615" s="88">
        <v>44709.123703703706</v>
      </c>
      <c r="AA615" s="88">
        <v>44709.123703703706</v>
      </c>
      <c r="AB615" s="81"/>
      <c r="AC615" s="81"/>
      <c r="AD615" s="84" t="s">
        <v>1927</v>
      </c>
      <c r="AE615" s="82">
        <v>1</v>
      </c>
      <c r="AF615" s="83" t="str">
        <f>REPLACE(INDEX(GroupVertices[Group],MATCH(Edges[[#This Row],[Vertex 1]],GroupVertices[Vertex],0)),1,1,"")</f>
        <v>1</v>
      </c>
      <c r="AG615" s="83" t="str">
        <f>REPLACE(INDEX(GroupVertices[Group],MATCH(Edges[[#This Row],[Vertex 2]],GroupVertices[Vertex],0)),1,1,"")</f>
        <v>1</v>
      </c>
      <c r="AH615" s="111">
        <v>3</v>
      </c>
      <c r="AI615" s="112">
        <v>10.714285714285714</v>
      </c>
      <c r="AJ615" s="111">
        <v>0</v>
      </c>
      <c r="AK615" s="112">
        <v>0</v>
      </c>
      <c r="AL615" s="111">
        <v>0</v>
      </c>
      <c r="AM615" s="112">
        <v>0</v>
      </c>
      <c r="AN615" s="111">
        <v>25</v>
      </c>
      <c r="AO615" s="112">
        <v>89.28571428571429</v>
      </c>
      <c r="AP615" s="111">
        <v>28</v>
      </c>
    </row>
    <row r="616" spans="1:42" ht="15">
      <c r="A616" s="65" t="s">
        <v>781</v>
      </c>
      <c r="B616" s="65" t="s">
        <v>786</v>
      </c>
      <c r="C616" s="66" t="s">
        <v>4509</v>
      </c>
      <c r="D616" s="67">
        <v>3</v>
      </c>
      <c r="E616" s="68"/>
      <c r="F616" s="69">
        <v>40</v>
      </c>
      <c r="G616" s="66"/>
      <c r="H616" s="70"/>
      <c r="I616" s="71"/>
      <c r="J616" s="71"/>
      <c r="K616" s="35" t="s">
        <v>65</v>
      </c>
      <c r="L616" s="79">
        <v>616</v>
      </c>
      <c r="M616" s="79"/>
      <c r="N616" s="73"/>
      <c r="O616" s="81" t="s">
        <v>788</v>
      </c>
      <c r="P616" s="81" t="s">
        <v>325</v>
      </c>
      <c r="Q616" s="84" t="s">
        <v>1399</v>
      </c>
      <c r="R616" s="81" t="s">
        <v>781</v>
      </c>
      <c r="S616" s="81" t="s">
        <v>1848</v>
      </c>
      <c r="T616" s="86" t="str">
        <f>HYPERLINK("http://www.youtube.com/channel/UCpVhi8jELmdakJmWHgVhr8A")</f>
        <v>http://www.youtube.com/channel/UCpVhi8jELmdakJmWHgVhr8A</v>
      </c>
      <c r="U616" s="81"/>
      <c r="V616" s="81" t="s">
        <v>1885</v>
      </c>
      <c r="W616" s="86" t="str">
        <f>HYPERLINK("https://www.youtube.com/watch?v=wadBvDPeE4E")</f>
        <v>https://www.youtube.com/watch?v=wadBvDPeE4E</v>
      </c>
      <c r="X616" s="81" t="s">
        <v>1886</v>
      </c>
      <c r="Y616" s="81">
        <v>0</v>
      </c>
      <c r="Z616" s="88">
        <v>44709.276724537034</v>
      </c>
      <c r="AA616" s="88">
        <v>44709.276724537034</v>
      </c>
      <c r="AB616" s="81"/>
      <c r="AC616" s="81"/>
      <c r="AD616" s="84" t="s">
        <v>1927</v>
      </c>
      <c r="AE616" s="82">
        <v>1</v>
      </c>
      <c r="AF616" s="83" t="str">
        <f>REPLACE(INDEX(GroupVertices[Group],MATCH(Edges[[#This Row],[Vertex 1]],GroupVertices[Vertex],0)),1,1,"")</f>
        <v>1</v>
      </c>
      <c r="AG616" s="83" t="str">
        <f>REPLACE(INDEX(GroupVertices[Group],MATCH(Edges[[#This Row],[Vertex 2]],GroupVertices[Vertex],0)),1,1,"")</f>
        <v>1</v>
      </c>
      <c r="AH616" s="111">
        <v>1</v>
      </c>
      <c r="AI616" s="112">
        <v>2.5</v>
      </c>
      <c r="AJ616" s="111">
        <v>0</v>
      </c>
      <c r="AK616" s="112">
        <v>0</v>
      </c>
      <c r="AL616" s="111">
        <v>0</v>
      </c>
      <c r="AM616" s="112">
        <v>0</v>
      </c>
      <c r="AN616" s="111">
        <v>39</v>
      </c>
      <c r="AO616" s="112">
        <v>97.5</v>
      </c>
      <c r="AP616" s="111">
        <v>40</v>
      </c>
    </row>
    <row r="617" spans="1:42" ht="15">
      <c r="A617" s="65" t="s">
        <v>782</v>
      </c>
      <c r="B617" s="65" t="s">
        <v>786</v>
      </c>
      <c r="C617" s="66" t="s">
        <v>4509</v>
      </c>
      <c r="D617" s="67">
        <v>3</v>
      </c>
      <c r="E617" s="68"/>
      <c r="F617" s="69">
        <v>40</v>
      </c>
      <c r="G617" s="66"/>
      <c r="H617" s="70"/>
      <c r="I617" s="71"/>
      <c r="J617" s="71"/>
      <c r="K617" s="35" t="s">
        <v>65</v>
      </c>
      <c r="L617" s="79">
        <v>617</v>
      </c>
      <c r="M617" s="79"/>
      <c r="N617" s="73"/>
      <c r="O617" s="81" t="s">
        <v>788</v>
      </c>
      <c r="P617" s="81" t="s">
        <v>325</v>
      </c>
      <c r="Q617" s="84" t="s">
        <v>1400</v>
      </c>
      <c r="R617" s="81" t="s">
        <v>782</v>
      </c>
      <c r="S617" s="81" t="s">
        <v>1849</v>
      </c>
      <c r="T617" s="86" t="str">
        <f>HYPERLINK("http://www.youtube.com/channel/UCpe5begzqU9FTXLhDN0ON0Q")</f>
        <v>http://www.youtube.com/channel/UCpe5begzqU9FTXLhDN0ON0Q</v>
      </c>
      <c r="U617" s="81"/>
      <c r="V617" s="81" t="s">
        <v>1885</v>
      </c>
      <c r="W617" s="86" t="str">
        <f>HYPERLINK("https://www.youtube.com/watch?v=wadBvDPeE4E")</f>
        <v>https://www.youtube.com/watch?v=wadBvDPeE4E</v>
      </c>
      <c r="X617" s="81" t="s">
        <v>1886</v>
      </c>
      <c r="Y617" s="81">
        <v>0</v>
      </c>
      <c r="Z617" s="88">
        <v>44712.85309027778</v>
      </c>
      <c r="AA617" s="88">
        <v>44712.85309027778</v>
      </c>
      <c r="AB617" s="81"/>
      <c r="AC617" s="81"/>
      <c r="AD617" s="84" t="s">
        <v>1927</v>
      </c>
      <c r="AE617" s="82">
        <v>1</v>
      </c>
      <c r="AF617" s="83" t="str">
        <f>REPLACE(INDEX(GroupVertices[Group],MATCH(Edges[[#This Row],[Vertex 1]],GroupVertices[Vertex],0)),1,1,"")</f>
        <v>1</v>
      </c>
      <c r="AG617" s="83" t="str">
        <f>REPLACE(INDEX(GroupVertices[Group],MATCH(Edges[[#This Row],[Vertex 2]],GroupVertices[Vertex],0)),1,1,"")</f>
        <v>1</v>
      </c>
      <c r="AH617" s="111">
        <v>3</v>
      </c>
      <c r="AI617" s="112">
        <v>8.108108108108109</v>
      </c>
      <c r="AJ617" s="111">
        <v>4</v>
      </c>
      <c r="AK617" s="112">
        <v>10.81081081081081</v>
      </c>
      <c r="AL617" s="111">
        <v>0</v>
      </c>
      <c r="AM617" s="112">
        <v>0</v>
      </c>
      <c r="AN617" s="111">
        <v>30</v>
      </c>
      <c r="AO617" s="112">
        <v>81.08108108108108</v>
      </c>
      <c r="AP617" s="111">
        <v>37</v>
      </c>
    </row>
    <row r="618" spans="1:42" ht="15">
      <c r="A618" s="65" t="s">
        <v>783</v>
      </c>
      <c r="B618" s="65" t="s">
        <v>786</v>
      </c>
      <c r="C618" s="66" t="s">
        <v>4509</v>
      </c>
      <c r="D618" s="67">
        <v>3</v>
      </c>
      <c r="E618" s="68"/>
      <c r="F618" s="69">
        <v>40</v>
      </c>
      <c r="G618" s="66"/>
      <c r="H618" s="70"/>
      <c r="I618" s="71"/>
      <c r="J618" s="71"/>
      <c r="K618" s="35" t="s">
        <v>65</v>
      </c>
      <c r="L618" s="79">
        <v>618</v>
      </c>
      <c r="M618" s="79"/>
      <c r="N618" s="73"/>
      <c r="O618" s="81" t="s">
        <v>788</v>
      </c>
      <c r="P618" s="81" t="s">
        <v>325</v>
      </c>
      <c r="Q618" s="84" t="s">
        <v>1401</v>
      </c>
      <c r="R618" s="81" t="s">
        <v>783</v>
      </c>
      <c r="S618" s="81" t="s">
        <v>1850</v>
      </c>
      <c r="T618" s="86" t="str">
        <f>HYPERLINK("http://www.youtube.com/channel/UCoPpqgCvTEHh4pgk-7CIOkw")</f>
        <v>http://www.youtube.com/channel/UCoPpqgCvTEHh4pgk-7CIOkw</v>
      </c>
      <c r="U618" s="81"/>
      <c r="V618" s="81" t="s">
        <v>1885</v>
      </c>
      <c r="W618" s="86" t="str">
        <f>HYPERLINK("https://www.youtube.com/watch?v=wadBvDPeE4E")</f>
        <v>https://www.youtube.com/watch?v=wadBvDPeE4E</v>
      </c>
      <c r="X618" s="81" t="s">
        <v>1886</v>
      </c>
      <c r="Y618" s="81">
        <v>0</v>
      </c>
      <c r="Z618" s="88">
        <v>44717.70857638889</v>
      </c>
      <c r="AA618" s="88">
        <v>44717.70857638889</v>
      </c>
      <c r="AB618" s="81"/>
      <c r="AC618" s="81"/>
      <c r="AD618" s="84" t="s">
        <v>1927</v>
      </c>
      <c r="AE618" s="82">
        <v>1</v>
      </c>
      <c r="AF618" s="83" t="str">
        <f>REPLACE(INDEX(GroupVertices[Group],MATCH(Edges[[#This Row],[Vertex 1]],GroupVertices[Vertex],0)),1,1,"")</f>
        <v>1</v>
      </c>
      <c r="AG618" s="83" t="str">
        <f>REPLACE(INDEX(GroupVertices[Group],MATCH(Edges[[#This Row],[Vertex 2]],GroupVertices[Vertex],0)),1,1,"")</f>
        <v>1</v>
      </c>
      <c r="AH618" s="111">
        <v>2</v>
      </c>
      <c r="AI618" s="112">
        <v>33.333333333333336</v>
      </c>
      <c r="AJ618" s="111">
        <v>0</v>
      </c>
      <c r="AK618" s="112">
        <v>0</v>
      </c>
      <c r="AL618" s="111">
        <v>0</v>
      </c>
      <c r="AM618" s="112">
        <v>0</v>
      </c>
      <c r="AN618" s="111">
        <v>4</v>
      </c>
      <c r="AO618" s="112">
        <v>66.66666666666667</v>
      </c>
      <c r="AP618" s="111">
        <v>6</v>
      </c>
    </row>
    <row r="619" spans="1:42" ht="15">
      <c r="A619" s="65" t="s">
        <v>784</v>
      </c>
      <c r="B619" s="65" t="s">
        <v>786</v>
      </c>
      <c r="C619" s="66" t="s">
        <v>4509</v>
      </c>
      <c r="D619" s="67">
        <v>3</v>
      </c>
      <c r="E619" s="68"/>
      <c r="F619" s="69">
        <v>40</v>
      </c>
      <c r="G619" s="66"/>
      <c r="H619" s="70"/>
      <c r="I619" s="71"/>
      <c r="J619" s="71"/>
      <c r="K619" s="35" t="s">
        <v>65</v>
      </c>
      <c r="L619" s="79">
        <v>619</v>
      </c>
      <c r="M619" s="79"/>
      <c r="N619" s="73"/>
      <c r="O619" s="81" t="s">
        <v>788</v>
      </c>
      <c r="P619" s="81" t="s">
        <v>325</v>
      </c>
      <c r="Q619" s="84" t="s">
        <v>1402</v>
      </c>
      <c r="R619" s="81" t="s">
        <v>784</v>
      </c>
      <c r="S619" s="81" t="s">
        <v>1851</v>
      </c>
      <c r="T619" s="86" t="str">
        <f>HYPERLINK("http://www.youtube.com/channel/UClufkJO37uSkOzyoMIIlsGw")</f>
        <v>http://www.youtube.com/channel/UClufkJO37uSkOzyoMIIlsGw</v>
      </c>
      <c r="U619" s="81"/>
      <c r="V619" s="81" t="s">
        <v>1885</v>
      </c>
      <c r="W619" s="86" t="str">
        <f>HYPERLINK("https://www.youtube.com/watch?v=wadBvDPeE4E")</f>
        <v>https://www.youtube.com/watch?v=wadBvDPeE4E</v>
      </c>
      <c r="X619" s="81" t="s">
        <v>1886</v>
      </c>
      <c r="Y619" s="81">
        <v>0</v>
      </c>
      <c r="Z619" s="88">
        <v>44719.09872685185</v>
      </c>
      <c r="AA619" s="88">
        <v>44719.09872685185</v>
      </c>
      <c r="AB619" s="81"/>
      <c r="AC619" s="81"/>
      <c r="AD619" s="84" t="s">
        <v>1927</v>
      </c>
      <c r="AE619" s="82">
        <v>1</v>
      </c>
      <c r="AF619" s="83" t="str">
        <f>REPLACE(INDEX(GroupVertices[Group],MATCH(Edges[[#This Row],[Vertex 1]],GroupVertices[Vertex],0)),1,1,"")</f>
        <v>1</v>
      </c>
      <c r="AG619" s="83" t="str">
        <f>REPLACE(INDEX(GroupVertices[Group],MATCH(Edges[[#This Row],[Vertex 2]],GroupVertices[Vertex],0)),1,1,"")</f>
        <v>1</v>
      </c>
      <c r="AH619" s="111">
        <v>3</v>
      </c>
      <c r="AI619" s="112">
        <v>8.108108108108109</v>
      </c>
      <c r="AJ619" s="111">
        <v>0</v>
      </c>
      <c r="AK619" s="112">
        <v>0</v>
      </c>
      <c r="AL619" s="111">
        <v>0</v>
      </c>
      <c r="AM619" s="112">
        <v>0</v>
      </c>
      <c r="AN619" s="111">
        <v>34</v>
      </c>
      <c r="AO619" s="112">
        <v>91.89189189189189</v>
      </c>
      <c r="AP619" s="111">
        <v>37</v>
      </c>
    </row>
    <row r="620" spans="1:42" ht="15">
      <c r="A620" s="65" t="s">
        <v>785</v>
      </c>
      <c r="B620" s="65" t="s">
        <v>785</v>
      </c>
      <c r="C620" s="66" t="s">
        <v>4509</v>
      </c>
      <c r="D620" s="67">
        <v>3</v>
      </c>
      <c r="E620" s="68"/>
      <c r="F620" s="69">
        <v>40</v>
      </c>
      <c r="G620" s="66"/>
      <c r="H620" s="70"/>
      <c r="I620" s="71"/>
      <c r="J620" s="71"/>
      <c r="K620" s="35" t="s">
        <v>65</v>
      </c>
      <c r="L620" s="79">
        <v>620</v>
      </c>
      <c r="M620" s="79"/>
      <c r="N620" s="73"/>
      <c r="O620" s="81" t="s">
        <v>789</v>
      </c>
      <c r="P620" s="81" t="s">
        <v>791</v>
      </c>
      <c r="Q620" s="84" t="s">
        <v>1403</v>
      </c>
      <c r="R620" s="81" t="s">
        <v>785</v>
      </c>
      <c r="S620" s="81" t="s">
        <v>1852</v>
      </c>
      <c r="T620" s="86" t="str">
        <f>HYPERLINK("http://www.youtube.com/channel/UCCiErXs1bCwpM6jMLTYHrrg")</f>
        <v>http://www.youtube.com/channel/UCCiErXs1bCwpM6jMLTYHrrg</v>
      </c>
      <c r="U620" s="81" t="s">
        <v>1884</v>
      </c>
      <c r="V620" s="81" t="s">
        <v>1885</v>
      </c>
      <c r="W620" s="86" t="str">
        <f>HYPERLINK("https://www.youtube.com/watch?v=wadBvDPeE4E")</f>
        <v>https://www.youtube.com/watch?v=wadBvDPeE4E</v>
      </c>
      <c r="X620" s="81" t="s">
        <v>1886</v>
      </c>
      <c r="Y620" s="81">
        <v>0</v>
      </c>
      <c r="Z620" s="88">
        <v>44722.953564814816</v>
      </c>
      <c r="AA620" s="88">
        <v>44722.953564814816</v>
      </c>
      <c r="AB620" s="81"/>
      <c r="AC620" s="81"/>
      <c r="AD620" s="84" t="s">
        <v>1927</v>
      </c>
      <c r="AE620" s="82">
        <v>1</v>
      </c>
      <c r="AF620" s="83" t="str">
        <f>REPLACE(INDEX(GroupVertices[Group],MATCH(Edges[[#This Row],[Vertex 1]],GroupVertices[Vertex],0)),1,1,"")</f>
        <v>1</v>
      </c>
      <c r="AG620" s="83" t="str">
        <f>REPLACE(INDEX(GroupVertices[Group],MATCH(Edges[[#This Row],[Vertex 2]],GroupVertices[Vertex],0)),1,1,"")</f>
        <v>1</v>
      </c>
      <c r="AH620" s="111">
        <v>0</v>
      </c>
      <c r="AI620" s="112">
        <v>0</v>
      </c>
      <c r="AJ620" s="111">
        <v>0</v>
      </c>
      <c r="AK620" s="112">
        <v>0</v>
      </c>
      <c r="AL620" s="111">
        <v>0</v>
      </c>
      <c r="AM620" s="112">
        <v>0</v>
      </c>
      <c r="AN620" s="111">
        <v>13</v>
      </c>
      <c r="AO620" s="112">
        <v>100</v>
      </c>
      <c r="AP620" s="111">
        <v>13</v>
      </c>
    </row>
    <row r="621" spans="1:42" ht="15">
      <c r="A621" s="65" t="s">
        <v>785</v>
      </c>
      <c r="B621" s="65" t="s">
        <v>786</v>
      </c>
      <c r="C621" s="66" t="s">
        <v>4509</v>
      </c>
      <c r="D621" s="67">
        <v>3</v>
      </c>
      <c r="E621" s="68"/>
      <c r="F621" s="69">
        <v>40</v>
      </c>
      <c r="G621" s="66"/>
      <c r="H621" s="70"/>
      <c r="I621" s="71"/>
      <c r="J621" s="71"/>
      <c r="K621" s="35" t="s">
        <v>65</v>
      </c>
      <c r="L621" s="79">
        <v>621</v>
      </c>
      <c r="M621" s="79"/>
      <c r="N621" s="73"/>
      <c r="O621" s="81" t="s">
        <v>788</v>
      </c>
      <c r="P621" s="81" t="s">
        <v>325</v>
      </c>
      <c r="Q621" s="84" t="s">
        <v>1404</v>
      </c>
      <c r="R621" s="81" t="s">
        <v>785</v>
      </c>
      <c r="S621" s="81" t="s">
        <v>1852</v>
      </c>
      <c r="T621" s="86" t="str">
        <f>HYPERLINK("http://www.youtube.com/channel/UCCiErXs1bCwpM6jMLTYHrrg")</f>
        <v>http://www.youtube.com/channel/UCCiErXs1bCwpM6jMLTYHrrg</v>
      </c>
      <c r="U621" s="81"/>
      <c r="V621" s="81" t="s">
        <v>1885</v>
      </c>
      <c r="W621" s="86" t="str">
        <f>HYPERLINK("https://www.youtube.com/watch?v=wadBvDPeE4E")</f>
        <v>https://www.youtube.com/watch?v=wadBvDPeE4E</v>
      </c>
      <c r="X621" s="81" t="s">
        <v>1886</v>
      </c>
      <c r="Y621" s="81">
        <v>0</v>
      </c>
      <c r="Z621" s="88">
        <v>44722.95208333333</v>
      </c>
      <c r="AA621" s="88">
        <v>44722.95208333333</v>
      </c>
      <c r="AB621" s="81"/>
      <c r="AC621" s="81"/>
      <c r="AD621" s="84" t="s">
        <v>1927</v>
      </c>
      <c r="AE621" s="82">
        <v>1</v>
      </c>
      <c r="AF621" s="83" t="str">
        <f>REPLACE(INDEX(GroupVertices[Group],MATCH(Edges[[#This Row],[Vertex 1]],GroupVertices[Vertex],0)),1,1,"")</f>
        <v>1</v>
      </c>
      <c r="AG621" s="83" t="str">
        <f>REPLACE(INDEX(GroupVertices[Group],MATCH(Edges[[#This Row],[Vertex 2]],GroupVertices[Vertex],0)),1,1,"")</f>
        <v>1</v>
      </c>
      <c r="AH621" s="111">
        <v>1</v>
      </c>
      <c r="AI621" s="112">
        <v>2.2222222222222223</v>
      </c>
      <c r="AJ621" s="111">
        <v>3</v>
      </c>
      <c r="AK621" s="112">
        <v>6.666666666666667</v>
      </c>
      <c r="AL621" s="111">
        <v>0</v>
      </c>
      <c r="AM621" s="112">
        <v>0</v>
      </c>
      <c r="AN621" s="111">
        <v>41</v>
      </c>
      <c r="AO621" s="112">
        <v>91.11111111111111</v>
      </c>
      <c r="AP621" s="111">
        <v>45</v>
      </c>
    </row>
    <row r="622" spans="1:42" ht="15">
      <c r="A622" s="65" t="s">
        <v>786</v>
      </c>
      <c r="B622" s="65" t="s">
        <v>786</v>
      </c>
      <c r="C622" s="66" t="s">
        <v>4510</v>
      </c>
      <c r="D622" s="67">
        <v>5.333333333333334</v>
      </c>
      <c r="E622" s="68"/>
      <c r="F622" s="69">
        <v>31.666666666666664</v>
      </c>
      <c r="G622" s="66"/>
      <c r="H622" s="70"/>
      <c r="I622" s="71"/>
      <c r="J622" s="71"/>
      <c r="K622" s="35" t="s">
        <v>65</v>
      </c>
      <c r="L622" s="79">
        <v>622</v>
      </c>
      <c r="M622" s="79"/>
      <c r="N622" s="73"/>
      <c r="O622" s="81" t="s">
        <v>788</v>
      </c>
      <c r="P622" s="81" t="s">
        <v>325</v>
      </c>
      <c r="Q622" s="84" t="s">
        <v>1405</v>
      </c>
      <c r="R622" s="81" t="s">
        <v>786</v>
      </c>
      <c r="S622" s="81" t="s">
        <v>1853</v>
      </c>
      <c r="T622" s="86" t="str">
        <f>HYPERLINK("http://www.youtube.com/channel/UCvQECJukTDE2i6aCoMnS-Vg")</f>
        <v>http://www.youtube.com/channel/UCvQECJukTDE2i6aCoMnS-Vg</v>
      </c>
      <c r="U622" s="81"/>
      <c r="V622" s="81" t="s">
        <v>1885</v>
      </c>
      <c r="W622" s="86" t="str">
        <f>HYPERLINK("https://www.youtube.com/watch?v=wadBvDPeE4E")</f>
        <v>https://www.youtube.com/watch?v=wadBvDPeE4E</v>
      </c>
      <c r="X622" s="81" t="s">
        <v>1886</v>
      </c>
      <c r="Y622" s="81">
        <v>12</v>
      </c>
      <c r="Z622" s="88">
        <v>44010.784733796296</v>
      </c>
      <c r="AA622" s="88">
        <v>44010.784733796296</v>
      </c>
      <c r="AB622" s="81" t="s">
        <v>1921</v>
      </c>
      <c r="AC622" s="81" t="s">
        <v>1926</v>
      </c>
      <c r="AD622" s="84" t="s">
        <v>1927</v>
      </c>
      <c r="AE622" s="82">
        <v>2</v>
      </c>
      <c r="AF622" s="83" t="str">
        <f>REPLACE(INDEX(GroupVertices[Group],MATCH(Edges[[#This Row],[Vertex 1]],GroupVertices[Vertex],0)),1,1,"")</f>
        <v>1</v>
      </c>
      <c r="AG622" s="83" t="str">
        <f>REPLACE(INDEX(GroupVertices[Group],MATCH(Edges[[#This Row],[Vertex 2]],GroupVertices[Vertex],0)),1,1,"")</f>
        <v>1</v>
      </c>
      <c r="AH622" s="111">
        <v>2</v>
      </c>
      <c r="AI622" s="112">
        <v>9.523809523809524</v>
      </c>
      <c r="AJ622" s="111">
        <v>0</v>
      </c>
      <c r="AK622" s="112">
        <v>0</v>
      </c>
      <c r="AL622" s="111">
        <v>0</v>
      </c>
      <c r="AM622" s="112">
        <v>0</v>
      </c>
      <c r="AN622" s="111">
        <v>19</v>
      </c>
      <c r="AO622" s="112">
        <v>90.47619047619048</v>
      </c>
      <c r="AP622" s="111">
        <v>21</v>
      </c>
    </row>
    <row r="623" spans="1:42" ht="15">
      <c r="A623" s="65" t="s">
        <v>786</v>
      </c>
      <c r="B623" s="65" t="s">
        <v>786</v>
      </c>
      <c r="C623" s="66" t="s">
        <v>4510</v>
      </c>
      <c r="D623" s="67">
        <v>5.333333333333334</v>
      </c>
      <c r="E623" s="68"/>
      <c r="F623" s="69">
        <v>31.666666666666664</v>
      </c>
      <c r="G623" s="66"/>
      <c r="H623" s="70"/>
      <c r="I623" s="71"/>
      <c r="J623" s="71"/>
      <c r="K623" s="35" t="s">
        <v>65</v>
      </c>
      <c r="L623" s="79">
        <v>623</v>
      </c>
      <c r="M623" s="79"/>
      <c r="N623" s="73"/>
      <c r="O623" s="81" t="s">
        <v>790</v>
      </c>
      <c r="P623" s="81"/>
      <c r="Q623" s="81"/>
      <c r="R623" s="81"/>
      <c r="S623" s="81"/>
      <c r="T623" s="81"/>
      <c r="U623" s="81"/>
      <c r="V623" s="81" t="s">
        <v>1885</v>
      </c>
      <c r="W623" s="86" t="str">
        <f>HYPERLINK("https://www.youtube.com/watch?v=wadBvDPeE4E")</f>
        <v>https://www.youtube.com/watch?v=wadBvDPeE4E</v>
      </c>
      <c r="X623" s="81"/>
      <c r="Y623" s="81"/>
      <c r="Z623" s="88">
        <v>41202.5734375</v>
      </c>
      <c r="AA623" s="81"/>
      <c r="AB623" s="81"/>
      <c r="AC623" s="81"/>
      <c r="AD623" s="81"/>
      <c r="AE623">
        <v>2</v>
      </c>
      <c r="AF623" s="80" t="str">
        <f>REPLACE(INDEX(GroupVertices[Group],MATCH(Edges[[#This Row],[Vertex 1]],GroupVertices[Vertex],0)),1,1,"")</f>
        <v>1</v>
      </c>
      <c r="AG623" s="80" t="str">
        <f>REPLACE(INDEX(GroupVertices[Group],MATCH(Edges[[#This Row],[Vertex 2]],GroupVertices[Vertex],0)),1,1,"")</f>
        <v>1</v>
      </c>
      <c r="AH623" s="49"/>
      <c r="AI623" s="50"/>
      <c r="AJ623" s="49"/>
      <c r="AK623" s="50"/>
      <c r="AL623" s="49"/>
      <c r="AM623" s="50"/>
      <c r="AN623" s="49"/>
      <c r="AO623" s="50"/>
      <c r="AP62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8652F-DCFF-457B-AE7C-FEAF4987B88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3199</v>
      </c>
      <c r="B2" s="115" t="s">
        <v>3200</v>
      </c>
      <c r="C2" s="54" t="s">
        <v>3201</v>
      </c>
    </row>
    <row r="3" spans="1:3" ht="15">
      <c r="A3" s="114" t="s">
        <v>2087</v>
      </c>
      <c r="B3" s="114" t="s">
        <v>2087</v>
      </c>
      <c r="C3" s="35">
        <v>511</v>
      </c>
    </row>
    <row r="4" spans="1:3" ht="15">
      <c r="A4" s="114" t="s">
        <v>2088</v>
      </c>
      <c r="B4" s="114" t="s">
        <v>2087</v>
      </c>
      <c r="C4" s="35">
        <v>4</v>
      </c>
    </row>
    <row r="5" spans="1:3" ht="15">
      <c r="A5" s="114" t="s">
        <v>2088</v>
      </c>
      <c r="B5" s="114" t="s">
        <v>2088</v>
      </c>
      <c r="C5" s="35">
        <v>17</v>
      </c>
    </row>
    <row r="6" spans="1:3" ht="15">
      <c r="A6" s="114" t="s">
        <v>2089</v>
      </c>
      <c r="B6" s="114" t="s">
        <v>2087</v>
      </c>
      <c r="C6" s="35">
        <v>6</v>
      </c>
    </row>
    <row r="7" spans="1:3" ht="15">
      <c r="A7" s="114" t="s">
        <v>2089</v>
      </c>
      <c r="B7" s="114" t="s">
        <v>2089</v>
      </c>
      <c r="C7" s="35">
        <v>10</v>
      </c>
    </row>
    <row r="8" spans="1:3" ht="15">
      <c r="A8" s="114" t="s">
        <v>2090</v>
      </c>
      <c r="B8" s="114" t="s">
        <v>2087</v>
      </c>
      <c r="C8" s="35">
        <v>2</v>
      </c>
    </row>
    <row r="9" spans="1:3" ht="15">
      <c r="A9" s="114" t="s">
        <v>2090</v>
      </c>
      <c r="B9" s="114" t="s">
        <v>2090</v>
      </c>
      <c r="C9" s="35">
        <v>10</v>
      </c>
    </row>
    <row r="10" spans="1:3" ht="15">
      <c r="A10" s="114" t="s">
        <v>2091</v>
      </c>
      <c r="B10" s="114" t="s">
        <v>2087</v>
      </c>
      <c r="C10" s="35">
        <v>5</v>
      </c>
    </row>
    <row r="11" spans="1:3" ht="15">
      <c r="A11" s="114" t="s">
        <v>2091</v>
      </c>
      <c r="B11" s="114" t="s">
        <v>2091</v>
      </c>
      <c r="C11" s="35">
        <v>4</v>
      </c>
    </row>
    <row r="12" spans="1:3" ht="15">
      <c r="A12" s="114" t="s">
        <v>2092</v>
      </c>
      <c r="B12" s="114" t="s">
        <v>2087</v>
      </c>
      <c r="C12" s="35">
        <v>1</v>
      </c>
    </row>
    <row r="13" spans="1:3" ht="15">
      <c r="A13" s="114" t="s">
        <v>2092</v>
      </c>
      <c r="B13" s="114" t="s">
        <v>2092</v>
      </c>
      <c r="C13" s="35">
        <v>4</v>
      </c>
    </row>
    <row r="14" spans="1:3" ht="15">
      <c r="A14" s="114" t="s">
        <v>2093</v>
      </c>
      <c r="B14" s="114" t="s">
        <v>2087</v>
      </c>
      <c r="C14" s="35">
        <v>2</v>
      </c>
    </row>
    <row r="15" spans="1:3" ht="15">
      <c r="A15" s="114" t="s">
        <v>2093</v>
      </c>
      <c r="B15" s="114" t="s">
        <v>2093</v>
      </c>
      <c r="C15" s="35">
        <v>3</v>
      </c>
    </row>
    <row r="16" spans="1:3" ht="15">
      <c r="A16" s="114" t="s">
        <v>2094</v>
      </c>
      <c r="B16" s="114" t="s">
        <v>2087</v>
      </c>
      <c r="C16" s="35">
        <v>1</v>
      </c>
    </row>
    <row r="17" spans="1:3" ht="15">
      <c r="A17" s="114" t="s">
        <v>2094</v>
      </c>
      <c r="B17" s="114" t="s">
        <v>2094</v>
      </c>
      <c r="C17" s="35">
        <v>4</v>
      </c>
    </row>
    <row r="18" spans="1:3" ht="15">
      <c r="A18" s="114" t="s">
        <v>2095</v>
      </c>
      <c r="B18" s="114" t="s">
        <v>2087</v>
      </c>
      <c r="C18" s="35">
        <v>1</v>
      </c>
    </row>
    <row r="19" spans="1:3" ht="15">
      <c r="A19" s="114" t="s">
        <v>2095</v>
      </c>
      <c r="B19" s="114" t="s">
        <v>2095</v>
      </c>
      <c r="C19" s="35">
        <v>4</v>
      </c>
    </row>
    <row r="20" spans="1:3" ht="15">
      <c r="A20" s="114" t="s">
        <v>2096</v>
      </c>
      <c r="B20" s="114" t="s">
        <v>2087</v>
      </c>
      <c r="C20" s="35">
        <v>2</v>
      </c>
    </row>
    <row r="21" spans="1:3" ht="15">
      <c r="A21" s="114" t="s">
        <v>2096</v>
      </c>
      <c r="B21" s="114" t="s">
        <v>2096</v>
      </c>
      <c r="C21" s="35">
        <v>2</v>
      </c>
    </row>
    <row r="22" spans="1:3" ht="15">
      <c r="A22" s="114" t="s">
        <v>2097</v>
      </c>
      <c r="B22" s="114" t="s">
        <v>2087</v>
      </c>
      <c r="C22" s="35">
        <v>1</v>
      </c>
    </row>
    <row r="23" spans="1:3" ht="15">
      <c r="A23" s="114" t="s">
        <v>2097</v>
      </c>
      <c r="B23" s="114" t="s">
        <v>2097</v>
      </c>
      <c r="C23" s="35">
        <v>2</v>
      </c>
    </row>
    <row r="24" spans="1:3" ht="15">
      <c r="A24" s="114" t="s">
        <v>2098</v>
      </c>
      <c r="B24" s="114" t="s">
        <v>2087</v>
      </c>
      <c r="C24" s="35">
        <v>2</v>
      </c>
    </row>
    <row r="25" spans="1:3" ht="15">
      <c r="A25" s="114" t="s">
        <v>2098</v>
      </c>
      <c r="B25" s="114" t="s">
        <v>2098</v>
      </c>
      <c r="C25" s="35">
        <v>4</v>
      </c>
    </row>
    <row r="26" spans="1:3" ht="15">
      <c r="A26" s="114" t="s">
        <v>2099</v>
      </c>
      <c r="B26" s="114" t="s">
        <v>2087</v>
      </c>
      <c r="C26" s="35">
        <v>4</v>
      </c>
    </row>
    <row r="27" spans="1:3" ht="15">
      <c r="A27" s="114" t="s">
        <v>2099</v>
      </c>
      <c r="B27" s="114" t="s">
        <v>2099</v>
      </c>
      <c r="C27" s="35">
        <v>2</v>
      </c>
    </row>
    <row r="28" spans="1:3" ht="15">
      <c r="A28" s="114" t="s">
        <v>2100</v>
      </c>
      <c r="B28" s="114" t="s">
        <v>2087</v>
      </c>
      <c r="C28" s="35">
        <v>2</v>
      </c>
    </row>
    <row r="29" spans="1:3" ht="15">
      <c r="A29" s="114" t="s">
        <v>2100</v>
      </c>
      <c r="B29" s="114" t="s">
        <v>2100</v>
      </c>
      <c r="C29" s="35">
        <v>2</v>
      </c>
    </row>
    <row r="30" spans="1:3" ht="15">
      <c r="A30" s="114" t="s">
        <v>2101</v>
      </c>
      <c r="B30" s="114" t="s">
        <v>2087</v>
      </c>
      <c r="C30" s="35">
        <v>1</v>
      </c>
    </row>
    <row r="31" spans="1:3" ht="15">
      <c r="A31" s="114" t="s">
        <v>2101</v>
      </c>
      <c r="B31" s="114" t="s">
        <v>2101</v>
      </c>
      <c r="C31" s="35">
        <v>1</v>
      </c>
    </row>
    <row r="32" spans="1:3" ht="15">
      <c r="A32" s="114" t="s">
        <v>2102</v>
      </c>
      <c r="B32" s="114" t="s">
        <v>2087</v>
      </c>
      <c r="C32" s="35">
        <v>1</v>
      </c>
    </row>
    <row r="33" spans="1:3" ht="15">
      <c r="A33" s="114" t="s">
        <v>2102</v>
      </c>
      <c r="B33" s="114" t="s">
        <v>2102</v>
      </c>
      <c r="C33" s="35">
        <v>2</v>
      </c>
    </row>
    <row r="34" spans="1:3" ht="15">
      <c r="A34" s="114" t="s">
        <v>2103</v>
      </c>
      <c r="B34" s="114" t="s">
        <v>2087</v>
      </c>
      <c r="C34" s="35">
        <v>1</v>
      </c>
    </row>
    <row r="35" spans="1:3" ht="15">
      <c r="A35" s="114" t="s">
        <v>2103</v>
      </c>
      <c r="B35" s="114" t="s">
        <v>2103</v>
      </c>
      <c r="C35" s="35">
        <v>1</v>
      </c>
    </row>
    <row r="36" spans="1:3" ht="15">
      <c r="A36" s="114" t="s">
        <v>2104</v>
      </c>
      <c r="B36" s="114" t="s">
        <v>2087</v>
      </c>
      <c r="C36" s="35">
        <v>1</v>
      </c>
    </row>
    <row r="37" spans="1:3" ht="15">
      <c r="A37" s="114" t="s">
        <v>2104</v>
      </c>
      <c r="B37" s="114" t="s">
        <v>2104</v>
      </c>
      <c r="C37"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94A2-474E-4AE5-B2CB-2A459BB594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3220</v>
      </c>
      <c r="B1" s="13" t="s">
        <v>17</v>
      </c>
    </row>
    <row r="2" spans="1:2" ht="15">
      <c r="A2" s="80" t="s">
        <v>3221</v>
      </c>
      <c r="B2" s="80"/>
    </row>
    <row r="3" spans="1:2" ht="15">
      <c r="A3" s="81" t="s">
        <v>3222</v>
      </c>
      <c r="B3" s="80"/>
    </row>
    <row r="4" spans="1:2" ht="15">
      <c r="A4" s="81" t="s">
        <v>3223</v>
      </c>
      <c r="B4" s="80"/>
    </row>
    <row r="5" spans="1:2" ht="15">
      <c r="A5" s="81" t="s">
        <v>3224</v>
      </c>
      <c r="B5" s="80"/>
    </row>
    <row r="6" spans="1:2" ht="15">
      <c r="A6" s="81" t="s">
        <v>3225</v>
      </c>
      <c r="B6" s="80"/>
    </row>
    <row r="7" spans="1:2" ht="15">
      <c r="A7" s="81" t="s">
        <v>3226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9BE0-7E20-43D1-8BF3-FF569437F2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3227</v>
      </c>
      <c r="B1" s="13" t="s">
        <v>34</v>
      </c>
    </row>
    <row r="2" spans="1:2" ht="15">
      <c r="A2" s="105" t="s">
        <v>786</v>
      </c>
      <c r="B2" s="80">
        <v>199945.5</v>
      </c>
    </row>
    <row r="3" spans="1:2" ht="15">
      <c r="A3" s="108" t="s">
        <v>620</v>
      </c>
      <c r="B3" s="80">
        <v>7096</v>
      </c>
    </row>
    <row r="4" spans="1:2" ht="15">
      <c r="A4" s="108" t="s">
        <v>633</v>
      </c>
      <c r="B4" s="80">
        <v>4002.666667</v>
      </c>
    </row>
    <row r="5" spans="1:2" ht="15">
      <c r="A5" s="108" t="s">
        <v>608</v>
      </c>
      <c r="B5" s="80">
        <v>3564</v>
      </c>
    </row>
    <row r="6" spans="1:2" ht="15">
      <c r="A6" s="108" t="s">
        <v>602</v>
      </c>
      <c r="B6" s="80">
        <v>2671</v>
      </c>
    </row>
    <row r="7" spans="1:2" ht="15">
      <c r="A7" s="108" t="s">
        <v>438</v>
      </c>
      <c r="B7" s="80">
        <v>1787.5</v>
      </c>
    </row>
    <row r="8" spans="1:2" ht="15">
      <c r="A8" s="108" t="s">
        <v>673</v>
      </c>
      <c r="B8" s="80">
        <v>1786</v>
      </c>
    </row>
    <row r="9" spans="1:2" ht="15">
      <c r="A9" s="108" t="s">
        <v>636</v>
      </c>
      <c r="B9" s="80">
        <v>1786</v>
      </c>
    </row>
    <row r="10" spans="1:2" ht="15">
      <c r="A10" s="108" t="s">
        <v>644</v>
      </c>
      <c r="B10" s="80">
        <v>1786</v>
      </c>
    </row>
    <row r="11" spans="1:2" ht="15">
      <c r="A11" s="108" t="s">
        <v>465</v>
      </c>
      <c r="B11" s="80">
        <v>1786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474C-137A-4B16-BAB9-2BD01BB70B0C}">
  <dimension ref="A1:V47"/>
  <sheetViews>
    <sheetView tabSelected="1"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3228</v>
      </c>
      <c r="B1" s="13" t="s">
        <v>3239</v>
      </c>
      <c r="C1" s="13" t="s">
        <v>3240</v>
      </c>
      <c r="D1" s="13" t="s">
        <v>3243</v>
      </c>
      <c r="E1" s="80" t="s">
        <v>3242</v>
      </c>
      <c r="F1" s="80" t="s">
        <v>3245</v>
      </c>
      <c r="G1" s="13" t="s">
        <v>3244</v>
      </c>
      <c r="H1" s="13" t="s">
        <v>3248</v>
      </c>
      <c r="I1" s="80" t="s">
        <v>3247</v>
      </c>
      <c r="J1" s="80" t="s">
        <v>3250</v>
      </c>
      <c r="K1" s="80" t="s">
        <v>3249</v>
      </c>
      <c r="L1" s="80" t="s">
        <v>3252</v>
      </c>
      <c r="M1" s="80" t="s">
        <v>3251</v>
      </c>
      <c r="N1" s="80" t="s">
        <v>3254</v>
      </c>
      <c r="O1" s="80" t="s">
        <v>3253</v>
      </c>
      <c r="P1" s="80" t="s">
        <v>3256</v>
      </c>
      <c r="Q1" s="80" t="s">
        <v>3255</v>
      </c>
      <c r="R1" s="80" t="s">
        <v>3258</v>
      </c>
      <c r="S1" s="80" t="s">
        <v>3257</v>
      </c>
      <c r="T1" s="80" t="s">
        <v>3260</v>
      </c>
      <c r="U1" s="80" t="s">
        <v>3259</v>
      </c>
      <c r="V1" s="80" t="s">
        <v>3261</v>
      </c>
    </row>
    <row r="2" spans="1:22" ht="15">
      <c r="A2" s="85" t="s">
        <v>3229</v>
      </c>
      <c r="B2" s="80">
        <v>3</v>
      </c>
      <c r="C2" s="85" t="s">
        <v>3229</v>
      </c>
      <c r="D2" s="80">
        <v>3</v>
      </c>
      <c r="E2" s="80"/>
      <c r="F2" s="80"/>
      <c r="G2" s="85" t="s">
        <v>3246</v>
      </c>
      <c r="H2" s="80">
        <v>1</v>
      </c>
      <c r="I2" s="80"/>
      <c r="J2" s="80"/>
      <c r="K2" s="80"/>
      <c r="L2" s="80"/>
      <c r="M2" s="80"/>
      <c r="N2" s="80"/>
      <c r="O2" s="80"/>
      <c r="P2" s="80"/>
      <c r="Q2" s="80"/>
      <c r="R2" s="80"/>
      <c r="S2" s="80"/>
      <c r="T2" s="80"/>
      <c r="U2" s="80"/>
      <c r="V2" s="80"/>
    </row>
    <row r="3" spans="1:22" ht="15">
      <c r="A3" s="86" t="s">
        <v>3230</v>
      </c>
      <c r="B3" s="80">
        <v>2</v>
      </c>
      <c r="C3" s="85" t="s">
        <v>3234</v>
      </c>
      <c r="D3" s="80">
        <v>2</v>
      </c>
      <c r="E3" s="80"/>
      <c r="F3" s="80"/>
      <c r="G3" s="80"/>
      <c r="H3" s="80"/>
      <c r="I3" s="80"/>
      <c r="J3" s="80"/>
      <c r="K3" s="80"/>
      <c r="L3" s="80"/>
      <c r="M3" s="80"/>
      <c r="N3" s="80"/>
      <c r="O3" s="80"/>
      <c r="P3" s="80"/>
      <c r="Q3" s="80"/>
      <c r="R3" s="80"/>
      <c r="S3" s="80"/>
      <c r="T3" s="80"/>
      <c r="U3" s="80"/>
      <c r="V3" s="80"/>
    </row>
    <row r="4" spans="1:22" ht="15">
      <c r="A4" s="86" t="s">
        <v>3231</v>
      </c>
      <c r="B4" s="80">
        <v>2</v>
      </c>
      <c r="C4" s="85" t="s">
        <v>3230</v>
      </c>
      <c r="D4" s="80">
        <v>2</v>
      </c>
      <c r="E4" s="80"/>
      <c r="F4" s="80"/>
      <c r="G4" s="80"/>
      <c r="H4" s="80"/>
      <c r="I4" s="80"/>
      <c r="J4" s="80"/>
      <c r="K4" s="80"/>
      <c r="L4" s="80"/>
      <c r="M4" s="80"/>
      <c r="N4" s="80"/>
      <c r="O4" s="80"/>
      <c r="P4" s="80"/>
      <c r="Q4" s="80"/>
      <c r="R4" s="80"/>
      <c r="S4" s="80"/>
      <c r="T4" s="80"/>
      <c r="U4" s="80"/>
      <c r="V4" s="80"/>
    </row>
    <row r="5" spans="1:22" ht="15">
      <c r="A5" s="86" t="s">
        <v>3232</v>
      </c>
      <c r="B5" s="80">
        <v>2</v>
      </c>
      <c r="C5" s="85" t="s">
        <v>3231</v>
      </c>
      <c r="D5" s="80">
        <v>2</v>
      </c>
      <c r="E5" s="80"/>
      <c r="F5" s="80"/>
      <c r="G5" s="80"/>
      <c r="H5" s="80"/>
      <c r="I5" s="80"/>
      <c r="J5" s="80"/>
      <c r="K5" s="80"/>
      <c r="L5" s="80"/>
      <c r="M5" s="80"/>
      <c r="N5" s="80"/>
      <c r="O5" s="80"/>
      <c r="P5" s="80"/>
      <c r="Q5" s="80"/>
      <c r="R5" s="80"/>
      <c r="S5" s="80"/>
      <c r="T5" s="80"/>
      <c r="U5" s="80"/>
      <c r="V5" s="80"/>
    </row>
    <row r="6" spans="1:22" ht="15">
      <c r="A6" s="86" t="s">
        <v>3233</v>
      </c>
      <c r="B6" s="80">
        <v>2</v>
      </c>
      <c r="C6" s="85" t="s">
        <v>3232</v>
      </c>
      <c r="D6" s="80">
        <v>2</v>
      </c>
      <c r="E6" s="80"/>
      <c r="F6" s="80"/>
      <c r="G6" s="80"/>
      <c r="H6" s="80"/>
      <c r="I6" s="80"/>
      <c r="J6" s="80"/>
      <c r="K6" s="80"/>
      <c r="L6" s="80"/>
      <c r="M6" s="80"/>
      <c r="N6" s="80"/>
      <c r="O6" s="80"/>
      <c r="P6" s="80"/>
      <c r="Q6" s="80"/>
      <c r="R6" s="80"/>
      <c r="S6" s="80"/>
      <c r="T6" s="80"/>
      <c r="U6" s="80"/>
      <c r="V6" s="80"/>
    </row>
    <row r="7" spans="1:22" ht="15">
      <c r="A7" s="86" t="s">
        <v>3234</v>
      </c>
      <c r="B7" s="80">
        <v>2</v>
      </c>
      <c r="C7" s="85" t="s">
        <v>3233</v>
      </c>
      <c r="D7" s="80">
        <v>2</v>
      </c>
      <c r="E7" s="80"/>
      <c r="F7" s="80"/>
      <c r="G7" s="80"/>
      <c r="H7" s="80"/>
      <c r="I7" s="80"/>
      <c r="J7" s="80"/>
      <c r="K7" s="80"/>
      <c r="L7" s="80"/>
      <c r="M7" s="80"/>
      <c r="N7" s="80"/>
      <c r="O7" s="80"/>
      <c r="P7" s="80"/>
      <c r="Q7" s="80"/>
      <c r="R7" s="80"/>
      <c r="S7" s="80"/>
      <c r="T7" s="80"/>
      <c r="U7" s="80"/>
      <c r="V7" s="80"/>
    </row>
    <row r="8" spans="1:22" ht="15">
      <c r="A8" s="86" t="s">
        <v>3235</v>
      </c>
      <c r="B8" s="80">
        <v>1</v>
      </c>
      <c r="C8" s="85" t="s">
        <v>3235</v>
      </c>
      <c r="D8" s="80">
        <v>1</v>
      </c>
      <c r="E8" s="80"/>
      <c r="F8" s="80"/>
      <c r="G8" s="80"/>
      <c r="H8" s="80"/>
      <c r="I8" s="80"/>
      <c r="J8" s="80"/>
      <c r="K8" s="80"/>
      <c r="L8" s="80"/>
      <c r="M8" s="80"/>
      <c r="N8" s="80"/>
      <c r="O8" s="80"/>
      <c r="P8" s="80"/>
      <c r="Q8" s="80"/>
      <c r="R8" s="80"/>
      <c r="S8" s="80"/>
      <c r="T8" s="80"/>
      <c r="U8" s="80"/>
      <c r="V8" s="80"/>
    </row>
    <row r="9" spans="1:22" ht="15">
      <c r="A9" s="86" t="s">
        <v>3236</v>
      </c>
      <c r="B9" s="80">
        <v>1</v>
      </c>
      <c r="C9" s="85" t="s">
        <v>3236</v>
      </c>
      <c r="D9" s="80">
        <v>1</v>
      </c>
      <c r="E9" s="80"/>
      <c r="F9" s="80"/>
      <c r="G9" s="80"/>
      <c r="H9" s="80"/>
      <c r="I9" s="80"/>
      <c r="J9" s="80"/>
      <c r="K9" s="80"/>
      <c r="L9" s="80"/>
      <c r="M9" s="80"/>
      <c r="N9" s="80"/>
      <c r="O9" s="80"/>
      <c r="P9" s="80"/>
      <c r="Q9" s="80"/>
      <c r="R9" s="80"/>
      <c r="S9" s="80"/>
      <c r="T9" s="80"/>
      <c r="U9" s="80"/>
      <c r="V9" s="80"/>
    </row>
    <row r="10" spans="1:22" ht="15">
      <c r="A10" s="86" t="s">
        <v>3237</v>
      </c>
      <c r="B10" s="80">
        <v>1</v>
      </c>
      <c r="C10" s="85" t="s">
        <v>3237</v>
      </c>
      <c r="D10" s="80">
        <v>1</v>
      </c>
      <c r="E10" s="80"/>
      <c r="F10" s="80"/>
      <c r="G10" s="80"/>
      <c r="H10" s="80"/>
      <c r="I10" s="80"/>
      <c r="J10" s="80"/>
      <c r="K10" s="80"/>
      <c r="L10" s="80"/>
      <c r="M10" s="80"/>
      <c r="N10" s="80"/>
      <c r="O10" s="80"/>
      <c r="P10" s="80"/>
      <c r="Q10" s="80"/>
      <c r="R10" s="80"/>
      <c r="S10" s="80"/>
      <c r="T10" s="80"/>
      <c r="U10" s="80"/>
      <c r="V10" s="80"/>
    </row>
    <row r="11" spans="1:22" ht="15">
      <c r="A11" s="86" t="s">
        <v>3238</v>
      </c>
      <c r="B11" s="80">
        <v>1</v>
      </c>
      <c r="C11" s="85" t="s">
        <v>3241</v>
      </c>
      <c r="D11" s="80">
        <v>1</v>
      </c>
      <c r="E11" s="80"/>
      <c r="F11" s="80"/>
      <c r="G11" s="80"/>
      <c r="H11" s="80"/>
      <c r="I11" s="80"/>
      <c r="J11" s="80"/>
      <c r="K11" s="80"/>
      <c r="L11" s="80"/>
      <c r="M11" s="80"/>
      <c r="N11" s="80"/>
      <c r="O11" s="80"/>
      <c r="P11" s="80"/>
      <c r="Q11" s="80"/>
      <c r="R11" s="80"/>
      <c r="S11" s="80"/>
      <c r="T11" s="80"/>
      <c r="U11" s="80"/>
      <c r="V11" s="80"/>
    </row>
    <row r="14" spans="1:22" ht="15" customHeight="1">
      <c r="A14" s="13" t="s">
        <v>3266</v>
      </c>
      <c r="B14" s="13" t="s">
        <v>3239</v>
      </c>
      <c r="C14" s="13" t="s">
        <v>3270</v>
      </c>
      <c r="D14" s="13" t="s">
        <v>3243</v>
      </c>
      <c r="E14" s="80" t="s">
        <v>3271</v>
      </c>
      <c r="F14" s="80" t="s">
        <v>3245</v>
      </c>
      <c r="G14" s="13" t="s">
        <v>3272</v>
      </c>
      <c r="H14" s="13" t="s">
        <v>3248</v>
      </c>
      <c r="I14" s="80" t="s">
        <v>3273</v>
      </c>
      <c r="J14" s="80" t="s">
        <v>3250</v>
      </c>
      <c r="K14" s="80" t="s">
        <v>3274</v>
      </c>
      <c r="L14" s="80" t="s">
        <v>3252</v>
      </c>
      <c r="M14" s="80" t="s">
        <v>3275</v>
      </c>
      <c r="N14" s="80" t="s">
        <v>3254</v>
      </c>
      <c r="O14" s="80" t="s">
        <v>3276</v>
      </c>
      <c r="P14" s="80" t="s">
        <v>3256</v>
      </c>
      <c r="Q14" s="80" t="s">
        <v>3277</v>
      </c>
      <c r="R14" s="80" t="s">
        <v>3258</v>
      </c>
      <c r="S14" s="80" t="s">
        <v>3278</v>
      </c>
      <c r="T14" s="80" t="s">
        <v>3260</v>
      </c>
      <c r="U14" s="80" t="s">
        <v>3279</v>
      </c>
      <c r="V14" s="80" t="s">
        <v>3261</v>
      </c>
    </row>
    <row r="15" spans="1:22" ht="15">
      <c r="A15" s="80" t="s">
        <v>1922</v>
      </c>
      <c r="B15" s="80">
        <v>36</v>
      </c>
      <c r="C15" s="80" t="s">
        <v>1922</v>
      </c>
      <c r="D15" s="80">
        <v>33</v>
      </c>
      <c r="E15" s="80"/>
      <c r="F15" s="80"/>
      <c r="G15" s="80" t="s">
        <v>1922</v>
      </c>
      <c r="H15" s="80">
        <v>1</v>
      </c>
      <c r="I15" s="80"/>
      <c r="J15" s="80"/>
      <c r="K15" s="80"/>
      <c r="L15" s="80"/>
      <c r="M15" s="80"/>
      <c r="N15" s="80"/>
      <c r="O15" s="80"/>
      <c r="P15" s="80"/>
      <c r="Q15" s="80"/>
      <c r="R15" s="80"/>
      <c r="S15" s="80"/>
      <c r="T15" s="80"/>
      <c r="U15" s="80"/>
      <c r="V15" s="80"/>
    </row>
    <row r="16" spans="1:22" ht="15">
      <c r="A16" s="81" t="s">
        <v>3267</v>
      </c>
      <c r="B16" s="80">
        <v>2</v>
      </c>
      <c r="C16" s="80" t="s">
        <v>3269</v>
      </c>
      <c r="D16" s="80">
        <v>2</v>
      </c>
      <c r="E16" s="80"/>
      <c r="F16" s="80"/>
      <c r="G16" s="80"/>
      <c r="H16" s="80"/>
      <c r="I16" s="80"/>
      <c r="J16" s="80"/>
      <c r="K16" s="80"/>
      <c r="L16" s="80"/>
      <c r="M16" s="80"/>
      <c r="N16" s="80"/>
      <c r="O16" s="80"/>
      <c r="P16" s="80"/>
      <c r="Q16" s="80"/>
      <c r="R16" s="80"/>
      <c r="S16" s="80"/>
      <c r="T16" s="80"/>
      <c r="U16" s="80"/>
      <c r="V16" s="80"/>
    </row>
    <row r="17" spans="1:22" ht="15">
      <c r="A17" s="81" t="s">
        <v>3268</v>
      </c>
      <c r="B17" s="80">
        <v>2</v>
      </c>
      <c r="C17" s="80" t="s">
        <v>3267</v>
      </c>
      <c r="D17" s="80">
        <v>2</v>
      </c>
      <c r="E17" s="80"/>
      <c r="F17" s="80"/>
      <c r="G17" s="80"/>
      <c r="H17" s="80"/>
      <c r="I17" s="80"/>
      <c r="J17" s="80"/>
      <c r="K17" s="80"/>
      <c r="L17" s="80"/>
      <c r="M17" s="80"/>
      <c r="N17" s="80"/>
      <c r="O17" s="80"/>
      <c r="P17" s="80"/>
      <c r="Q17" s="80"/>
      <c r="R17" s="80"/>
      <c r="S17" s="80"/>
      <c r="T17" s="80"/>
      <c r="U17" s="80"/>
      <c r="V17" s="80"/>
    </row>
    <row r="18" spans="1:22" ht="15">
      <c r="A18" s="81" t="s">
        <v>3269</v>
      </c>
      <c r="B18" s="80">
        <v>2</v>
      </c>
      <c r="C18" s="80" t="s">
        <v>3268</v>
      </c>
      <c r="D18" s="80">
        <v>2</v>
      </c>
      <c r="E18" s="80"/>
      <c r="F18" s="80"/>
      <c r="G18" s="80"/>
      <c r="H18" s="80"/>
      <c r="I18" s="80"/>
      <c r="J18" s="80"/>
      <c r="K18" s="80"/>
      <c r="L18" s="80"/>
      <c r="M18" s="80"/>
      <c r="N18" s="80"/>
      <c r="O18" s="80"/>
      <c r="P18" s="80"/>
      <c r="Q18" s="80"/>
      <c r="R18" s="80"/>
      <c r="S18" s="80"/>
      <c r="T18" s="80"/>
      <c r="U18" s="80"/>
      <c r="V18" s="80"/>
    </row>
    <row r="21" spans="1:22" ht="15" customHeight="1">
      <c r="A21" s="80" t="s">
        <v>3282</v>
      </c>
      <c r="B21" s="80" t="s">
        <v>3239</v>
      </c>
      <c r="C21" s="80" t="s">
        <v>3283</v>
      </c>
      <c r="D21" s="80" t="s">
        <v>3243</v>
      </c>
      <c r="E21" s="80" t="s">
        <v>3284</v>
      </c>
      <c r="F21" s="80" t="s">
        <v>3245</v>
      </c>
      <c r="G21" s="80" t="s">
        <v>3285</v>
      </c>
      <c r="H21" s="80" t="s">
        <v>3248</v>
      </c>
      <c r="I21" s="80" t="s">
        <v>3286</v>
      </c>
      <c r="J21" s="80" t="s">
        <v>3250</v>
      </c>
      <c r="K21" s="80" t="s">
        <v>3287</v>
      </c>
      <c r="L21" s="80" t="s">
        <v>3252</v>
      </c>
      <c r="M21" s="80" t="s">
        <v>3288</v>
      </c>
      <c r="N21" s="80" t="s">
        <v>3254</v>
      </c>
      <c r="O21" s="80" t="s">
        <v>3289</v>
      </c>
      <c r="P21" s="80" t="s">
        <v>3256</v>
      </c>
      <c r="Q21" s="80" t="s">
        <v>3290</v>
      </c>
      <c r="R21" s="80" t="s">
        <v>3258</v>
      </c>
      <c r="S21" s="80" t="s">
        <v>3291</v>
      </c>
      <c r="T21" s="80" t="s">
        <v>3260</v>
      </c>
      <c r="U21" s="80" t="s">
        <v>3292</v>
      </c>
      <c r="V21" s="80" t="s">
        <v>3261</v>
      </c>
    </row>
    <row r="22" spans="1:22" ht="15">
      <c r="A22" s="80"/>
      <c r="B22" s="80"/>
      <c r="C22" s="80"/>
      <c r="D22" s="80"/>
      <c r="E22" s="80"/>
      <c r="F22" s="80"/>
      <c r="G22" s="80"/>
      <c r="H22" s="80"/>
      <c r="I22" s="80"/>
      <c r="J22" s="80"/>
      <c r="K22" s="80"/>
      <c r="L22" s="80"/>
      <c r="M22" s="80"/>
      <c r="N22" s="80"/>
      <c r="O22" s="80"/>
      <c r="P22" s="80"/>
      <c r="Q22" s="80"/>
      <c r="R22" s="80"/>
      <c r="S22" s="80"/>
      <c r="T22" s="80"/>
      <c r="U22" s="80"/>
      <c r="V22" s="80"/>
    </row>
    <row r="24" spans="1:22" ht="15" customHeight="1">
      <c r="A24" s="13" t="s">
        <v>3294</v>
      </c>
      <c r="B24" s="13" t="s">
        <v>3239</v>
      </c>
      <c r="C24" s="13" t="s">
        <v>3295</v>
      </c>
      <c r="D24" s="13" t="s">
        <v>3243</v>
      </c>
      <c r="E24" s="13" t="s">
        <v>3296</v>
      </c>
      <c r="F24" s="13" t="s">
        <v>3245</v>
      </c>
      <c r="G24" s="13" t="s">
        <v>3297</v>
      </c>
      <c r="H24" s="13" t="s">
        <v>3248</v>
      </c>
      <c r="I24" s="13" t="s">
        <v>3298</v>
      </c>
      <c r="J24" s="13" t="s">
        <v>3250</v>
      </c>
      <c r="K24" s="13" t="s">
        <v>3299</v>
      </c>
      <c r="L24" s="13" t="s">
        <v>3252</v>
      </c>
      <c r="M24" s="13" t="s">
        <v>3300</v>
      </c>
      <c r="N24" s="13" t="s">
        <v>3254</v>
      </c>
      <c r="O24" s="13" t="s">
        <v>3301</v>
      </c>
      <c r="P24" s="13" t="s">
        <v>3256</v>
      </c>
      <c r="Q24" s="13" t="s">
        <v>3302</v>
      </c>
      <c r="R24" s="13" t="s">
        <v>3258</v>
      </c>
      <c r="S24" s="13" t="s">
        <v>3303</v>
      </c>
      <c r="T24" s="13" t="s">
        <v>3260</v>
      </c>
      <c r="U24" s="13" t="s">
        <v>3304</v>
      </c>
      <c r="V24" s="13" t="s">
        <v>3261</v>
      </c>
    </row>
    <row r="25" spans="1:22" ht="15">
      <c r="A25" s="83" t="s">
        <v>2129</v>
      </c>
      <c r="B25" s="83">
        <v>116</v>
      </c>
      <c r="C25" s="83" t="s">
        <v>2129</v>
      </c>
      <c r="D25" s="83">
        <v>89</v>
      </c>
      <c r="E25" s="83" t="s">
        <v>2168</v>
      </c>
      <c r="F25" s="83">
        <v>13</v>
      </c>
      <c r="G25" s="83" t="s">
        <v>2218</v>
      </c>
      <c r="H25" s="83">
        <v>8</v>
      </c>
      <c r="I25" s="83" t="s">
        <v>2166</v>
      </c>
      <c r="J25" s="83">
        <v>2</v>
      </c>
      <c r="K25" s="83" t="s">
        <v>2143</v>
      </c>
      <c r="L25" s="83">
        <v>5</v>
      </c>
      <c r="M25" s="83" t="s">
        <v>2151</v>
      </c>
      <c r="N25" s="83">
        <v>4</v>
      </c>
      <c r="O25" s="83" t="s">
        <v>2129</v>
      </c>
      <c r="P25" s="83">
        <v>10</v>
      </c>
      <c r="Q25" s="83" t="s">
        <v>2650</v>
      </c>
      <c r="R25" s="83">
        <v>2</v>
      </c>
      <c r="S25" s="83" t="s">
        <v>2133</v>
      </c>
      <c r="T25" s="83">
        <v>4</v>
      </c>
      <c r="U25" s="83" t="s">
        <v>2408</v>
      </c>
      <c r="V25" s="83">
        <v>4</v>
      </c>
    </row>
    <row r="26" spans="1:22" ht="15">
      <c r="A26" s="84" t="s">
        <v>2130</v>
      </c>
      <c r="B26" s="83">
        <v>84</v>
      </c>
      <c r="C26" s="83" t="s">
        <v>2130</v>
      </c>
      <c r="D26" s="83">
        <v>57</v>
      </c>
      <c r="E26" s="83" t="s">
        <v>2133</v>
      </c>
      <c r="F26" s="83">
        <v>12</v>
      </c>
      <c r="G26" s="83" t="s">
        <v>2167</v>
      </c>
      <c r="H26" s="83">
        <v>6</v>
      </c>
      <c r="I26" s="83" t="s">
        <v>2942</v>
      </c>
      <c r="J26" s="83">
        <v>2</v>
      </c>
      <c r="K26" s="83" t="s">
        <v>2162</v>
      </c>
      <c r="L26" s="83">
        <v>2</v>
      </c>
      <c r="M26" s="83" t="s">
        <v>2135</v>
      </c>
      <c r="N26" s="83">
        <v>3</v>
      </c>
      <c r="O26" s="83" t="s">
        <v>2164</v>
      </c>
      <c r="P26" s="83">
        <v>9</v>
      </c>
      <c r="Q26" s="83" t="s">
        <v>2381</v>
      </c>
      <c r="R26" s="83">
        <v>2</v>
      </c>
      <c r="S26" s="83"/>
      <c r="T26" s="83"/>
      <c r="U26" s="83" t="s">
        <v>2129</v>
      </c>
      <c r="V26" s="83">
        <v>3</v>
      </c>
    </row>
    <row r="27" spans="1:22" ht="15">
      <c r="A27" s="84" t="s">
        <v>2131</v>
      </c>
      <c r="B27" s="83">
        <v>69</v>
      </c>
      <c r="C27" s="83" t="s">
        <v>2131</v>
      </c>
      <c r="D27" s="83">
        <v>55</v>
      </c>
      <c r="E27" s="83" t="s">
        <v>2159</v>
      </c>
      <c r="F27" s="83">
        <v>9</v>
      </c>
      <c r="G27" s="83" t="s">
        <v>2343</v>
      </c>
      <c r="H27" s="83">
        <v>6</v>
      </c>
      <c r="I27" s="83" t="s">
        <v>2943</v>
      </c>
      <c r="J27" s="83">
        <v>2</v>
      </c>
      <c r="K27" s="83" t="s">
        <v>2133</v>
      </c>
      <c r="L27" s="83">
        <v>2</v>
      </c>
      <c r="M27" s="83" t="s">
        <v>2137</v>
      </c>
      <c r="N27" s="83">
        <v>3</v>
      </c>
      <c r="O27" s="83" t="s">
        <v>2130</v>
      </c>
      <c r="P27" s="83">
        <v>6</v>
      </c>
      <c r="Q27" s="83" t="s">
        <v>2130</v>
      </c>
      <c r="R27" s="83">
        <v>2</v>
      </c>
      <c r="S27" s="83"/>
      <c r="T27" s="83"/>
      <c r="U27" s="83" t="s">
        <v>2261</v>
      </c>
      <c r="V27" s="83">
        <v>3</v>
      </c>
    </row>
    <row r="28" spans="1:22" ht="15">
      <c r="A28" s="84" t="s">
        <v>2132</v>
      </c>
      <c r="B28" s="83">
        <v>61</v>
      </c>
      <c r="C28" s="83" t="s">
        <v>2132</v>
      </c>
      <c r="D28" s="83">
        <v>51</v>
      </c>
      <c r="E28" s="83" t="s">
        <v>2130</v>
      </c>
      <c r="F28" s="83">
        <v>9</v>
      </c>
      <c r="G28" s="83" t="s">
        <v>2129</v>
      </c>
      <c r="H28" s="83">
        <v>5</v>
      </c>
      <c r="I28" s="83"/>
      <c r="J28" s="83"/>
      <c r="K28" s="83" t="s">
        <v>2185</v>
      </c>
      <c r="L28" s="83">
        <v>2</v>
      </c>
      <c r="M28" s="83" t="s">
        <v>2339</v>
      </c>
      <c r="N28" s="83">
        <v>2</v>
      </c>
      <c r="O28" s="83" t="s">
        <v>2393</v>
      </c>
      <c r="P28" s="83">
        <v>5</v>
      </c>
      <c r="Q28" s="83" t="s">
        <v>2182</v>
      </c>
      <c r="R28" s="83">
        <v>2</v>
      </c>
      <c r="S28" s="83"/>
      <c r="T28" s="83"/>
      <c r="U28" s="83" t="s">
        <v>2336</v>
      </c>
      <c r="V28" s="83">
        <v>3</v>
      </c>
    </row>
    <row r="29" spans="1:22" ht="15">
      <c r="A29" s="84" t="s">
        <v>2133</v>
      </c>
      <c r="B29" s="83">
        <v>54</v>
      </c>
      <c r="C29" s="83" t="s">
        <v>2135</v>
      </c>
      <c r="D29" s="83">
        <v>38</v>
      </c>
      <c r="E29" s="83" t="s">
        <v>2184</v>
      </c>
      <c r="F29" s="83">
        <v>8</v>
      </c>
      <c r="G29" s="83" t="s">
        <v>2134</v>
      </c>
      <c r="H29" s="83">
        <v>5</v>
      </c>
      <c r="I29" s="83"/>
      <c r="J29" s="83"/>
      <c r="K29" s="83" t="s">
        <v>2140</v>
      </c>
      <c r="L29" s="83">
        <v>2</v>
      </c>
      <c r="M29" s="83" t="s">
        <v>2136</v>
      </c>
      <c r="N29" s="83">
        <v>2</v>
      </c>
      <c r="O29" s="83" t="s">
        <v>2285</v>
      </c>
      <c r="P29" s="83">
        <v>5</v>
      </c>
      <c r="Q29" s="83" t="s">
        <v>2211</v>
      </c>
      <c r="R29" s="83">
        <v>2</v>
      </c>
      <c r="S29" s="83"/>
      <c r="T29" s="83"/>
      <c r="U29" s="83" t="s">
        <v>2925</v>
      </c>
      <c r="V29" s="83">
        <v>2</v>
      </c>
    </row>
    <row r="30" spans="1:22" ht="15">
      <c r="A30" s="84" t="s">
        <v>2134</v>
      </c>
      <c r="B30" s="83">
        <v>47</v>
      </c>
      <c r="C30" s="83" t="s">
        <v>2136</v>
      </c>
      <c r="D30" s="83">
        <v>38</v>
      </c>
      <c r="E30" s="83" t="s">
        <v>2148</v>
      </c>
      <c r="F30" s="83">
        <v>8</v>
      </c>
      <c r="G30" s="83" t="s">
        <v>2504</v>
      </c>
      <c r="H30" s="83">
        <v>4</v>
      </c>
      <c r="I30" s="83"/>
      <c r="J30" s="83"/>
      <c r="K30" s="83"/>
      <c r="L30" s="83"/>
      <c r="M30" s="83" t="s">
        <v>2173</v>
      </c>
      <c r="N30" s="83">
        <v>2</v>
      </c>
      <c r="O30" s="83" t="s">
        <v>2189</v>
      </c>
      <c r="P30" s="83">
        <v>4</v>
      </c>
      <c r="Q30" s="83"/>
      <c r="R30" s="83"/>
      <c r="S30" s="83"/>
      <c r="T30" s="83"/>
      <c r="U30" s="83" t="s">
        <v>2927</v>
      </c>
      <c r="V30" s="83">
        <v>2</v>
      </c>
    </row>
    <row r="31" spans="1:22" ht="15">
      <c r="A31" s="84" t="s">
        <v>2135</v>
      </c>
      <c r="B31" s="83">
        <v>44</v>
      </c>
      <c r="C31" s="83" t="s">
        <v>2138</v>
      </c>
      <c r="D31" s="83">
        <v>37</v>
      </c>
      <c r="E31" s="83" t="s">
        <v>2262</v>
      </c>
      <c r="F31" s="83">
        <v>8</v>
      </c>
      <c r="G31" s="83" t="s">
        <v>2414</v>
      </c>
      <c r="H31" s="83">
        <v>4</v>
      </c>
      <c r="I31" s="83"/>
      <c r="J31" s="83"/>
      <c r="K31" s="83"/>
      <c r="L31" s="83"/>
      <c r="M31" s="83" t="s">
        <v>2180</v>
      </c>
      <c r="N31" s="83">
        <v>2</v>
      </c>
      <c r="O31" s="83" t="s">
        <v>2157</v>
      </c>
      <c r="P31" s="83">
        <v>4</v>
      </c>
      <c r="Q31" s="83"/>
      <c r="R31" s="83"/>
      <c r="S31" s="83"/>
      <c r="T31" s="83"/>
      <c r="U31" s="83" t="s">
        <v>2390</v>
      </c>
      <c r="V31" s="83">
        <v>2</v>
      </c>
    </row>
    <row r="32" spans="1:22" ht="15">
      <c r="A32" s="84" t="s">
        <v>2136</v>
      </c>
      <c r="B32" s="83">
        <v>44</v>
      </c>
      <c r="C32" s="83" t="s">
        <v>2134</v>
      </c>
      <c r="D32" s="83">
        <v>36</v>
      </c>
      <c r="E32" s="83" t="s">
        <v>2176</v>
      </c>
      <c r="F32" s="83">
        <v>5</v>
      </c>
      <c r="G32" s="83" t="s">
        <v>2173</v>
      </c>
      <c r="H32" s="83">
        <v>4</v>
      </c>
      <c r="I32" s="83"/>
      <c r="J32" s="83"/>
      <c r="K32" s="83"/>
      <c r="L32" s="83"/>
      <c r="M32" s="83" t="s">
        <v>2590</v>
      </c>
      <c r="N32" s="83">
        <v>2</v>
      </c>
      <c r="O32" s="83" t="s">
        <v>2194</v>
      </c>
      <c r="P32" s="83">
        <v>3</v>
      </c>
      <c r="Q32" s="83"/>
      <c r="R32" s="83"/>
      <c r="S32" s="83"/>
      <c r="T32" s="83"/>
      <c r="U32" s="83" t="s">
        <v>2131</v>
      </c>
      <c r="V32" s="83">
        <v>2</v>
      </c>
    </row>
    <row r="33" spans="1:22" ht="15">
      <c r="A33" s="84" t="s">
        <v>2137</v>
      </c>
      <c r="B33" s="83">
        <v>40</v>
      </c>
      <c r="C33" s="83" t="s">
        <v>2139</v>
      </c>
      <c r="D33" s="83">
        <v>31</v>
      </c>
      <c r="E33" s="83" t="s">
        <v>2129</v>
      </c>
      <c r="F33" s="83">
        <v>4</v>
      </c>
      <c r="G33" s="83" t="s">
        <v>2196</v>
      </c>
      <c r="H33" s="83">
        <v>4</v>
      </c>
      <c r="I33" s="83"/>
      <c r="J33" s="83"/>
      <c r="K33" s="83"/>
      <c r="L33" s="83"/>
      <c r="M33" s="83" t="s">
        <v>2193</v>
      </c>
      <c r="N33" s="83">
        <v>2</v>
      </c>
      <c r="O33" s="83" t="s">
        <v>2179</v>
      </c>
      <c r="P33" s="83">
        <v>3</v>
      </c>
      <c r="Q33" s="83"/>
      <c r="R33" s="83"/>
      <c r="S33" s="83"/>
      <c r="T33" s="83"/>
      <c r="U33" s="83" t="s">
        <v>2297</v>
      </c>
      <c r="V33" s="83">
        <v>2</v>
      </c>
    </row>
    <row r="34" spans="1:22" ht="15">
      <c r="A34" s="84" t="s">
        <v>2138</v>
      </c>
      <c r="B34" s="83">
        <v>38</v>
      </c>
      <c r="C34" s="83" t="s">
        <v>2137</v>
      </c>
      <c r="D34" s="83">
        <v>27</v>
      </c>
      <c r="E34" s="83" t="s">
        <v>2179</v>
      </c>
      <c r="F34" s="83">
        <v>4</v>
      </c>
      <c r="G34" s="83" t="s">
        <v>2260</v>
      </c>
      <c r="H34" s="83">
        <v>4</v>
      </c>
      <c r="I34" s="83"/>
      <c r="J34" s="83"/>
      <c r="K34" s="83"/>
      <c r="L34" s="83"/>
      <c r="M34" s="83" t="s">
        <v>2132</v>
      </c>
      <c r="N34" s="83">
        <v>2</v>
      </c>
      <c r="O34" s="83" t="s">
        <v>2219</v>
      </c>
      <c r="P34" s="83">
        <v>3</v>
      </c>
      <c r="Q34" s="83"/>
      <c r="R34" s="83"/>
      <c r="S34" s="83"/>
      <c r="T34" s="83"/>
      <c r="U34" s="83" t="s">
        <v>2269</v>
      </c>
      <c r="V34" s="83">
        <v>2</v>
      </c>
    </row>
    <row r="37" spans="1:22" ht="15" customHeight="1">
      <c r="A37" s="13" t="s">
        <v>3319</v>
      </c>
      <c r="B37" s="13" t="s">
        <v>3239</v>
      </c>
      <c r="C37" s="13" t="s">
        <v>3330</v>
      </c>
      <c r="D37" s="13" t="s">
        <v>3243</v>
      </c>
      <c r="E37" s="13" t="s">
        <v>3334</v>
      </c>
      <c r="F37" s="13" t="s">
        <v>3245</v>
      </c>
      <c r="G37" s="13" t="s">
        <v>3344</v>
      </c>
      <c r="H37" s="13" t="s">
        <v>3248</v>
      </c>
      <c r="I37" s="13" t="s">
        <v>3355</v>
      </c>
      <c r="J37" s="13" t="s">
        <v>3250</v>
      </c>
      <c r="K37" s="80" t="s">
        <v>3357</v>
      </c>
      <c r="L37" s="80" t="s">
        <v>3252</v>
      </c>
      <c r="M37" s="13" t="s">
        <v>3358</v>
      </c>
      <c r="N37" s="13" t="s">
        <v>3254</v>
      </c>
      <c r="O37" s="13" t="s">
        <v>3361</v>
      </c>
      <c r="P37" s="13" t="s">
        <v>3256</v>
      </c>
      <c r="Q37" s="13" t="s">
        <v>3364</v>
      </c>
      <c r="R37" s="13" t="s">
        <v>3258</v>
      </c>
      <c r="S37" s="80" t="s">
        <v>3367</v>
      </c>
      <c r="T37" s="80" t="s">
        <v>3260</v>
      </c>
      <c r="U37" s="13" t="s">
        <v>3368</v>
      </c>
      <c r="V37" s="13" t="s">
        <v>3261</v>
      </c>
    </row>
    <row r="38" spans="1:22" ht="15">
      <c r="A38" s="83" t="s">
        <v>3320</v>
      </c>
      <c r="B38" s="83">
        <v>24</v>
      </c>
      <c r="C38" s="83" t="s">
        <v>3320</v>
      </c>
      <c r="D38" s="83">
        <v>24</v>
      </c>
      <c r="E38" s="83" t="s">
        <v>3326</v>
      </c>
      <c r="F38" s="83">
        <v>4</v>
      </c>
      <c r="G38" s="83" t="s">
        <v>3345</v>
      </c>
      <c r="H38" s="83">
        <v>4</v>
      </c>
      <c r="I38" s="83" t="s">
        <v>3356</v>
      </c>
      <c r="J38" s="83">
        <v>2</v>
      </c>
      <c r="K38" s="83"/>
      <c r="L38" s="83"/>
      <c r="M38" s="83" t="s">
        <v>3359</v>
      </c>
      <c r="N38" s="83">
        <v>2</v>
      </c>
      <c r="O38" s="83" t="s">
        <v>3324</v>
      </c>
      <c r="P38" s="83">
        <v>4</v>
      </c>
      <c r="Q38" s="83" t="s">
        <v>3365</v>
      </c>
      <c r="R38" s="83">
        <v>2</v>
      </c>
      <c r="S38" s="83"/>
      <c r="T38" s="83"/>
      <c r="U38" s="83" t="s">
        <v>3369</v>
      </c>
      <c r="V38" s="83">
        <v>2</v>
      </c>
    </row>
    <row r="39" spans="1:22" ht="15">
      <c r="A39" s="84" t="s">
        <v>3321</v>
      </c>
      <c r="B39" s="83">
        <v>9</v>
      </c>
      <c r="C39" s="83" t="s">
        <v>3322</v>
      </c>
      <c r="D39" s="83">
        <v>8</v>
      </c>
      <c r="E39" s="83" t="s">
        <v>3335</v>
      </c>
      <c r="F39" s="83">
        <v>3</v>
      </c>
      <c r="G39" s="83" t="s">
        <v>3346</v>
      </c>
      <c r="H39" s="83">
        <v>4</v>
      </c>
      <c r="I39" s="83"/>
      <c r="J39" s="83"/>
      <c r="K39" s="83"/>
      <c r="L39" s="83"/>
      <c r="M39" s="83" t="s">
        <v>3360</v>
      </c>
      <c r="N39" s="83">
        <v>2</v>
      </c>
      <c r="O39" s="83" t="s">
        <v>3362</v>
      </c>
      <c r="P39" s="83">
        <v>2</v>
      </c>
      <c r="Q39" s="83" t="s">
        <v>3321</v>
      </c>
      <c r="R39" s="83">
        <v>2</v>
      </c>
      <c r="S39" s="83"/>
      <c r="T39" s="83"/>
      <c r="U39" s="83" t="s">
        <v>3370</v>
      </c>
      <c r="V39" s="83">
        <v>2</v>
      </c>
    </row>
    <row r="40" spans="1:22" ht="15">
      <c r="A40" s="84" t="s">
        <v>3322</v>
      </c>
      <c r="B40" s="83">
        <v>8</v>
      </c>
      <c r="C40" s="83" t="s">
        <v>3323</v>
      </c>
      <c r="D40" s="83">
        <v>6</v>
      </c>
      <c r="E40" s="83" t="s">
        <v>3336</v>
      </c>
      <c r="F40" s="83">
        <v>2</v>
      </c>
      <c r="G40" s="83" t="s">
        <v>3347</v>
      </c>
      <c r="H40" s="83">
        <v>4</v>
      </c>
      <c r="I40" s="83"/>
      <c r="J40" s="83"/>
      <c r="K40" s="83"/>
      <c r="L40" s="83"/>
      <c r="M40" s="83"/>
      <c r="N40" s="83"/>
      <c r="O40" s="83" t="s">
        <v>3363</v>
      </c>
      <c r="P40" s="83">
        <v>2</v>
      </c>
      <c r="Q40" s="83" t="s">
        <v>3366</v>
      </c>
      <c r="R40" s="83">
        <v>2</v>
      </c>
      <c r="S40" s="83"/>
      <c r="T40" s="83"/>
      <c r="U40" s="83" t="s">
        <v>3371</v>
      </c>
      <c r="V40" s="83">
        <v>2</v>
      </c>
    </row>
    <row r="41" spans="1:22" ht="15">
      <c r="A41" s="84" t="s">
        <v>3323</v>
      </c>
      <c r="B41" s="83">
        <v>6</v>
      </c>
      <c r="C41" s="83" t="s">
        <v>3321</v>
      </c>
      <c r="D41" s="83">
        <v>6</v>
      </c>
      <c r="E41" s="83" t="s">
        <v>3337</v>
      </c>
      <c r="F41" s="83">
        <v>2</v>
      </c>
      <c r="G41" s="83" t="s">
        <v>3348</v>
      </c>
      <c r="H41" s="83">
        <v>3</v>
      </c>
      <c r="I41" s="83"/>
      <c r="J41" s="83"/>
      <c r="K41" s="83"/>
      <c r="L41" s="83"/>
      <c r="M41" s="83"/>
      <c r="N41" s="83"/>
      <c r="O41" s="83"/>
      <c r="P41" s="83"/>
      <c r="Q41" s="83"/>
      <c r="R41" s="83"/>
      <c r="S41" s="83"/>
      <c r="T41" s="83"/>
      <c r="U41" s="83"/>
      <c r="V41" s="83"/>
    </row>
    <row r="42" spans="1:22" ht="15">
      <c r="A42" s="84" t="s">
        <v>3324</v>
      </c>
      <c r="B42" s="83">
        <v>5</v>
      </c>
      <c r="C42" s="83" t="s">
        <v>3327</v>
      </c>
      <c r="D42" s="83">
        <v>5</v>
      </c>
      <c r="E42" s="83" t="s">
        <v>3338</v>
      </c>
      <c r="F42" s="83">
        <v>2</v>
      </c>
      <c r="G42" s="83" t="s">
        <v>3349</v>
      </c>
      <c r="H42" s="83">
        <v>2</v>
      </c>
      <c r="I42" s="83"/>
      <c r="J42" s="83"/>
      <c r="K42" s="83"/>
      <c r="L42" s="83"/>
      <c r="M42" s="83"/>
      <c r="N42" s="83"/>
      <c r="O42" s="83"/>
      <c r="P42" s="83"/>
      <c r="Q42" s="83"/>
      <c r="R42" s="83"/>
      <c r="S42" s="83"/>
      <c r="T42" s="83"/>
      <c r="U42" s="83"/>
      <c r="V42" s="83"/>
    </row>
    <row r="43" spans="1:22" ht="15">
      <c r="A43" s="84" t="s">
        <v>3325</v>
      </c>
      <c r="B43" s="83">
        <v>5</v>
      </c>
      <c r="C43" s="83" t="s">
        <v>3328</v>
      </c>
      <c r="D43" s="83">
        <v>4</v>
      </c>
      <c r="E43" s="83" t="s">
        <v>3339</v>
      </c>
      <c r="F43" s="83">
        <v>2</v>
      </c>
      <c r="G43" s="83" t="s">
        <v>3350</v>
      </c>
      <c r="H43" s="83">
        <v>2</v>
      </c>
      <c r="I43" s="83"/>
      <c r="J43" s="83"/>
      <c r="K43" s="83"/>
      <c r="L43" s="83"/>
      <c r="M43" s="83"/>
      <c r="N43" s="83"/>
      <c r="O43" s="83"/>
      <c r="P43" s="83"/>
      <c r="Q43" s="83"/>
      <c r="R43" s="83"/>
      <c r="S43" s="83"/>
      <c r="T43" s="83"/>
      <c r="U43" s="83"/>
      <c r="V43" s="83"/>
    </row>
    <row r="44" spans="1:22" ht="15">
      <c r="A44" s="84" t="s">
        <v>3326</v>
      </c>
      <c r="B44" s="83">
        <v>5</v>
      </c>
      <c r="C44" s="83" t="s">
        <v>3329</v>
      </c>
      <c r="D44" s="83">
        <v>4</v>
      </c>
      <c r="E44" s="83" t="s">
        <v>3340</v>
      </c>
      <c r="F44" s="83">
        <v>2</v>
      </c>
      <c r="G44" s="83" t="s">
        <v>3351</v>
      </c>
      <c r="H44" s="83">
        <v>2</v>
      </c>
      <c r="I44" s="83"/>
      <c r="J44" s="83"/>
      <c r="K44" s="83"/>
      <c r="L44" s="83"/>
      <c r="M44" s="83"/>
      <c r="N44" s="83"/>
      <c r="O44" s="83"/>
      <c r="P44" s="83"/>
      <c r="Q44" s="83"/>
      <c r="R44" s="83"/>
      <c r="S44" s="83"/>
      <c r="T44" s="83"/>
      <c r="U44" s="83"/>
      <c r="V44" s="83"/>
    </row>
    <row r="45" spans="1:22" ht="15">
      <c r="A45" s="84" t="s">
        <v>3327</v>
      </c>
      <c r="B45" s="83">
        <v>5</v>
      </c>
      <c r="C45" s="83" t="s">
        <v>3331</v>
      </c>
      <c r="D45" s="83">
        <v>4</v>
      </c>
      <c r="E45" s="83" t="s">
        <v>3341</v>
      </c>
      <c r="F45" s="83">
        <v>2</v>
      </c>
      <c r="G45" s="83" t="s">
        <v>3352</v>
      </c>
      <c r="H45" s="83">
        <v>2</v>
      </c>
      <c r="I45" s="83"/>
      <c r="J45" s="83"/>
      <c r="K45" s="83"/>
      <c r="L45" s="83"/>
      <c r="M45" s="83"/>
      <c r="N45" s="83"/>
      <c r="O45" s="83"/>
      <c r="P45" s="83"/>
      <c r="Q45" s="83"/>
      <c r="R45" s="83"/>
      <c r="S45" s="83"/>
      <c r="T45" s="83"/>
      <c r="U45" s="83"/>
      <c r="V45" s="83"/>
    </row>
    <row r="46" spans="1:22" ht="15">
      <c r="A46" s="84" t="s">
        <v>3328</v>
      </c>
      <c r="B46" s="83">
        <v>4</v>
      </c>
      <c r="C46" s="83" t="s">
        <v>3332</v>
      </c>
      <c r="D46" s="83">
        <v>4</v>
      </c>
      <c r="E46" s="83" t="s">
        <v>3342</v>
      </c>
      <c r="F46" s="83">
        <v>2</v>
      </c>
      <c r="G46" s="83" t="s">
        <v>3353</v>
      </c>
      <c r="H46" s="83">
        <v>2</v>
      </c>
      <c r="I46" s="83"/>
      <c r="J46" s="83"/>
      <c r="K46" s="83"/>
      <c r="L46" s="83"/>
      <c r="M46" s="83"/>
      <c r="N46" s="83"/>
      <c r="O46" s="83"/>
      <c r="P46" s="83"/>
      <c r="Q46" s="83"/>
      <c r="R46" s="83"/>
      <c r="S46" s="83"/>
      <c r="T46" s="83"/>
      <c r="U46" s="83"/>
      <c r="V46" s="83"/>
    </row>
    <row r="47" spans="1:22" ht="15">
      <c r="A47" s="84" t="s">
        <v>3329</v>
      </c>
      <c r="B47" s="83">
        <v>4</v>
      </c>
      <c r="C47" s="83" t="s">
        <v>3333</v>
      </c>
      <c r="D47" s="83">
        <v>4</v>
      </c>
      <c r="E47" s="83" t="s">
        <v>3343</v>
      </c>
      <c r="F47" s="83">
        <v>2</v>
      </c>
      <c r="G47" s="83" t="s">
        <v>3354</v>
      </c>
      <c r="H47" s="83">
        <v>2</v>
      </c>
      <c r="I47" s="83"/>
      <c r="J47" s="83"/>
      <c r="K47" s="83"/>
      <c r="L47" s="83"/>
      <c r="M47" s="83"/>
      <c r="N47" s="83"/>
      <c r="O47" s="83"/>
      <c r="P47" s="83"/>
      <c r="Q47" s="83"/>
      <c r="R47" s="83"/>
      <c r="S47" s="83"/>
      <c r="T47" s="83"/>
      <c r="U47" s="83"/>
      <c r="V47" s="83"/>
    </row>
  </sheetData>
  <hyperlinks>
    <hyperlink ref="A2" r:id="rId1" display="https://www.youtube.com/watch?v=wadBvDPeE4E&amp;amp;t=15m00s"/>
    <hyperlink ref="A3" r:id="rId2" display="https://www.youtube.com/watch?time_continue=2&amp;amp;v=TTNdcgQjvfM"/>
    <hyperlink ref="A4" r:id="rId3" display="https://www.youtube.com/watch?v=wadBvDPeE4E&amp;amp;t=14m36s"/>
    <hyperlink ref="A5" r:id="rId4" display="https://youtu.be/K2OkFNaGWlw"/>
    <hyperlink ref="A6" r:id="rId5" display="http://math.stackexchange.com/questions/1308713/clique-percolation-method-calculation"/>
    <hyperlink ref="A7" r:id="rId6" display="https://bigth.ink/GetSmarter"/>
    <hyperlink ref="A8" r:id="rId7" display="https://www.youtube.com/watch?v=wadBvDPeE4E&amp;amp;t=16m00s"/>
    <hyperlink ref="A9" r:id="rId8" display="https://www.youtube.com/watch?v=wadBvDPeE4E&amp;amp;t=39m15s"/>
    <hyperlink ref="A10" r:id="rId9" display="https://www.youtube.com/watch?v=wadBvDPeE4E&amp;amp;t=24m16s"/>
    <hyperlink ref="A11" r:id="rId10" display="https://www.youtube.com/watch?v=wadBvDPeE4E&amp;amp;t=16m03s"/>
    <hyperlink ref="C2" r:id="rId11" display="https://www.youtube.com/watch?v=wadBvDPeE4E&amp;amp;t=15m00s"/>
    <hyperlink ref="C3" r:id="rId12" display="https://bigth.ink/GetSmarter"/>
    <hyperlink ref="C4" r:id="rId13" display="https://www.youtube.com/watch?time_continue=2&amp;amp;v=TTNdcgQjvfM"/>
    <hyperlink ref="C5" r:id="rId14" display="https://www.youtube.com/watch?v=wadBvDPeE4E&amp;amp;t=14m36s"/>
    <hyperlink ref="C6" r:id="rId15" display="https://youtu.be/K2OkFNaGWlw"/>
    <hyperlink ref="C7" r:id="rId16" display="http://math.stackexchange.com/questions/1308713/clique-percolation-method-calculation"/>
    <hyperlink ref="C8" r:id="rId17" display="https://www.youtube.com/watch?v=wadBvDPeE4E&amp;amp;t=16m00s"/>
    <hyperlink ref="C9" r:id="rId18" display="https://www.youtube.com/watch?v=wadBvDPeE4E&amp;amp;t=39m15s"/>
    <hyperlink ref="C10" r:id="rId19" display="https://www.youtube.com/watch?v=wadBvDPeE4E&amp;amp;t=24m16s"/>
    <hyperlink ref="C11" r:id="rId20" display="https://www.youtube.com/watch?v=wadBvDPeE4E&amp;amp;t=0m31s"/>
    <hyperlink ref="G2" r:id="rId21" display="https://www.youtube.com/watch?v=wadBvDPeE4E&amp;amp;t=13m00s"/>
  </hyperlinks>
  <printOptions/>
  <pageMargins left="0.7" right="0.7" top="0.75" bottom="0.75" header="0.3" footer="0.3"/>
  <pageSetup orientation="portrait" paperSize="9"/>
  <tableParts>
    <tablePart r:id="rId23"/>
    <tablePart r:id="rId26"/>
    <tablePart r:id="rId24"/>
    <tablePart r:id="rId25"/>
    <tablePart r:id="rId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537E-218B-4EFA-9EFA-FD09AF8703F4}">
  <dimension ref="A25:B422"/>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7" t="s">
        <v>4266</v>
      </c>
      <c r="B25" t="s">
        <v>4265</v>
      </c>
    </row>
    <row r="26" spans="1:2" ht="15">
      <c r="A26" s="118" t="s">
        <v>4268</v>
      </c>
      <c r="B26" s="3">
        <v>272</v>
      </c>
    </row>
    <row r="27" spans="1:2" ht="15">
      <c r="A27" s="119" t="s">
        <v>4269</v>
      </c>
      <c r="B27" s="3">
        <v>245</v>
      </c>
    </row>
    <row r="28" spans="1:2" ht="15">
      <c r="A28" s="120" t="s">
        <v>4270</v>
      </c>
      <c r="B28" s="3">
        <v>132</v>
      </c>
    </row>
    <row r="29" spans="1:2" ht="15">
      <c r="A29" s="120" t="s">
        <v>4271</v>
      </c>
      <c r="B29" s="3">
        <v>55</v>
      </c>
    </row>
    <row r="30" spans="1:2" ht="15">
      <c r="A30" s="120" t="s">
        <v>4272</v>
      </c>
      <c r="B30" s="3">
        <v>25</v>
      </c>
    </row>
    <row r="31" spans="1:2" ht="15">
      <c r="A31" s="120" t="s">
        <v>4273</v>
      </c>
      <c r="B31" s="3">
        <v>4</v>
      </c>
    </row>
    <row r="32" spans="1:2" ht="15">
      <c r="A32" s="120" t="s">
        <v>4274</v>
      </c>
      <c r="B32" s="3">
        <v>6</v>
      </c>
    </row>
    <row r="33" spans="1:2" ht="15">
      <c r="A33" s="120" t="s">
        <v>4275</v>
      </c>
      <c r="B33" s="3">
        <v>9</v>
      </c>
    </row>
    <row r="34" spans="1:2" ht="15">
      <c r="A34" s="120" t="s">
        <v>4276</v>
      </c>
      <c r="B34" s="3">
        <v>10</v>
      </c>
    </row>
    <row r="35" spans="1:2" ht="15">
      <c r="A35" s="120" t="s">
        <v>4277</v>
      </c>
      <c r="B35" s="3">
        <v>2</v>
      </c>
    </row>
    <row r="36" spans="1:2" ht="15">
      <c r="A36" s="120" t="s">
        <v>4278</v>
      </c>
      <c r="B36" s="3">
        <v>1</v>
      </c>
    </row>
    <row r="37" spans="1:2" ht="15">
      <c r="A37" s="120" t="s">
        <v>4279</v>
      </c>
      <c r="B37" s="3">
        <v>1</v>
      </c>
    </row>
    <row r="38" spans="1:2" ht="15">
      <c r="A38" s="119" t="s">
        <v>4280</v>
      </c>
      <c r="B38" s="3">
        <v>18</v>
      </c>
    </row>
    <row r="39" spans="1:2" ht="15">
      <c r="A39" s="120" t="s">
        <v>4281</v>
      </c>
      <c r="B39" s="3">
        <v>1</v>
      </c>
    </row>
    <row r="40" spans="1:2" ht="15">
      <c r="A40" s="120" t="s">
        <v>4282</v>
      </c>
      <c r="B40" s="3">
        <v>1</v>
      </c>
    </row>
    <row r="41" spans="1:2" ht="15">
      <c r="A41" s="120" t="s">
        <v>4283</v>
      </c>
      <c r="B41" s="3">
        <v>1</v>
      </c>
    </row>
    <row r="42" spans="1:2" ht="15">
      <c r="A42" s="120" t="s">
        <v>4284</v>
      </c>
      <c r="B42" s="3">
        <v>2</v>
      </c>
    </row>
    <row r="43" spans="1:2" ht="15">
      <c r="A43" s="120" t="s">
        <v>4285</v>
      </c>
      <c r="B43" s="3">
        <v>2</v>
      </c>
    </row>
    <row r="44" spans="1:2" ht="15">
      <c r="A44" s="120" t="s">
        <v>4286</v>
      </c>
      <c r="B44" s="3">
        <v>1</v>
      </c>
    </row>
    <row r="45" spans="1:2" ht="15">
      <c r="A45" s="120" t="s">
        <v>4287</v>
      </c>
      <c r="B45" s="3">
        <v>1</v>
      </c>
    </row>
    <row r="46" spans="1:2" ht="15">
      <c r="A46" s="120" t="s">
        <v>4288</v>
      </c>
      <c r="B46" s="3">
        <v>1</v>
      </c>
    </row>
    <row r="47" spans="1:2" ht="15">
      <c r="A47" s="120" t="s">
        <v>4289</v>
      </c>
      <c r="B47" s="3">
        <v>3</v>
      </c>
    </row>
    <row r="48" spans="1:2" ht="15">
      <c r="A48" s="120" t="s">
        <v>4290</v>
      </c>
      <c r="B48" s="3">
        <v>1</v>
      </c>
    </row>
    <row r="49" spans="1:2" ht="15">
      <c r="A49" s="120" t="s">
        <v>4291</v>
      </c>
      <c r="B49" s="3">
        <v>3</v>
      </c>
    </row>
    <row r="50" spans="1:2" ht="15">
      <c r="A50" s="120" t="s">
        <v>4292</v>
      </c>
      <c r="B50" s="3">
        <v>1</v>
      </c>
    </row>
    <row r="51" spans="1:2" ht="15">
      <c r="A51" s="119" t="s">
        <v>4293</v>
      </c>
      <c r="B51" s="3">
        <v>9</v>
      </c>
    </row>
    <row r="52" spans="1:2" ht="15">
      <c r="A52" s="120" t="s">
        <v>4294</v>
      </c>
      <c r="B52" s="3">
        <v>1</v>
      </c>
    </row>
    <row r="53" spans="1:2" ht="15">
      <c r="A53" s="120" t="s">
        <v>4295</v>
      </c>
      <c r="B53" s="3">
        <v>1</v>
      </c>
    </row>
    <row r="54" spans="1:2" ht="15">
      <c r="A54" s="120" t="s">
        <v>4296</v>
      </c>
      <c r="B54" s="3">
        <v>1</v>
      </c>
    </row>
    <row r="55" spans="1:2" ht="15">
      <c r="A55" s="120" t="s">
        <v>4297</v>
      </c>
      <c r="B55" s="3">
        <v>1</v>
      </c>
    </row>
    <row r="56" spans="1:2" ht="15">
      <c r="A56" s="120" t="s">
        <v>4298</v>
      </c>
      <c r="B56" s="3">
        <v>1</v>
      </c>
    </row>
    <row r="57" spans="1:2" ht="15">
      <c r="A57" s="120" t="s">
        <v>4299</v>
      </c>
      <c r="B57" s="3">
        <v>1</v>
      </c>
    </row>
    <row r="58" spans="1:2" ht="15">
      <c r="A58" s="120" t="s">
        <v>4300</v>
      </c>
      <c r="B58" s="3">
        <v>2</v>
      </c>
    </row>
    <row r="59" spans="1:2" ht="15">
      <c r="A59" s="120" t="s">
        <v>4301</v>
      </c>
      <c r="B59" s="3">
        <v>1</v>
      </c>
    </row>
    <row r="60" spans="1:2" ht="15">
      <c r="A60" s="118" t="s">
        <v>4302</v>
      </c>
      <c r="B60" s="3">
        <v>68</v>
      </c>
    </row>
    <row r="61" spans="1:2" ht="15">
      <c r="A61" s="119" t="s">
        <v>4303</v>
      </c>
      <c r="B61" s="3">
        <v>5</v>
      </c>
    </row>
    <row r="62" spans="1:2" ht="15">
      <c r="A62" s="120" t="s">
        <v>4304</v>
      </c>
      <c r="B62" s="3">
        <v>1</v>
      </c>
    </row>
    <row r="63" spans="1:2" ht="15">
      <c r="A63" s="120" t="s">
        <v>4305</v>
      </c>
      <c r="B63" s="3">
        <v>1</v>
      </c>
    </row>
    <row r="64" spans="1:2" ht="15">
      <c r="A64" s="120" t="s">
        <v>4306</v>
      </c>
      <c r="B64" s="3">
        <v>1</v>
      </c>
    </row>
    <row r="65" spans="1:2" ht="15">
      <c r="A65" s="120" t="s">
        <v>4307</v>
      </c>
      <c r="B65" s="3">
        <v>2</v>
      </c>
    </row>
    <row r="66" spans="1:2" ht="15">
      <c r="A66" s="119" t="s">
        <v>4308</v>
      </c>
      <c r="B66" s="3">
        <v>6</v>
      </c>
    </row>
    <row r="67" spans="1:2" ht="15">
      <c r="A67" s="120" t="s">
        <v>4309</v>
      </c>
      <c r="B67" s="3">
        <v>1</v>
      </c>
    </row>
    <row r="68" spans="1:2" ht="15">
      <c r="A68" s="120" t="s">
        <v>4310</v>
      </c>
      <c r="B68" s="3">
        <v>1</v>
      </c>
    </row>
    <row r="69" spans="1:2" ht="15">
      <c r="A69" s="120" t="s">
        <v>4311</v>
      </c>
      <c r="B69" s="3">
        <v>1</v>
      </c>
    </row>
    <row r="70" spans="1:2" ht="15">
      <c r="A70" s="120" t="s">
        <v>4312</v>
      </c>
      <c r="B70" s="3">
        <v>2</v>
      </c>
    </row>
    <row r="71" spans="1:2" ht="15">
      <c r="A71" s="120" t="s">
        <v>4313</v>
      </c>
      <c r="B71" s="3">
        <v>1</v>
      </c>
    </row>
    <row r="72" spans="1:2" ht="15">
      <c r="A72" s="119" t="s">
        <v>4314</v>
      </c>
      <c r="B72" s="3">
        <v>11</v>
      </c>
    </row>
    <row r="73" spans="1:2" ht="15">
      <c r="A73" s="120" t="s">
        <v>4315</v>
      </c>
      <c r="B73" s="3">
        <v>1</v>
      </c>
    </row>
    <row r="74" spans="1:2" ht="15">
      <c r="A74" s="120" t="s">
        <v>4316</v>
      </c>
      <c r="B74" s="3">
        <v>1</v>
      </c>
    </row>
    <row r="75" spans="1:2" ht="15">
      <c r="A75" s="120" t="s">
        <v>4317</v>
      </c>
      <c r="B75" s="3">
        <v>4</v>
      </c>
    </row>
    <row r="76" spans="1:2" ht="15">
      <c r="A76" s="120" t="s">
        <v>4318</v>
      </c>
      <c r="B76" s="3">
        <v>1</v>
      </c>
    </row>
    <row r="77" spans="1:2" ht="15">
      <c r="A77" s="120" t="s">
        <v>4319</v>
      </c>
      <c r="B77" s="3">
        <v>1</v>
      </c>
    </row>
    <row r="78" spans="1:2" ht="15">
      <c r="A78" s="120" t="s">
        <v>4320</v>
      </c>
      <c r="B78" s="3">
        <v>3</v>
      </c>
    </row>
    <row r="79" spans="1:2" ht="15">
      <c r="A79" s="119" t="s">
        <v>4321</v>
      </c>
      <c r="B79" s="3">
        <v>17</v>
      </c>
    </row>
    <row r="80" spans="1:2" ht="15">
      <c r="A80" s="120" t="s">
        <v>4322</v>
      </c>
      <c r="B80" s="3">
        <v>3</v>
      </c>
    </row>
    <row r="81" spans="1:2" ht="15">
      <c r="A81" s="120" t="s">
        <v>4323</v>
      </c>
      <c r="B81" s="3">
        <v>1</v>
      </c>
    </row>
    <row r="82" spans="1:2" ht="15">
      <c r="A82" s="120" t="s">
        <v>4324</v>
      </c>
      <c r="B82" s="3">
        <v>1</v>
      </c>
    </row>
    <row r="83" spans="1:2" ht="15">
      <c r="A83" s="120" t="s">
        <v>4325</v>
      </c>
      <c r="B83" s="3">
        <v>1</v>
      </c>
    </row>
    <row r="84" spans="1:2" ht="15">
      <c r="A84" s="120" t="s">
        <v>4326</v>
      </c>
      <c r="B84" s="3">
        <v>1</v>
      </c>
    </row>
    <row r="85" spans="1:2" ht="15">
      <c r="A85" s="120" t="s">
        <v>4327</v>
      </c>
      <c r="B85" s="3">
        <v>3</v>
      </c>
    </row>
    <row r="86" spans="1:2" ht="15">
      <c r="A86" s="120" t="s">
        <v>4328</v>
      </c>
      <c r="B86" s="3">
        <v>2</v>
      </c>
    </row>
    <row r="87" spans="1:2" ht="15">
      <c r="A87" s="120" t="s">
        <v>4329</v>
      </c>
      <c r="B87" s="3">
        <v>2</v>
      </c>
    </row>
    <row r="88" spans="1:2" ht="15">
      <c r="A88" s="120" t="s">
        <v>4330</v>
      </c>
      <c r="B88" s="3">
        <v>2</v>
      </c>
    </row>
    <row r="89" spans="1:2" ht="15">
      <c r="A89" s="120" t="s">
        <v>4331</v>
      </c>
      <c r="B89" s="3">
        <v>1</v>
      </c>
    </row>
    <row r="90" spans="1:2" ht="15">
      <c r="A90" s="119" t="s">
        <v>4332</v>
      </c>
      <c r="B90" s="3">
        <v>6</v>
      </c>
    </row>
    <row r="91" spans="1:2" ht="15">
      <c r="A91" s="120" t="s">
        <v>4333</v>
      </c>
      <c r="B91" s="3">
        <v>1</v>
      </c>
    </row>
    <row r="92" spans="1:2" ht="15">
      <c r="A92" s="120" t="s">
        <v>4334</v>
      </c>
      <c r="B92" s="3">
        <v>1</v>
      </c>
    </row>
    <row r="93" spans="1:2" ht="15">
      <c r="A93" s="120" t="s">
        <v>4335</v>
      </c>
      <c r="B93" s="3">
        <v>1</v>
      </c>
    </row>
    <row r="94" spans="1:2" ht="15">
      <c r="A94" s="120" t="s">
        <v>4336</v>
      </c>
      <c r="B94" s="3">
        <v>2</v>
      </c>
    </row>
    <row r="95" spans="1:2" ht="15">
      <c r="A95" s="120" t="s">
        <v>4337</v>
      </c>
      <c r="B95" s="3">
        <v>1</v>
      </c>
    </row>
    <row r="96" spans="1:2" ht="15">
      <c r="A96" s="119" t="s">
        <v>4338</v>
      </c>
      <c r="B96" s="3">
        <v>8</v>
      </c>
    </row>
    <row r="97" spans="1:2" ht="15">
      <c r="A97" s="120" t="s">
        <v>4339</v>
      </c>
      <c r="B97" s="3">
        <v>2</v>
      </c>
    </row>
    <row r="98" spans="1:2" ht="15">
      <c r="A98" s="120" t="s">
        <v>4340</v>
      </c>
      <c r="B98" s="3">
        <v>1</v>
      </c>
    </row>
    <row r="99" spans="1:2" ht="15">
      <c r="A99" s="120" t="s">
        <v>4341</v>
      </c>
      <c r="B99" s="3">
        <v>1</v>
      </c>
    </row>
    <row r="100" spans="1:2" ht="15">
      <c r="A100" s="120" t="s">
        <v>4342</v>
      </c>
      <c r="B100" s="3">
        <v>2</v>
      </c>
    </row>
    <row r="101" spans="1:2" ht="15">
      <c r="A101" s="120" t="s">
        <v>4343</v>
      </c>
      <c r="B101" s="3">
        <v>1</v>
      </c>
    </row>
    <row r="102" spans="1:2" ht="15">
      <c r="A102" s="120" t="s">
        <v>4344</v>
      </c>
      <c r="B102" s="3">
        <v>1</v>
      </c>
    </row>
    <row r="103" spans="1:2" ht="15">
      <c r="A103" s="119" t="s">
        <v>4345</v>
      </c>
      <c r="B103" s="3">
        <v>3</v>
      </c>
    </row>
    <row r="104" spans="1:2" ht="15">
      <c r="A104" s="120" t="s">
        <v>4346</v>
      </c>
      <c r="B104" s="3">
        <v>1</v>
      </c>
    </row>
    <row r="105" spans="1:2" ht="15">
      <c r="A105" s="120" t="s">
        <v>4347</v>
      </c>
      <c r="B105" s="3">
        <v>1</v>
      </c>
    </row>
    <row r="106" spans="1:2" ht="15">
      <c r="A106" s="120" t="s">
        <v>4348</v>
      </c>
      <c r="B106" s="3">
        <v>1</v>
      </c>
    </row>
    <row r="107" spans="1:2" ht="15">
      <c r="A107" s="119" t="s">
        <v>4349</v>
      </c>
      <c r="B107" s="3">
        <v>5</v>
      </c>
    </row>
    <row r="108" spans="1:2" ht="15">
      <c r="A108" s="120" t="s">
        <v>4350</v>
      </c>
      <c r="B108" s="3">
        <v>2</v>
      </c>
    </row>
    <row r="109" spans="1:2" ht="15">
      <c r="A109" s="120" t="s">
        <v>4351</v>
      </c>
      <c r="B109" s="3">
        <v>1</v>
      </c>
    </row>
    <row r="110" spans="1:2" ht="15">
      <c r="A110" s="120" t="s">
        <v>4352</v>
      </c>
      <c r="B110" s="3">
        <v>1</v>
      </c>
    </row>
    <row r="111" spans="1:2" ht="15">
      <c r="A111" s="120" t="s">
        <v>4353</v>
      </c>
      <c r="B111" s="3">
        <v>1</v>
      </c>
    </row>
    <row r="112" spans="1:2" ht="15">
      <c r="A112" s="119" t="s">
        <v>4269</v>
      </c>
      <c r="B112" s="3">
        <v>6</v>
      </c>
    </row>
    <row r="113" spans="1:2" ht="15">
      <c r="A113" s="120" t="s">
        <v>4354</v>
      </c>
      <c r="B113" s="3">
        <v>1</v>
      </c>
    </row>
    <row r="114" spans="1:2" ht="15">
      <c r="A114" s="120" t="s">
        <v>4355</v>
      </c>
      <c r="B114" s="3">
        <v>1</v>
      </c>
    </row>
    <row r="115" spans="1:2" ht="15">
      <c r="A115" s="120" t="s">
        <v>4275</v>
      </c>
      <c r="B115" s="3">
        <v>2</v>
      </c>
    </row>
    <row r="116" spans="1:2" ht="15">
      <c r="A116" s="120" t="s">
        <v>4278</v>
      </c>
      <c r="B116" s="3">
        <v>1</v>
      </c>
    </row>
    <row r="117" spans="1:2" ht="15">
      <c r="A117" s="120" t="s">
        <v>4356</v>
      </c>
      <c r="B117" s="3">
        <v>1</v>
      </c>
    </row>
    <row r="118" spans="1:2" ht="15">
      <c r="A118" s="119" t="s">
        <v>4280</v>
      </c>
      <c r="B118" s="3">
        <v>1</v>
      </c>
    </row>
    <row r="119" spans="1:2" ht="15">
      <c r="A119" s="120" t="s">
        <v>4282</v>
      </c>
      <c r="B119" s="3">
        <v>1</v>
      </c>
    </row>
    <row r="120" spans="1:2" ht="15">
      <c r="A120" s="118" t="s">
        <v>4357</v>
      </c>
      <c r="B120" s="3">
        <v>26</v>
      </c>
    </row>
    <row r="121" spans="1:2" ht="15">
      <c r="A121" s="119" t="s">
        <v>4303</v>
      </c>
      <c r="B121" s="3">
        <v>1</v>
      </c>
    </row>
    <row r="122" spans="1:2" ht="15">
      <c r="A122" s="120" t="s">
        <v>4358</v>
      </c>
      <c r="B122" s="3">
        <v>1</v>
      </c>
    </row>
    <row r="123" spans="1:2" ht="15">
      <c r="A123" s="119" t="s">
        <v>4308</v>
      </c>
      <c r="B123" s="3">
        <v>2</v>
      </c>
    </row>
    <row r="124" spans="1:2" ht="15">
      <c r="A124" s="120" t="s">
        <v>4359</v>
      </c>
      <c r="B124" s="3">
        <v>1</v>
      </c>
    </row>
    <row r="125" spans="1:2" ht="15">
      <c r="A125" s="120" t="s">
        <v>4312</v>
      </c>
      <c r="B125" s="3">
        <v>1</v>
      </c>
    </row>
    <row r="126" spans="1:2" ht="15">
      <c r="A126" s="119" t="s">
        <v>4314</v>
      </c>
      <c r="B126" s="3">
        <v>8</v>
      </c>
    </row>
    <row r="127" spans="1:2" ht="15">
      <c r="A127" s="120" t="s">
        <v>4360</v>
      </c>
      <c r="B127" s="3">
        <v>1</v>
      </c>
    </row>
    <row r="128" spans="1:2" ht="15">
      <c r="A128" s="120" t="s">
        <v>4318</v>
      </c>
      <c r="B128" s="3">
        <v>1</v>
      </c>
    </row>
    <row r="129" spans="1:2" ht="15">
      <c r="A129" s="120" t="s">
        <v>4361</v>
      </c>
      <c r="B129" s="3">
        <v>1</v>
      </c>
    </row>
    <row r="130" spans="1:2" ht="15">
      <c r="A130" s="120" t="s">
        <v>4362</v>
      </c>
      <c r="B130" s="3">
        <v>4</v>
      </c>
    </row>
    <row r="131" spans="1:2" ht="15">
      <c r="A131" s="120" t="s">
        <v>4363</v>
      </c>
      <c r="B131" s="3">
        <v>1</v>
      </c>
    </row>
    <row r="132" spans="1:2" ht="15">
      <c r="A132" s="119" t="s">
        <v>4332</v>
      </c>
      <c r="B132" s="3">
        <v>1</v>
      </c>
    </row>
    <row r="133" spans="1:2" ht="15">
      <c r="A133" s="120" t="s">
        <v>4364</v>
      </c>
      <c r="B133" s="3">
        <v>1</v>
      </c>
    </row>
    <row r="134" spans="1:2" ht="15">
      <c r="A134" s="119" t="s">
        <v>4338</v>
      </c>
      <c r="B134" s="3">
        <v>3</v>
      </c>
    </row>
    <row r="135" spans="1:2" ht="15">
      <c r="A135" s="120" t="s">
        <v>4365</v>
      </c>
      <c r="B135" s="3">
        <v>1</v>
      </c>
    </row>
    <row r="136" spans="1:2" ht="15">
      <c r="A136" s="120" t="s">
        <v>4366</v>
      </c>
      <c r="B136" s="3">
        <v>1</v>
      </c>
    </row>
    <row r="137" spans="1:2" ht="15">
      <c r="A137" s="120" t="s">
        <v>4367</v>
      </c>
      <c r="B137" s="3">
        <v>1</v>
      </c>
    </row>
    <row r="138" spans="1:2" ht="15">
      <c r="A138" s="119" t="s">
        <v>4345</v>
      </c>
      <c r="B138" s="3">
        <v>2</v>
      </c>
    </row>
    <row r="139" spans="1:2" ht="15">
      <c r="A139" s="120" t="s">
        <v>4368</v>
      </c>
      <c r="B139" s="3">
        <v>1</v>
      </c>
    </row>
    <row r="140" spans="1:2" ht="15">
      <c r="A140" s="120" t="s">
        <v>4369</v>
      </c>
      <c r="B140" s="3">
        <v>1</v>
      </c>
    </row>
    <row r="141" spans="1:2" ht="15">
      <c r="A141" s="119" t="s">
        <v>4370</v>
      </c>
      <c r="B141" s="3">
        <v>2</v>
      </c>
    </row>
    <row r="142" spans="1:2" ht="15">
      <c r="A142" s="120" t="s">
        <v>4371</v>
      </c>
      <c r="B142" s="3">
        <v>1</v>
      </c>
    </row>
    <row r="143" spans="1:2" ht="15">
      <c r="A143" s="120" t="s">
        <v>4372</v>
      </c>
      <c r="B143" s="3">
        <v>1</v>
      </c>
    </row>
    <row r="144" spans="1:2" ht="15">
      <c r="A144" s="119" t="s">
        <v>4269</v>
      </c>
      <c r="B144" s="3">
        <v>2</v>
      </c>
    </row>
    <row r="145" spans="1:2" ht="15">
      <c r="A145" s="120" t="s">
        <v>4355</v>
      </c>
      <c r="B145" s="3">
        <v>1</v>
      </c>
    </row>
    <row r="146" spans="1:2" ht="15">
      <c r="A146" s="120" t="s">
        <v>4373</v>
      </c>
      <c r="B146" s="3">
        <v>1</v>
      </c>
    </row>
    <row r="147" spans="1:2" ht="15">
      <c r="A147" s="119" t="s">
        <v>4280</v>
      </c>
      <c r="B147" s="3">
        <v>4</v>
      </c>
    </row>
    <row r="148" spans="1:2" ht="15">
      <c r="A148" s="120" t="s">
        <v>4289</v>
      </c>
      <c r="B148" s="3">
        <v>1</v>
      </c>
    </row>
    <row r="149" spans="1:2" ht="15">
      <c r="A149" s="120" t="s">
        <v>4374</v>
      </c>
      <c r="B149" s="3">
        <v>1</v>
      </c>
    </row>
    <row r="150" spans="1:2" ht="15">
      <c r="A150" s="120" t="s">
        <v>4375</v>
      </c>
      <c r="B150" s="3">
        <v>1</v>
      </c>
    </row>
    <row r="151" spans="1:2" ht="15">
      <c r="A151" s="120" t="s">
        <v>4376</v>
      </c>
      <c r="B151" s="3">
        <v>1</v>
      </c>
    </row>
    <row r="152" spans="1:2" ht="15">
      <c r="A152" s="119" t="s">
        <v>4293</v>
      </c>
      <c r="B152" s="3">
        <v>1</v>
      </c>
    </row>
    <row r="153" spans="1:2" ht="15">
      <c r="A153" s="120" t="s">
        <v>4377</v>
      </c>
      <c r="B153" s="3">
        <v>1</v>
      </c>
    </row>
    <row r="154" spans="1:2" ht="15">
      <c r="A154" s="118" t="s">
        <v>4378</v>
      </c>
      <c r="B154" s="3">
        <v>26</v>
      </c>
    </row>
    <row r="155" spans="1:2" ht="15">
      <c r="A155" s="119" t="s">
        <v>4308</v>
      </c>
      <c r="B155" s="3">
        <v>2</v>
      </c>
    </row>
    <row r="156" spans="1:2" ht="15">
      <c r="A156" s="120" t="s">
        <v>4379</v>
      </c>
      <c r="B156" s="3">
        <v>1</v>
      </c>
    </row>
    <row r="157" spans="1:2" ht="15">
      <c r="A157" s="120" t="s">
        <v>4380</v>
      </c>
      <c r="B157" s="3">
        <v>1</v>
      </c>
    </row>
    <row r="158" spans="1:2" ht="15">
      <c r="A158" s="119" t="s">
        <v>4314</v>
      </c>
      <c r="B158" s="3">
        <v>4</v>
      </c>
    </row>
    <row r="159" spans="1:2" ht="15">
      <c r="A159" s="120" t="s">
        <v>4381</v>
      </c>
      <c r="B159" s="3">
        <v>1</v>
      </c>
    </row>
    <row r="160" spans="1:2" ht="15">
      <c r="A160" s="120" t="s">
        <v>4382</v>
      </c>
      <c r="B160" s="3">
        <v>1</v>
      </c>
    </row>
    <row r="161" spans="1:2" ht="15">
      <c r="A161" s="120" t="s">
        <v>4362</v>
      </c>
      <c r="B161" s="3">
        <v>1</v>
      </c>
    </row>
    <row r="162" spans="1:2" ht="15">
      <c r="A162" s="120" t="s">
        <v>4383</v>
      </c>
      <c r="B162" s="3">
        <v>1</v>
      </c>
    </row>
    <row r="163" spans="1:2" ht="15">
      <c r="A163" s="119" t="s">
        <v>4321</v>
      </c>
      <c r="B163" s="3">
        <v>1</v>
      </c>
    </row>
    <row r="164" spans="1:2" ht="15">
      <c r="A164" s="120" t="s">
        <v>4384</v>
      </c>
      <c r="B164" s="3">
        <v>1</v>
      </c>
    </row>
    <row r="165" spans="1:2" ht="15">
      <c r="A165" s="119" t="s">
        <v>4332</v>
      </c>
      <c r="B165" s="3">
        <v>1</v>
      </c>
    </row>
    <row r="166" spans="1:2" ht="15">
      <c r="A166" s="120" t="s">
        <v>4385</v>
      </c>
      <c r="B166" s="3">
        <v>1</v>
      </c>
    </row>
    <row r="167" spans="1:2" ht="15">
      <c r="A167" s="119" t="s">
        <v>4338</v>
      </c>
      <c r="B167" s="3">
        <v>3</v>
      </c>
    </row>
    <row r="168" spans="1:2" ht="15">
      <c r="A168" s="120" t="s">
        <v>4386</v>
      </c>
      <c r="B168" s="3">
        <v>1</v>
      </c>
    </row>
    <row r="169" spans="1:2" ht="15">
      <c r="A169" s="120" t="s">
        <v>4387</v>
      </c>
      <c r="B169" s="3">
        <v>2</v>
      </c>
    </row>
    <row r="170" spans="1:2" ht="15">
      <c r="A170" s="119" t="s">
        <v>4370</v>
      </c>
      <c r="B170" s="3">
        <v>1</v>
      </c>
    </row>
    <row r="171" spans="1:2" ht="15">
      <c r="A171" s="120" t="s">
        <v>4388</v>
      </c>
      <c r="B171" s="3">
        <v>1</v>
      </c>
    </row>
    <row r="172" spans="1:2" ht="15">
      <c r="A172" s="119" t="s">
        <v>4349</v>
      </c>
      <c r="B172" s="3">
        <v>4</v>
      </c>
    </row>
    <row r="173" spans="1:2" ht="15">
      <c r="A173" s="120" t="s">
        <v>4389</v>
      </c>
      <c r="B173" s="3">
        <v>1</v>
      </c>
    </row>
    <row r="174" spans="1:2" ht="15">
      <c r="A174" s="120" t="s">
        <v>4350</v>
      </c>
      <c r="B174" s="3">
        <v>1</v>
      </c>
    </row>
    <row r="175" spans="1:2" ht="15">
      <c r="A175" s="120" t="s">
        <v>4390</v>
      </c>
      <c r="B175" s="3">
        <v>1</v>
      </c>
    </row>
    <row r="176" spans="1:2" ht="15">
      <c r="A176" s="120" t="s">
        <v>4391</v>
      </c>
      <c r="B176" s="3">
        <v>1</v>
      </c>
    </row>
    <row r="177" spans="1:2" ht="15">
      <c r="A177" s="119" t="s">
        <v>4269</v>
      </c>
      <c r="B177" s="3">
        <v>1</v>
      </c>
    </row>
    <row r="178" spans="1:2" ht="15">
      <c r="A178" s="120" t="s">
        <v>4392</v>
      </c>
      <c r="B178" s="3">
        <v>1</v>
      </c>
    </row>
    <row r="179" spans="1:2" ht="15">
      <c r="A179" s="119" t="s">
        <v>4280</v>
      </c>
      <c r="B179" s="3">
        <v>8</v>
      </c>
    </row>
    <row r="180" spans="1:2" ht="15">
      <c r="A180" s="120" t="s">
        <v>4285</v>
      </c>
      <c r="B180" s="3">
        <v>1</v>
      </c>
    </row>
    <row r="181" spans="1:2" ht="15">
      <c r="A181" s="120" t="s">
        <v>4287</v>
      </c>
      <c r="B181" s="3">
        <v>2</v>
      </c>
    </row>
    <row r="182" spans="1:2" ht="15">
      <c r="A182" s="120" t="s">
        <v>4288</v>
      </c>
      <c r="B182" s="3">
        <v>1</v>
      </c>
    </row>
    <row r="183" spans="1:2" ht="15">
      <c r="A183" s="120" t="s">
        <v>4393</v>
      </c>
      <c r="B183" s="3">
        <v>3</v>
      </c>
    </row>
    <row r="184" spans="1:2" ht="15">
      <c r="A184" s="120" t="s">
        <v>4376</v>
      </c>
      <c r="B184" s="3">
        <v>1</v>
      </c>
    </row>
    <row r="185" spans="1:2" ht="15">
      <c r="A185" s="119" t="s">
        <v>4293</v>
      </c>
      <c r="B185" s="3">
        <v>1</v>
      </c>
    </row>
    <row r="186" spans="1:2" ht="15">
      <c r="A186" s="120" t="s">
        <v>4394</v>
      </c>
      <c r="B186" s="3">
        <v>1</v>
      </c>
    </row>
    <row r="187" spans="1:2" ht="15">
      <c r="A187" s="118" t="s">
        <v>4395</v>
      </c>
      <c r="B187" s="3">
        <v>32</v>
      </c>
    </row>
    <row r="188" spans="1:2" ht="15">
      <c r="A188" s="119" t="s">
        <v>4303</v>
      </c>
      <c r="B188" s="3">
        <v>5</v>
      </c>
    </row>
    <row r="189" spans="1:2" ht="15">
      <c r="A189" s="120" t="s">
        <v>4396</v>
      </c>
      <c r="B189" s="3">
        <v>1</v>
      </c>
    </row>
    <row r="190" spans="1:2" ht="15">
      <c r="A190" s="120" t="s">
        <v>4397</v>
      </c>
      <c r="B190" s="3">
        <v>4</v>
      </c>
    </row>
    <row r="191" spans="1:2" ht="15">
      <c r="A191" s="119" t="s">
        <v>4308</v>
      </c>
      <c r="B191" s="3">
        <v>2</v>
      </c>
    </row>
    <row r="192" spans="1:2" ht="15">
      <c r="A192" s="120" t="s">
        <v>4398</v>
      </c>
      <c r="B192" s="3">
        <v>1</v>
      </c>
    </row>
    <row r="193" spans="1:2" ht="15">
      <c r="A193" s="120" t="s">
        <v>4399</v>
      </c>
      <c r="B193" s="3">
        <v>1</v>
      </c>
    </row>
    <row r="194" spans="1:2" ht="15">
      <c r="A194" s="119" t="s">
        <v>4314</v>
      </c>
      <c r="B194" s="3">
        <v>1</v>
      </c>
    </row>
    <row r="195" spans="1:2" ht="15">
      <c r="A195" s="120" t="s">
        <v>4400</v>
      </c>
      <c r="B195" s="3">
        <v>1</v>
      </c>
    </row>
    <row r="196" spans="1:2" ht="15">
      <c r="A196" s="119" t="s">
        <v>4332</v>
      </c>
      <c r="B196" s="3">
        <v>4</v>
      </c>
    </row>
    <row r="197" spans="1:2" ht="15">
      <c r="A197" s="120" t="s">
        <v>4401</v>
      </c>
      <c r="B197" s="3">
        <v>1</v>
      </c>
    </row>
    <row r="198" spans="1:2" ht="15">
      <c r="A198" s="120" t="s">
        <v>4402</v>
      </c>
      <c r="B198" s="3">
        <v>2</v>
      </c>
    </row>
    <row r="199" spans="1:2" ht="15">
      <c r="A199" s="120" t="s">
        <v>4337</v>
      </c>
      <c r="B199" s="3">
        <v>1</v>
      </c>
    </row>
    <row r="200" spans="1:2" ht="15">
      <c r="A200" s="119" t="s">
        <v>4338</v>
      </c>
      <c r="B200" s="3">
        <v>2</v>
      </c>
    </row>
    <row r="201" spans="1:2" ht="15">
      <c r="A201" s="120" t="s">
        <v>4387</v>
      </c>
      <c r="B201" s="3">
        <v>1</v>
      </c>
    </row>
    <row r="202" spans="1:2" ht="15">
      <c r="A202" s="120" t="s">
        <v>4366</v>
      </c>
      <c r="B202" s="3">
        <v>1</v>
      </c>
    </row>
    <row r="203" spans="1:2" ht="15">
      <c r="A203" s="119" t="s">
        <v>4345</v>
      </c>
      <c r="B203" s="3">
        <v>1</v>
      </c>
    </row>
    <row r="204" spans="1:2" ht="15">
      <c r="A204" s="120" t="s">
        <v>4403</v>
      </c>
      <c r="B204" s="3">
        <v>1</v>
      </c>
    </row>
    <row r="205" spans="1:2" ht="15">
      <c r="A205" s="119" t="s">
        <v>4370</v>
      </c>
      <c r="B205" s="3">
        <v>7</v>
      </c>
    </row>
    <row r="206" spans="1:2" ht="15">
      <c r="A206" s="120" t="s">
        <v>4404</v>
      </c>
      <c r="B206" s="3">
        <v>1</v>
      </c>
    </row>
    <row r="207" spans="1:2" ht="15">
      <c r="A207" s="120" t="s">
        <v>4405</v>
      </c>
      <c r="B207" s="3">
        <v>2</v>
      </c>
    </row>
    <row r="208" spans="1:2" ht="15">
      <c r="A208" s="120" t="s">
        <v>4406</v>
      </c>
      <c r="B208" s="3">
        <v>1</v>
      </c>
    </row>
    <row r="209" spans="1:2" ht="15">
      <c r="A209" s="120" t="s">
        <v>4407</v>
      </c>
      <c r="B209" s="3">
        <v>1</v>
      </c>
    </row>
    <row r="210" spans="1:2" ht="15">
      <c r="A210" s="120" t="s">
        <v>4408</v>
      </c>
      <c r="B210" s="3">
        <v>2</v>
      </c>
    </row>
    <row r="211" spans="1:2" ht="15">
      <c r="A211" s="119" t="s">
        <v>4349</v>
      </c>
      <c r="B211" s="3">
        <v>3</v>
      </c>
    </row>
    <row r="212" spans="1:2" ht="15">
      <c r="A212" s="120" t="s">
        <v>4350</v>
      </c>
      <c r="B212" s="3">
        <v>1</v>
      </c>
    </row>
    <row r="213" spans="1:2" ht="15">
      <c r="A213" s="120" t="s">
        <v>4351</v>
      </c>
      <c r="B213" s="3">
        <v>1</v>
      </c>
    </row>
    <row r="214" spans="1:2" ht="15">
      <c r="A214" s="120" t="s">
        <v>4390</v>
      </c>
      <c r="B214" s="3">
        <v>1</v>
      </c>
    </row>
    <row r="215" spans="1:2" ht="15">
      <c r="A215" s="119" t="s">
        <v>4269</v>
      </c>
      <c r="B215" s="3">
        <v>2</v>
      </c>
    </row>
    <row r="216" spans="1:2" ht="15">
      <c r="A216" s="120" t="s">
        <v>4409</v>
      </c>
      <c r="B216" s="3">
        <v>2</v>
      </c>
    </row>
    <row r="217" spans="1:2" ht="15">
      <c r="A217" s="119" t="s">
        <v>4280</v>
      </c>
      <c r="B217" s="3">
        <v>5</v>
      </c>
    </row>
    <row r="218" spans="1:2" ht="15">
      <c r="A218" s="120" t="s">
        <v>4281</v>
      </c>
      <c r="B218" s="3">
        <v>5</v>
      </c>
    </row>
    <row r="219" spans="1:2" ht="15">
      <c r="A219" s="118" t="s">
        <v>4410</v>
      </c>
      <c r="B219" s="3">
        <v>21</v>
      </c>
    </row>
    <row r="220" spans="1:2" ht="15">
      <c r="A220" s="119" t="s">
        <v>4303</v>
      </c>
      <c r="B220" s="3">
        <v>5</v>
      </c>
    </row>
    <row r="221" spans="1:2" ht="15">
      <c r="A221" s="120" t="s">
        <v>4411</v>
      </c>
      <c r="B221" s="3">
        <v>1</v>
      </c>
    </row>
    <row r="222" spans="1:2" ht="15">
      <c r="A222" s="120" t="s">
        <v>4412</v>
      </c>
      <c r="B222" s="3">
        <v>3</v>
      </c>
    </row>
    <row r="223" spans="1:2" ht="15">
      <c r="A223" s="120" t="s">
        <v>4413</v>
      </c>
      <c r="B223" s="3">
        <v>1</v>
      </c>
    </row>
    <row r="224" spans="1:2" ht="15">
      <c r="A224" s="119" t="s">
        <v>4308</v>
      </c>
      <c r="B224" s="3">
        <v>1</v>
      </c>
    </row>
    <row r="225" spans="1:2" ht="15">
      <c r="A225" s="120" t="s">
        <v>4414</v>
      </c>
      <c r="B225" s="3">
        <v>1</v>
      </c>
    </row>
    <row r="226" spans="1:2" ht="15">
      <c r="A226" s="119" t="s">
        <v>4314</v>
      </c>
      <c r="B226" s="3">
        <v>3</v>
      </c>
    </row>
    <row r="227" spans="1:2" ht="15">
      <c r="A227" s="120" t="s">
        <v>4415</v>
      </c>
      <c r="B227" s="3">
        <v>2</v>
      </c>
    </row>
    <row r="228" spans="1:2" ht="15">
      <c r="A228" s="120" t="s">
        <v>4416</v>
      </c>
      <c r="B228" s="3">
        <v>1</v>
      </c>
    </row>
    <row r="229" spans="1:2" ht="15">
      <c r="A229" s="119" t="s">
        <v>4321</v>
      </c>
      <c r="B229" s="3">
        <v>1</v>
      </c>
    </row>
    <row r="230" spans="1:2" ht="15">
      <c r="A230" s="120" t="s">
        <v>4417</v>
      </c>
      <c r="B230" s="3">
        <v>1</v>
      </c>
    </row>
    <row r="231" spans="1:2" ht="15">
      <c r="A231" s="119" t="s">
        <v>4332</v>
      </c>
      <c r="B231" s="3">
        <v>2</v>
      </c>
    </row>
    <row r="232" spans="1:2" ht="15">
      <c r="A232" s="120" t="s">
        <v>4418</v>
      </c>
      <c r="B232" s="3">
        <v>1</v>
      </c>
    </row>
    <row r="233" spans="1:2" ht="15">
      <c r="A233" s="120" t="s">
        <v>4419</v>
      </c>
      <c r="B233" s="3">
        <v>1</v>
      </c>
    </row>
    <row r="234" spans="1:2" ht="15">
      <c r="A234" s="119" t="s">
        <v>4338</v>
      </c>
      <c r="B234" s="3">
        <v>1</v>
      </c>
    </row>
    <row r="235" spans="1:2" ht="15">
      <c r="A235" s="120" t="s">
        <v>4340</v>
      </c>
      <c r="B235" s="3">
        <v>1</v>
      </c>
    </row>
    <row r="236" spans="1:2" ht="15">
      <c r="A236" s="119" t="s">
        <v>4269</v>
      </c>
      <c r="B236" s="3">
        <v>7</v>
      </c>
    </row>
    <row r="237" spans="1:2" ht="15">
      <c r="A237" s="120" t="s">
        <v>4355</v>
      </c>
      <c r="B237" s="3">
        <v>1</v>
      </c>
    </row>
    <row r="238" spans="1:2" ht="15">
      <c r="A238" s="120" t="s">
        <v>4420</v>
      </c>
      <c r="B238" s="3">
        <v>1</v>
      </c>
    </row>
    <row r="239" spans="1:2" ht="15">
      <c r="A239" s="120" t="s">
        <v>4421</v>
      </c>
      <c r="B239" s="3">
        <v>1</v>
      </c>
    </row>
    <row r="240" spans="1:2" ht="15">
      <c r="A240" s="120" t="s">
        <v>4422</v>
      </c>
      <c r="B240" s="3">
        <v>1</v>
      </c>
    </row>
    <row r="241" spans="1:2" ht="15">
      <c r="A241" s="120" t="s">
        <v>4423</v>
      </c>
      <c r="B241" s="3">
        <v>1</v>
      </c>
    </row>
    <row r="242" spans="1:2" ht="15">
      <c r="A242" s="120" t="s">
        <v>4272</v>
      </c>
      <c r="B242" s="3">
        <v>1</v>
      </c>
    </row>
    <row r="243" spans="1:2" ht="15">
      <c r="A243" s="120" t="s">
        <v>4276</v>
      </c>
      <c r="B243" s="3">
        <v>1</v>
      </c>
    </row>
    <row r="244" spans="1:2" ht="15">
      <c r="A244" s="119" t="s">
        <v>4280</v>
      </c>
      <c r="B244" s="3">
        <v>1</v>
      </c>
    </row>
    <row r="245" spans="1:2" ht="15">
      <c r="A245" s="120" t="s">
        <v>4424</v>
      </c>
      <c r="B245" s="3">
        <v>1</v>
      </c>
    </row>
    <row r="246" spans="1:2" ht="15">
      <c r="A246" s="118" t="s">
        <v>4425</v>
      </c>
      <c r="B246" s="3">
        <v>16</v>
      </c>
    </row>
    <row r="247" spans="1:2" ht="15">
      <c r="A247" s="119" t="s">
        <v>4308</v>
      </c>
      <c r="B247" s="3">
        <v>1</v>
      </c>
    </row>
    <row r="248" spans="1:2" ht="15">
      <c r="A248" s="120" t="s">
        <v>4311</v>
      </c>
      <c r="B248" s="3">
        <v>1</v>
      </c>
    </row>
    <row r="249" spans="1:2" ht="15">
      <c r="A249" s="119" t="s">
        <v>4314</v>
      </c>
      <c r="B249" s="3">
        <v>4</v>
      </c>
    </row>
    <row r="250" spans="1:2" ht="15">
      <c r="A250" s="120" t="s">
        <v>4426</v>
      </c>
      <c r="B250" s="3">
        <v>3</v>
      </c>
    </row>
    <row r="251" spans="1:2" ht="15">
      <c r="A251" s="120" t="s">
        <v>4427</v>
      </c>
      <c r="B251" s="3">
        <v>1</v>
      </c>
    </row>
    <row r="252" spans="1:2" ht="15">
      <c r="A252" s="119" t="s">
        <v>4321</v>
      </c>
      <c r="B252" s="3">
        <v>3</v>
      </c>
    </row>
    <row r="253" spans="1:2" ht="15">
      <c r="A253" s="120" t="s">
        <v>4325</v>
      </c>
      <c r="B253" s="3">
        <v>2</v>
      </c>
    </row>
    <row r="254" spans="1:2" ht="15">
      <c r="A254" s="120" t="s">
        <v>4327</v>
      </c>
      <c r="B254" s="3">
        <v>1</v>
      </c>
    </row>
    <row r="255" spans="1:2" ht="15">
      <c r="A255" s="119" t="s">
        <v>4332</v>
      </c>
      <c r="B255" s="3">
        <v>2</v>
      </c>
    </row>
    <row r="256" spans="1:2" ht="15">
      <c r="A256" s="120" t="s">
        <v>4428</v>
      </c>
      <c r="B256" s="3">
        <v>1</v>
      </c>
    </row>
    <row r="257" spans="1:2" ht="15">
      <c r="A257" s="120" t="s">
        <v>4335</v>
      </c>
      <c r="B257" s="3">
        <v>1</v>
      </c>
    </row>
    <row r="258" spans="1:2" ht="15">
      <c r="A258" s="119" t="s">
        <v>4338</v>
      </c>
      <c r="B258" s="3">
        <v>2</v>
      </c>
    </row>
    <row r="259" spans="1:2" ht="15">
      <c r="A259" s="120" t="s">
        <v>4429</v>
      </c>
      <c r="B259" s="3">
        <v>1</v>
      </c>
    </row>
    <row r="260" spans="1:2" ht="15">
      <c r="A260" s="120" t="s">
        <v>4430</v>
      </c>
      <c r="B260" s="3">
        <v>1</v>
      </c>
    </row>
    <row r="261" spans="1:2" ht="15">
      <c r="A261" s="119" t="s">
        <v>4370</v>
      </c>
      <c r="B261" s="3">
        <v>4</v>
      </c>
    </row>
    <row r="262" spans="1:2" ht="15">
      <c r="A262" s="120" t="s">
        <v>4431</v>
      </c>
      <c r="B262" s="3">
        <v>2</v>
      </c>
    </row>
    <row r="263" spans="1:2" ht="15">
      <c r="A263" s="120" t="s">
        <v>4404</v>
      </c>
      <c r="B263" s="3">
        <v>1</v>
      </c>
    </row>
    <row r="264" spans="1:2" ht="15">
      <c r="A264" s="120" t="s">
        <v>4432</v>
      </c>
      <c r="B264" s="3">
        <v>1</v>
      </c>
    </row>
    <row r="265" spans="1:2" ht="15">
      <c r="A265" s="118" t="s">
        <v>4433</v>
      </c>
      <c r="B265" s="3">
        <v>6</v>
      </c>
    </row>
    <row r="266" spans="1:2" ht="15">
      <c r="A266" s="119" t="s">
        <v>4303</v>
      </c>
      <c r="B266" s="3">
        <v>1</v>
      </c>
    </row>
    <row r="267" spans="1:2" ht="15">
      <c r="A267" s="120" t="s">
        <v>4434</v>
      </c>
      <c r="B267" s="3">
        <v>1</v>
      </c>
    </row>
    <row r="268" spans="1:2" ht="15">
      <c r="A268" s="119" t="s">
        <v>4308</v>
      </c>
      <c r="B268" s="3">
        <v>1</v>
      </c>
    </row>
    <row r="269" spans="1:2" ht="15">
      <c r="A269" s="120" t="s">
        <v>4435</v>
      </c>
      <c r="B269" s="3">
        <v>1</v>
      </c>
    </row>
    <row r="270" spans="1:2" ht="15">
      <c r="A270" s="119" t="s">
        <v>4314</v>
      </c>
      <c r="B270" s="3">
        <v>2</v>
      </c>
    </row>
    <row r="271" spans="1:2" ht="15">
      <c r="A271" s="120" t="s">
        <v>4436</v>
      </c>
      <c r="B271" s="3">
        <v>1</v>
      </c>
    </row>
    <row r="272" spans="1:2" ht="15">
      <c r="A272" s="120" t="s">
        <v>4437</v>
      </c>
      <c r="B272" s="3">
        <v>1</v>
      </c>
    </row>
    <row r="273" spans="1:2" ht="15">
      <c r="A273" s="119" t="s">
        <v>4332</v>
      </c>
      <c r="B273" s="3">
        <v>1</v>
      </c>
    </row>
    <row r="274" spans="1:2" ht="15">
      <c r="A274" s="120" t="s">
        <v>4385</v>
      </c>
      <c r="B274" s="3">
        <v>1</v>
      </c>
    </row>
    <row r="275" spans="1:2" ht="15">
      <c r="A275" s="119" t="s">
        <v>4349</v>
      </c>
      <c r="B275" s="3">
        <v>1</v>
      </c>
    </row>
    <row r="276" spans="1:2" ht="15">
      <c r="A276" s="120" t="s">
        <v>4438</v>
      </c>
      <c r="B276" s="3">
        <v>1</v>
      </c>
    </row>
    <row r="277" spans="1:2" ht="15">
      <c r="A277" s="118" t="s">
        <v>4439</v>
      </c>
      <c r="B277" s="3">
        <v>13</v>
      </c>
    </row>
    <row r="278" spans="1:2" ht="15">
      <c r="A278" s="119" t="s">
        <v>4308</v>
      </c>
      <c r="B278" s="3">
        <v>1</v>
      </c>
    </row>
    <row r="279" spans="1:2" ht="15">
      <c r="A279" s="120" t="s">
        <v>4440</v>
      </c>
      <c r="B279" s="3">
        <v>1</v>
      </c>
    </row>
    <row r="280" spans="1:2" ht="15">
      <c r="A280" s="119" t="s">
        <v>4314</v>
      </c>
      <c r="B280" s="3">
        <v>1</v>
      </c>
    </row>
    <row r="281" spans="1:2" ht="15">
      <c r="A281" s="120" t="s">
        <v>4317</v>
      </c>
      <c r="B281" s="3">
        <v>1</v>
      </c>
    </row>
    <row r="282" spans="1:2" ht="15">
      <c r="A282" s="119" t="s">
        <v>4332</v>
      </c>
      <c r="B282" s="3">
        <v>2</v>
      </c>
    </row>
    <row r="283" spans="1:2" ht="15">
      <c r="A283" s="120" t="s">
        <v>4402</v>
      </c>
      <c r="B283" s="3">
        <v>1</v>
      </c>
    </row>
    <row r="284" spans="1:2" ht="15">
      <c r="A284" s="120" t="s">
        <v>4337</v>
      </c>
      <c r="B284" s="3">
        <v>1</v>
      </c>
    </row>
    <row r="285" spans="1:2" ht="15">
      <c r="A285" s="119" t="s">
        <v>4338</v>
      </c>
      <c r="B285" s="3">
        <v>2</v>
      </c>
    </row>
    <row r="286" spans="1:2" ht="15">
      <c r="A286" s="120" t="s">
        <v>4342</v>
      </c>
      <c r="B286" s="3">
        <v>1</v>
      </c>
    </row>
    <row r="287" spans="1:2" ht="15">
      <c r="A287" s="120" t="s">
        <v>4343</v>
      </c>
      <c r="B287" s="3">
        <v>1</v>
      </c>
    </row>
    <row r="288" spans="1:2" ht="15">
      <c r="A288" s="119" t="s">
        <v>4345</v>
      </c>
      <c r="B288" s="3">
        <v>2</v>
      </c>
    </row>
    <row r="289" spans="1:2" ht="15">
      <c r="A289" s="120" t="s">
        <v>4368</v>
      </c>
      <c r="B289" s="3">
        <v>1</v>
      </c>
    </row>
    <row r="290" spans="1:2" ht="15">
      <c r="A290" s="120" t="s">
        <v>4441</v>
      </c>
      <c r="B290" s="3">
        <v>1</v>
      </c>
    </row>
    <row r="291" spans="1:2" ht="15">
      <c r="A291" s="119" t="s">
        <v>4349</v>
      </c>
      <c r="B291" s="3">
        <v>1</v>
      </c>
    </row>
    <row r="292" spans="1:2" ht="15">
      <c r="A292" s="120" t="s">
        <v>4390</v>
      </c>
      <c r="B292" s="3">
        <v>1</v>
      </c>
    </row>
    <row r="293" spans="1:2" ht="15">
      <c r="A293" s="119" t="s">
        <v>4269</v>
      </c>
      <c r="B293" s="3">
        <v>2</v>
      </c>
    </row>
    <row r="294" spans="1:2" ht="15">
      <c r="A294" s="120" t="s">
        <v>4275</v>
      </c>
      <c r="B294" s="3">
        <v>1</v>
      </c>
    </row>
    <row r="295" spans="1:2" ht="15">
      <c r="A295" s="120" t="s">
        <v>4442</v>
      </c>
      <c r="B295" s="3">
        <v>1</v>
      </c>
    </row>
    <row r="296" spans="1:2" ht="15">
      <c r="A296" s="119" t="s">
        <v>4293</v>
      </c>
      <c r="B296" s="3">
        <v>2</v>
      </c>
    </row>
    <row r="297" spans="1:2" ht="15">
      <c r="A297" s="120" t="s">
        <v>4443</v>
      </c>
      <c r="B297" s="3">
        <v>1</v>
      </c>
    </row>
    <row r="298" spans="1:2" ht="15">
      <c r="A298" s="120" t="s">
        <v>4444</v>
      </c>
      <c r="B298" s="3">
        <v>1</v>
      </c>
    </row>
    <row r="299" spans="1:2" ht="15">
      <c r="A299" s="118" t="s">
        <v>4445</v>
      </c>
      <c r="B299" s="3">
        <v>90</v>
      </c>
    </row>
    <row r="300" spans="1:2" ht="15">
      <c r="A300" s="119" t="s">
        <v>4303</v>
      </c>
      <c r="B300" s="3">
        <v>2</v>
      </c>
    </row>
    <row r="301" spans="1:2" ht="15">
      <c r="A301" s="120" t="s">
        <v>4306</v>
      </c>
      <c r="B301" s="3">
        <v>1</v>
      </c>
    </row>
    <row r="302" spans="1:2" ht="15">
      <c r="A302" s="120" t="s">
        <v>4446</v>
      </c>
      <c r="B302" s="3">
        <v>1</v>
      </c>
    </row>
    <row r="303" spans="1:2" ht="15">
      <c r="A303" s="119" t="s">
        <v>4308</v>
      </c>
      <c r="B303" s="3">
        <v>6</v>
      </c>
    </row>
    <row r="304" spans="1:2" ht="15">
      <c r="A304" s="120" t="s">
        <v>4447</v>
      </c>
      <c r="B304" s="3">
        <v>3</v>
      </c>
    </row>
    <row r="305" spans="1:2" ht="15">
      <c r="A305" s="120" t="s">
        <v>4448</v>
      </c>
      <c r="B305" s="3">
        <v>1</v>
      </c>
    </row>
    <row r="306" spans="1:2" ht="15">
      <c r="A306" s="120" t="s">
        <v>4414</v>
      </c>
      <c r="B306" s="3">
        <v>1</v>
      </c>
    </row>
    <row r="307" spans="1:2" ht="15">
      <c r="A307" s="120" t="s">
        <v>4435</v>
      </c>
      <c r="B307" s="3">
        <v>1</v>
      </c>
    </row>
    <row r="308" spans="1:2" ht="15">
      <c r="A308" s="119" t="s">
        <v>4314</v>
      </c>
      <c r="B308" s="3">
        <v>7</v>
      </c>
    </row>
    <row r="309" spans="1:2" ht="15">
      <c r="A309" s="120" t="s">
        <v>4449</v>
      </c>
      <c r="B309" s="3">
        <v>2</v>
      </c>
    </row>
    <row r="310" spans="1:2" ht="15">
      <c r="A310" s="120" t="s">
        <v>4319</v>
      </c>
      <c r="B310" s="3">
        <v>1</v>
      </c>
    </row>
    <row r="311" spans="1:2" ht="15">
      <c r="A311" s="120" t="s">
        <v>4437</v>
      </c>
      <c r="B311" s="3">
        <v>2</v>
      </c>
    </row>
    <row r="312" spans="1:2" ht="15">
      <c r="A312" s="120" t="s">
        <v>4361</v>
      </c>
      <c r="B312" s="3">
        <v>1</v>
      </c>
    </row>
    <row r="313" spans="1:2" ht="15">
      <c r="A313" s="120" t="s">
        <v>4362</v>
      </c>
      <c r="B313" s="3">
        <v>1</v>
      </c>
    </row>
    <row r="314" spans="1:2" ht="15">
      <c r="A314" s="119" t="s">
        <v>4321</v>
      </c>
      <c r="B314" s="3">
        <v>2</v>
      </c>
    </row>
    <row r="315" spans="1:2" ht="15">
      <c r="A315" s="120" t="s">
        <v>4325</v>
      </c>
      <c r="B315" s="3">
        <v>1</v>
      </c>
    </row>
    <row r="316" spans="1:2" ht="15">
      <c r="A316" s="120" t="s">
        <v>4450</v>
      </c>
      <c r="B316" s="3">
        <v>1</v>
      </c>
    </row>
    <row r="317" spans="1:2" ht="15">
      <c r="A317" s="119" t="s">
        <v>4332</v>
      </c>
      <c r="B317" s="3">
        <v>4</v>
      </c>
    </row>
    <row r="318" spans="1:2" ht="15">
      <c r="A318" s="120" t="s">
        <v>4451</v>
      </c>
      <c r="B318" s="3">
        <v>1</v>
      </c>
    </row>
    <row r="319" spans="1:2" ht="15">
      <c r="A319" s="120" t="s">
        <v>4452</v>
      </c>
      <c r="B319" s="3">
        <v>1</v>
      </c>
    </row>
    <row r="320" spans="1:2" ht="15">
      <c r="A320" s="120" t="s">
        <v>4364</v>
      </c>
      <c r="B320" s="3">
        <v>1</v>
      </c>
    </row>
    <row r="321" spans="1:2" ht="15">
      <c r="A321" s="120" t="s">
        <v>4419</v>
      </c>
      <c r="B321" s="3">
        <v>1</v>
      </c>
    </row>
    <row r="322" spans="1:2" ht="15">
      <c r="A322" s="119" t="s">
        <v>4338</v>
      </c>
      <c r="B322" s="3">
        <v>4</v>
      </c>
    </row>
    <row r="323" spans="1:2" ht="15">
      <c r="A323" s="120" t="s">
        <v>4453</v>
      </c>
      <c r="B323" s="3">
        <v>2</v>
      </c>
    </row>
    <row r="324" spans="1:2" ht="15">
      <c r="A324" s="120" t="s">
        <v>4454</v>
      </c>
      <c r="B324" s="3">
        <v>1</v>
      </c>
    </row>
    <row r="325" spans="1:2" ht="15">
      <c r="A325" s="120" t="s">
        <v>4455</v>
      </c>
      <c r="B325" s="3">
        <v>1</v>
      </c>
    </row>
    <row r="326" spans="1:2" ht="15">
      <c r="A326" s="119" t="s">
        <v>4345</v>
      </c>
      <c r="B326" s="3">
        <v>8</v>
      </c>
    </row>
    <row r="327" spans="1:2" ht="15">
      <c r="A327" s="120" t="s">
        <v>4456</v>
      </c>
      <c r="B327" s="3">
        <v>1</v>
      </c>
    </row>
    <row r="328" spans="1:2" ht="15">
      <c r="A328" s="120" t="s">
        <v>4368</v>
      </c>
      <c r="B328" s="3">
        <v>1</v>
      </c>
    </row>
    <row r="329" spans="1:2" ht="15">
      <c r="A329" s="120" t="s">
        <v>4457</v>
      </c>
      <c r="B329" s="3">
        <v>1</v>
      </c>
    </row>
    <row r="330" spans="1:2" ht="15">
      <c r="A330" s="120" t="s">
        <v>4458</v>
      </c>
      <c r="B330" s="3">
        <v>1</v>
      </c>
    </row>
    <row r="331" spans="1:2" ht="15">
      <c r="A331" s="120" t="s">
        <v>4459</v>
      </c>
      <c r="B331" s="3">
        <v>1</v>
      </c>
    </row>
    <row r="332" spans="1:2" ht="15">
      <c r="A332" s="120" t="s">
        <v>4460</v>
      </c>
      <c r="B332" s="3">
        <v>1</v>
      </c>
    </row>
    <row r="333" spans="1:2" ht="15">
      <c r="A333" s="120" t="s">
        <v>4461</v>
      </c>
      <c r="B333" s="3">
        <v>1</v>
      </c>
    </row>
    <row r="334" spans="1:2" ht="15">
      <c r="A334" s="120" t="s">
        <v>4403</v>
      </c>
      <c r="B334" s="3">
        <v>1</v>
      </c>
    </row>
    <row r="335" spans="1:2" ht="15">
      <c r="A335" s="119" t="s">
        <v>4370</v>
      </c>
      <c r="B335" s="3">
        <v>14</v>
      </c>
    </row>
    <row r="336" spans="1:2" ht="15">
      <c r="A336" s="120" t="s">
        <v>4462</v>
      </c>
      <c r="B336" s="3">
        <v>1</v>
      </c>
    </row>
    <row r="337" spans="1:2" ht="15">
      <c r="A337" s="120" t="s">
        <v>4463</v>
      </c>
      <c r="B337" s="3">
        <v>1</v>
      </c>
    </row>
    <row r="338" spans="1:2" ht="15">
      <c r="A338" s="120" t="s">
        <v>4464</v>
      </c>
      <c r="B338" s="3">
        <v>1</v>
      </c>
    </row>
    <row r="339" spans="1:2" ht="15">
      <c r="A339" s="120" t="s">
        <v>4465</v>
      </c>
      <c r="B339" s="3">
        <v>1</v>
      </c>
    </row>
    <row r="340" spans="1:2" ht="15">
      <c r="A340" s="120" t="s">
        <v>4466</v>
      </c>
      <c r="B340" s="3">
        <v>1</v>
      </c>
    </row>
    <row r="341" spans="1:2" ht="15">
      <c r="A341" s="120" t="s">
        <v>4432</v>
      </c>
      <c r="B341" s="3">
        <v>1</v>
      </c>
    </row>
    <row r="342" spans="1:2" ht="15">
      <c r="A342" s="120" t="s">
        <v>4467</v>
      </c>
      <c r="B342" s="3">
        <v>1</v>
      </c>
    </row>
    <row r="343" spans="1:2" ht="15">
      <c r="A343" s="120" t="s">
        <v>4408</v>
      </c>
      <c r="B343" s="3">
        <v>1</v>
      </c>
    </row>
    <row r="344" spans="1:2" ht="15">
      <c r="A344" s="120" t="s">
        <v>4468</v>
      </c>
      <c r="B344" s="3">
        <v>3</v>
      </c>
    </row>
    <row r="345" spans="1:2" ht="15">
      <c r="A345" s="120" t="s">
        <v>4469</v>
      </c>
      <c r="B345" s="3">
        <v>3</v>
      </c>
    </row>
    <row r="346" spans="1:2" ht="15">
      <c r="A346" s="119" t="s">
        <v>4349</v>
      </c>
      <c r="B346" s="3">
        <v>15</v>
      </c>
    </row>
    <row r="347" spans="1:2" ht="15">
      <c r="A347" s="120" t="s">
        <v>4389</v>
      </c>
      <c r="B347" s="3">
        <v>1</v>
      </c>
    </row>
    <row r="348" spans="1:2" ht="15">
      <c r="A348" s="120" t="s">
        <v>4470</v>
      </c>
      <c r="B348" s="3">
        <v>1</v>
      </c>
    </row>
    <row r="349" spans="1:2" ht="15">
      <c r="A349" s="120" t="s">
        <v>4471</v>
      </c>
      <c r="B349" s="3">
        <v>3</v>
      </c>
    </row>
    <row r="350" spans="1:2" ht="15">
      <c r="A350" s="120" t="s">
        <v>4472</v>
      </c>
      <c r="B350" s="3">
        <v>1</v>
      </c>
    </row>
    <row r="351" spans="1:2" ht="15">
      <c r="A351" s="120" t="s">
        <v>4473</v>
      </c>
      <c r="B351" s="3">
        <v>2</v>
      </c>
    </row>
    <row r="352" spans="1:2" ht="15">
      <c r="A352" s="120" t="s">
        <v>4353</v>
      </c>
      <c r="B352" s="3">
        <v>1</v>
      </c>
    </row>
    <row r="353" spans="1:2" ht="15">
      <c r="A353" s="120" t="s">
        <v>4474</v>
      </c>
      <c r="B353" s="3">
        <v>5</v>
      </c>
    </row>
    <row r="354" spans="1:2" ht="15">
      <c r="A354" s="120" t="s">
        <v>4475</v>
      </c>
      <c r="B354" s="3">
        <v>1</v>
      </c>
    </row>
    <row r="355" spans="1:2" ht="15">
      <c r="A355" s="119" t="s">
        <v>4269</v>
      </c>
      <c r="B355" s="3">
        <v>4</v>
      </c>
    </row>
    <row r="356" spans="1:2" ht="15">
      <c r="A356" s="120" t="s">
        <v>4476</v>
      </c>
      <c r="B356" s="3">
        <v>1</v>
      </c>
    </row>
    <row r="357" spans="1:2" ht="15">
      <c r="A357" s="120" t="s">
        <v>4422</v>
      </c>
      <c r="B357" s="3">
        <v>1</v>
      </c>
    </row>
    <row r="358" spans="1:2" ht="15">
      <c r="A358" s="120" t="s">
        <v>4423</v>
      </c>
      <c r="B358" s="3">
        <v>1</v>
      </c>
    </row>
    <row r="359" spans="1:2" ht="15">
      <c r="A359" s="120" t="s">
        <v>4272</v>
      </c>
      <c r="B359" s="3">
        <v>1</v>
      </c>
    </row>
    <row r="360" spans="1:2" ht="15">
      <c r="A360" s="119" t="s">
        <v>4280</v>
      </c>
      <c r="B360" s="3">
        <v>9</v>
      </c>
    </row>
    <row r="361" spans="1:2" ht="15">
      <c r="A361" s="120" t="s">
        <v>4285</v>
      </c>
      <c r="B361" s="3">
        <v>1</v>
      </c>
    </row>
    <row r="362" spans="1:2" ht="15">
      <c r="A362" s="120" t="s">
        <v>4393</v>
      </c>
      <c r="B362" s="3">
        <v>1</v>
      </c>
    </row>
    <row r="363" spans="1:2" ht="15">
      <c r="A363" s="120" t="s">
        <v>4291</v>
      </c>
      <c r="B363" s="3">
        <v>2</v>
      </c>
    </row>
    <row r="364" spans="1:2" ht="15">
      <c r="A364" s="120" t="s">
        <v>4374</v>
      </c>
      <c r="B364" s="3">
        <v>1</v>
      </c>
    </row>
    <row r="365" spans="1:2" ht="15">
      <c r="A365" s="120" t="s">
        <v>4477</v>
      </c>
      <c r="B365" s="3">
        <v>1</v>
      </c>
    </row>
    <row r="366" spans="1:2" ht="15">
      <c r="A366" s="120" t="s">
        <v>4478</v>
      </c>
      <c r="B366" s="3">
        <v>1</v>
      </c>
    </row>
    <row r="367" spans="1:2" ht="15">
      <c r="A367" s="120" t="s">
        <v>4479</v>
      </c>
      <c r="B367" s="3">
        <v>1</v>
      </c>
    </row>
    <row r="368" spans="1:2" ht="15">
      <c r="A368" s="120" t="s">
        <v>4480</v>
      </c>
      <c r="B368" s="3">
        <v>1</v>
      </c>
    </row>
    <row r="369" spans="1:2" ht="15">
      <c r="A369" s="119" t="s">
        <v>4293</v>
      </c>
      <c r="B369" s="3">
        <v>15</v>
      </c>
    </row>
    <row r="370" spans="1:2" ht="15">
      <c r="A370" s="120" t="s">
        <v>4296</v>
      </c>
      <c r="B370" s="3">
        <v>1</v>
      </c>
    </row>
    <row r="371" spans="1:2" ht="15">
      <c r="A371" s="120" t="s">
        <v>4481</v>
      </c>
      <c r="B371" s="3">
        <v>2</v>
      </c>
    </row>
    <row r="372" spans="1:2" ht="15">
      <c r="A372" s="120" t="s">
        <v>4482</v>
      </c>
      <c r="B372" s="3">
        <v>2</v>
      </c>
    </row>
    <row r="373" spans="1:2" ht="15">
      <c r="A373" s="120" t="s">
        <v>4483</v>
      </c>
      <c r="B373" s="3">
        <v>2</v>
      </c>
    </row>
    <row r="374" spans="1:2" ht="15">
      <c r="A374" s="120" t="s">
        <v>4484</v>
      </c>
      <c r="B374" s="3">
        <v>2</v>
      </c>
    </row>
    <row r="375" spans="1:2" ht="15">
      <c r="A375" s="120" t="s">
        <v>4485</v>
      </c>
      <c r="B375" s="3">
        <v>1</v>
      </c>
    </row>
    <row r="376" spans="1:2" ht="15">
      <c r="A376" s="120" t="s">
        <v>4486</v>
      </c>
      <c r="B376" s="3">
        <v>1</v>
      </c>
    </row>
    <row r="377" spans="1:2" ht="15">
      <c r="A377" s="120" t="s">
        <v>4487</v>
      </c>
      <c r="B377" s="3">
        <v>2</v>
      </c>
    </row>
    <row r="378" spans="1:2" ht="15">
      <c r="A378" s="120" t="s">
        <v>4300</v>
      </c>
      <c r="B378" s="3">
        <v>1</v>
      </c>
    </row>
    <row r="379" spans="1:2" ht="15">
      <c r="A379" s="120" t="s">
        <v>4488</v>
      </c>
      <c r="B379" s="3">
        <v>1</v>
      </c>
    </row>
    <row r="380" spans="1:2" ht="15">
      <c r="A380" s="118" t="s">
        <v>4489</v>
      </c>
      <c r="B380" s="3">
        <v>51</v>
      </c>
    </row>
    <row r="381" spans="1:2" ht="15">
      <c r="A381" s="119" t="s">
        <v>4303</v>
      </c>
      <c r="B381" s="3">
        <v>13</v>
      </c>
    </row>
    <row r="382" spans="1:2" ht="15">
      <c r="A382" s="120" t="s">
        <v>4490</v>
      </c>
      <c r="B382" s="3">
        <v>3</v>
      </c>
    </row>
    <row r="383" spans="1:2" ht="15">
      <c r="A383" s="120" t="s">
        <v>4358</v>
      </c>
      <c r="B383" s="3">
        <v>1</v>
      </c>
    </row>
    <row r="384" spans="1:2" ht="15">
      <c r="A384" s="120" t="s">
        <v>4304</v>
      </c>
      <c r="B384" s="3">
        <v>1</v>
      </c>
    </row>
    <row r="385" spans="1:2" ht="15">
      <c r="A385" s="120" t="s">
        <v>4305</v>
      </c>
      <c r="B385" s="3">
        <v>2</v>
      </c>
    </row>
    <row r="386" spans="1:2" ht="15">
      <c r="A386" s="120" t="s">
        <v>4397</v>
      </c>
      <c r="B386" s="3">
        <v>1</v>
      </c>
    </row>
    <row r="387" spans="1:2" ht="15">
      <c r="A387" s="120" t="s">
        <v>4413</v>
      </c>
      <c r="B387" s="3">
        <v>1</v>
      </c>
    </row>
    <row r="388" spans="1:2" ht="15">
      <c r="A388" s="120" t="s">
        <v>4446</v>
      </c>
      <c r="B388" s="3">
        <v>1</v>
      </c>
    </row>
    <row r="389" spans="1:2" ht="15">
      <c r="A389" s="120" t="s">
        <v>4491</v>
      </c>
      <c r="B389" s="3">
        <v>2</v>
      </c>
    </row>
    <row r="390" spans="1:2" ht="15">
      <c r="A390" s="120" t="s">
        <v>4492</v>
      </c>
      <c r="B390" s="3">
        <v>1</v>
      </c>
    </row>
    <row r="391" spans="1:2" ht="15">
      <c r="A391" s="119" t="s">
        <v>4308</v>
      </c>
      <c r="B391" s="3">
        <v>6</v>
      </c>
    </row>
    <row r="392" spans="1:2" ht="15">
      <c r="A392" s="120" t="s">
        <v>4312</v>
      </c>
      <c r="B392" s="3">
        <v>3</v>
      </c>
    </row>
    <row r="393" spans="1:2" ht="15">
      <c r="A393" s="120" t="s">
        <v>4398</v>
      </c>
      <c r="B393" s="3">
        <v>1</v>
      </c>
    </row>
    <row r="394" spans="1:2" ht="15">
      <c r="A394" s="120" t="s">
        <v>4399</v>
      </c>
      <c r="B394" s="3">
        <v>1</v>
      </c>
    </row>
    <row r="395" spans="1:2" ht="15">
      <c r="A395" s="120" t="s">
        <v>4493</v>
      </c>
      <c r="B395" s="3">
        <v>1</v>
      </c>
    </row>
    <row r="396" spans="1:2" ht="15">
      <c r="A396" s="119" t="s">
        <v>4314</v>
      </c>
      <c r="B396" s="3">
        <v>3</v>
      </c>
    </row>
    <row r="397" spans="1:2" ht="15">
      <c r="A397" s="120" t="s">
        <v>4494</v>
      </c>
      <c r="B397" s="3">
        <v>1</v>
      </c>
    </row>
    <row r="398" spans="1:2" ht="15">
      <c r="A398" s="120" t="s">
        <v>4437</v>
      </c>
      <c r="B398" s="3">
        <v>1</v>
      </c>
    </row>
    <row r="399" spans="1:2" ht="15">
      <c r="A399" s="120" t="s">
        <v>4383</v>
      </c>
      <c r="B399" s="3">
        <v>1</v>
      </c>
    </row>
    <row r="400" spans="1:2" ht="15">
      <c r="A400" s="119" t="s">
        <v>4321</v>
      </c>
      <c r="B400" s="3">
        <v>9</v>
      </c>
    </row>
    <row r="401" spans="1:2" ht="15">
      <c r="A401" s="120" t="s">
        <v>4495</v>
      </c>
      <c r="B401" s="3">
        <v>4</v>
      </c>
    </row>
    <row r="402" spans="1:2" ht="15">
      <c r="A402" s="120" t="s">
        <v>4496</v>
      </c>
      <c r="B402" s="3">
        <v>1</v>
      </c>
    </row>
    <row r="403" spans="1:2" ht="15">
      <c r="A403" s="120" t="s">
        <v>4497</v>
      </c>
      <c r="B403" s="3">
        <v>1</v>
      </c>
    </row>
    <row r="404" spans="1:2" ht="15">
      <c r="A404" s="120" t="s">
        <v>4498</v>
      </c>
      <c r="B404" s="3">
        <v>2</v>
      </c>
    </row>
    <row r="405" spans="1:2" ht="15">
      <c r="A405" s="120" t="s">
        <v>4499</v>
      </c>
      <c r="B405" s="3">
        <v>1</v>
      </c>
    </row>
    <row r="406" spans="1:2" ht="15">
      <c r="A406" s="119" t="s">
        <v>4332</v>
      </c>
      <c r="B406" s="3">
        <v>15</v>
      </c>
    </row>
    <row r="407" spans="1:2" ht="15">
      <c r="A407" s="120" t="s">
        <v>4418</v>
      </c>
      <c r="B407" s="3">
        <v>1</v>
      </c>
    </row>
    <row r="408" spans="1:2" ht="15">
      <c r="A408" s="120" t="s">
        <v>4500</v>
      </c>
      <c r="B408" s="3">
        <v>1</v>
      </c>
    </row>
    <row r="409" spans="1:2" ht="15">
      <c r="A409" s="120" t="s">
        <v>4501</v>
      </c>
      <c r="B409" s="3">
        <v>1</v>
      </c>
    </row>
    <row r="410" spans="1:2" ht="15">
      <c r="A410" s="120" t="s">
        <v>4428</v>
      </c>
      <c r="B410" s="3">
        <v>2</v>
      </c>
    </row>
    <row r="411" spans="1:2" ht="15">
      <c r="A411" s="120" t="s">
        <v>4502</v>
      </c>
      <c r="B411" s="3">
        <v>1</v>
      </c>
    </row>
    <row r="412" spans="1:2" ht="15">
      <c r="A412" s="120" t="s">
        <v>4503</v>
      </c>
      <c r="B412" s="3">
        <v>3</v>
      </c>
    </row>
    <row r="413" spans="1:2" ht="15">
      <c r="A413" s="120" t="s">
        <v>4504</v>
      </c>
      <c r="B413" s="3">
        <v>1</v>
      </c>
    </row>
    <row r="414" spans="1:2" ht="15">
      <c r="A414" s="120" t="s">
        <v>4505</v>
      </c>
      <c r="B414" s="3">
        <v>3</v>
      </c>
    </row>
    <row r="415" spans="1:2" ht="15">
      <c r="A415" s="120" t="s">
        <v>4506</v>
      </c>
      <c r="B415" s="3">
        <v>1</v>
      </c>
    </row>
    <row r="416" spans="1:2" ht="15">
      <c r="A416" s="120" t="s">
        <v>4337</v>
      </c>
      <c r="B416" s="3">
        <v>1</v>
      </c>
    </row>
    <row r="417" spans="1:2" ht="15">
      <c r="A417" s="119" t="s">
        <v>4338</v>
      </c>
      <c r="B417" s="3">
        <v>5</v>
      </c>
    </row>
    <row r="418" spans="1:2" ht="15">
      <c r="A418" s="120" t="s">
        <v>4387</v>
      </c>
      <c r="B418" s="3">
        <v>1</v>
      </c>
    </row>
    <row r="419" spans="1:2" ht="15">
      <c r="A419" s="120" t="s">
        <v>4507</v>
      </c>
      <c r="B419" s="3">
        <v>1</v>
      </c>
    </row>
    <row r="420" spans="1:2" ht="15">
      <c r="A420" s="120" t="s">
        <v>4508</v>
      </c>
      <c r="B420" s="3">
        <v>2</v>
      </c>
    </row>
    <row r="421" spans="1:2" ht="15">
      <c r="A421" s="120" t="s">
        <v>4367</v>
      </c>
      <c r="B421" s="3">
        <v>1</v>
      </c>
    </row>
    <row r="422" spans="1:2" ht="15">
      <c r="A422" s="118" t="s">
        <v>4267</v>
      </c>
      <c r="B422" s="3">
        <v>621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4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1928</v>
      </c>
      <c r="AE2" s="13" t="s">
        <v>1929</v>
      </c>
      <c r="AF2" s="13" t="s">
        <v>326</v>
      </c>
      <c r="AG2" s="13" t="s">
        <v>327</v>
      </c>
      <c r="AH2" s="13" t="s">
        <v>328</v>
      </c>
      <c r="AI2" s="13" t="s">
        <v>1930</v>
      </c>
      <c r="AJ2" s="13" t="s">
        <v>334</v>
      </c>
      <c r="AK2" s="13" t="s">
        <v>1931</v>
      </c>
      <c r="AL2" s="13" t="s">
        <v>1932</v>
      </c>
      <c r="AM2" s="13" t="s">
        <v>1933</v>
      </c>
      <c r="AN2" s="13" t="s">
        <v>1934</v>
      </c>
      <c r="AO2" s="13" t="s">
        <v>1935</v>
      </c>
      <c r="AP2" s="13" t="s">
        <v>1936</v>
      </c>
      <c r="AQ2" s="13" t="s">
        <v>1937</v>
      </c>
      <c r="AR2" s="13" t="s">
        <v>1938</v>
      </c>
      <c r="AS2" s="13" t="s">
        <v>1939</v>
      </c>
      <c r="AT2" s="13" t="s">
        <v>1940</v>
      </c>
      <c r="AU2" s="13" t="s">
        <v>2117</v>
      </c>
      <c r="AV2" s="113" t="s">
        <v>3188</v>
      </c>
      <c r="AW2" s="113" t="s">
        <v>3189</v>
      </c>
      <c r="AX2" s="113" t="s">
        <v>3190</v>
      </c>
      <c r="AY2" s="113" t="s">
        <v>3191</v>
      </c>
      <c r="AZ2" s="113" t="s">
        <v>3192</v>
      </c>
      <c r="BA2" s="113" t="s">
        <v>3193</v>
      </c>
      <c r="BB2" s="113" t="s">
        <v>3194</v>
      </c>
      <c r="BC2" s="113" t="s">
        <v>3195</v>
      </c>
      <c r="BD2" s="113" t="s">
        <v>3197</v>
      </c>
      <c r="BE2" s="113" t="s">
        <v>3382</v>
      </c>
      <c r="BF2" s="113" t="s">
        <v>3393</v>
      </c>
      <c r="BG2" s="113" t="s">
        <v>3394</v>
      </c>
      <c r="BH2" s="113" t="s">
        <v>3395</v>
      </c>
      <c r="BI2" s="113" t="s">
        <v>3396</v>
      </c>
      <c r="BJ2" s="113" t="s">
        <v>3397</v>
      </c>
      <c r="BK2" s="113" t="s">
        <v>3398</v>
      </c>
      <c r="BL2" s="113" t="s">
        <v>3809</v>
      </c>
      <c r="BM2" s="113" t="s">
        <v>3850</v>
      </c>
      <c r="BN2" s="113" t="s">
        <v>4255</v>
      </c>
      <c r="BO2" s="3"/>
      <c r="BP2" s="3"/>
    </row>
    <row r="3" spans="1:68" ht="15" customHeight="1">
      <c r="A3" s="65" t="s">
        <v>787</v>
      </c>
      <c r="B3" s="66"/>
      <c r="C3" s="66"/>
      <c r="D3" s="67">
        <v>150</v>
      </c>
      <c r="E3" s="69"/>
      <c r="F3" s="103" t="str">
        <f>HYPERLINK("https://yt3.ggpht.com/ytc/AKedOLS8MC7RcrNZayrjp_JhqI3Ov_rSha_DjiWuKhct=s88-c-k-c0x00ffffff-no-rj")</f>
        <v>https://yt3.ggpht.com/ytc/AKedOLS8MC7RcrNZayrjp_JhqI3Ov_rSha_DjiWuKhct=s88-c-k-c0x00ffffff-no-rj</v>
      </c>
      <c r="G3" s="66"/>
      <c r="H3" s="70" t="s">
        <v>1854</v>
      </c>
      <c r="I3" s="71"/>
      <c r="J3" s="71" t="s">
        <v>159</v>
      </c>
      <c r="K3" s="70" t="s">
        <v>1854</v>
      </c>
      <c r="L3" s="74">
        <v>1</v>
      </c>
      <c r="M3" s="75">
        <v>5423.58447265625</v>
      </c>
      <c r="N3" s="75">
        <v>6199.47412109375</v>
      </c>
      <c r="O3" s="76"/>
      <c r="P3" s="77"/>
      <c r="Q3" s="77"/>
      <c r="R3" s="49"/>
      <c r="S3" s="49">
        <v>0</v>
      </c>
      <c r="T3" s="49">
        <v>1</v>
      </c>
      <c r="U3" s="50">
        <v>0</v>
      </c>
      <c r="V3" s="50">
        <v>0.478122</v>
      </c>
      <c r="W3" s="50">
        <v>0.03471</v>
      </c>
      <c r="X3" s="50">
        <v>0.001935</v>
      </c>
      <c r="Y3" s="50">
        <v>0</v>
      </c>
      <c r="Z3" s="50">
        <v>0</v>
      </c>
      <c r="AA3" s="72">
        <v>3</v>
      </c>
      <c r="AB3" s="72"/>
      <c r="AC3" s="73"/>
      <c r="AD3" s="80" t="s">
        <v>1854</v>
      </c>
      <c r="AE3" s="80"/>
      <c r="AF3" s="80"/>
      <c r="AG3" s="80"/>
      <c r="AH3" s="80"/>
      <c r="AI3" s="80"/>
      <c r="AJ3" s="87">
        <v>40506.627847222226</v>
      </c>
      <c r="AK3" s="85" t="str">
        <f>HYPERLINK("https://yt3.ggpht.com/ytc/AKedOLS8MC7RcrNZayrjp_JhqI3Ov_rSha_DjiWuKhct=s88-c-k-c0x00ffffff-no-rj")</f>
        <v>https://yt3.ggpht.com/ytc/AKedOLS8MC7RcrNZayrjp_JhqI3Ov_rSha_DjiWuKhct=s88-c-k-c0x00ffffff-no-rj</v>
      </c>
      <c r="AL3" s="80">
        <v>0</v>
      </c>
      <c r="AM3" s="80">
        <v>0</v>
      </c>
      <c r="AN3" s="80">
        <v>5</v>
      </c>
      <c r="AO3" s="80" t="b">
        <v>0</v>
      </c>
      <c r="AP3" s="80">
        <v>0</v>
      </c>
      <c r="AQ3" s="80"/>
      <c r="AR3" s="80"/>
      <c r="AS3" s="80" t="s">
        <v>2085</v>
      </c>
      <c r="AT3" s="85" t="str">
        <f>HYPERLINK("https://www.youtube.com/channel/UCSLgJHJXjsrclsOwc0wxg0w")</f>
        <v>https://www.youtube.com/channel/UCSLgJHJXjsrclsOwc0wxg0w</v>
      </c>
      <c r="AU3" s="80" t="str">
        <f>REPLACE(INDEX(GroupVertices[Group],MATCH(Vertices[[#This Row],[Vertex]],GroupVertices[Vertex],0)),1,1,"")</f>
        <v>1</v>
      </c>
      <c r="AV3" s="49">
        <v>1</v>
      </c>
      <c r="AW3" s="50">
        <v>14.285714285714286</v>
      </c>
      <c r="AX3" s="49">
        <v>0</v>
      </c>
      <c r="AY3" s="50">
        <v>0</v>
      </c>
      <c r="AZ3" s="49">
        <v>0</v>
      </c>
      <c r="BA3" s="50">
        <v>0</v>
      </c>
      <c r="BB3" s="49">
        <v>6</v>
      </c>
      <c r="BC3" s="50">
        <v>85.71428571428571</v>
      </c>
      <c r="BD3" s="49">
        <v>7</v>
      </c>
      <c r="BE3" s="49"/>
      <c r="BF3" s="49"/>
      <c r="BG3" s="49"/>
      <c r="BH3" s="49"/>
      <c r="BI3" s="49"/>
      <c r="BJ3" s="49"/>
      <c r="BK3" s="111" t="s">
        <v>3399</v>
      </c>
      <c r="BL3" s="111" t="s">
        <v>3399</v>
      </c>
      <c r="BM3" s="111" t="s">
        <v>3851</v>
      </c>
      <c r="BN3" s="111" t="s">
        <v>3851</v>
      </c>
      <c r="BO3" s="3"/>
      <c r="BP3" s="3"/>
    </row>
    <row r="4" spans="1:71" ht="15">
      <c r="A4" s="65" t="s">
        <v>786</v>
      </c>
      <c r="B4" s="66"/>
      <c r="C4" s="66"/>
      <c r="D4" s="67">
        <v>1000</v>
      </c>
      <c r="E4" s="69"/>
      <c r="F4" s="103" t="str">
        <f>HYPERLINK("https://yt3.ggpht.com/ytc/AKedOLSXw8xzgPAinxvye1bcc9hbR8BOJIZAS7BKEP23Ag=s88-c-k-c0x00ffffff-no-rj")</f>
        <v>https://yt3.ggpht.com/ytc/AKedOLSXw8xzgPAinxvye1bcc9hbR8BOJIZAS7BKEP23Ag=s88-c-k-c0x00ffffff-no-rj</v>
      </c>
      <c r="G4" s="66"/>
      <c r="H4" s="70" t="s">
        <v>1853</v>
      </c>
      <c r="I4" s="71"/>
      <c r="J4" s="71" t="s">
        <v>75</v>
      </c>
      <c r="K4" s="70" t="s">
        <v>1853</v>
      </c>
      <c r="L4" s="74">
        <v>9999</v>
      </c>
      <c r="M4" s="75">
        <v>4085.259765625</v>
      </c>
      <c r="N4" s="75">
        <v>5053.2744140625</v>
      </c>
      <c r="O4" s="76"/>
      <c r="P4" s="77"/>
      <c r="Q4" s="77"/>
      <c r="R4" s="89"/>
      <c r="S4" s="49">
        <v>407</v>
      </c>
      <c r="T4" s="49">
        <v>1</v>
      </c>
      <c r="U4" s="50">
        <v>199945.5</v>
      </c>
      <c r="V4" s="50">
        <v>0.914286</v>
      </c>
      <c r="W4" s="50">
        <v>0.711804</v>
      </c>
      <c r="X4" s="50">
        <v>0.114062</v>
      </c>
      <c r="Y4" s="50">
        <v>6.081615277017576E-05</v>
      </c>
      <c r="Z4" s="50">
        <v>0</v>
      </c>
      <c r="AA4" s="72">
        <v>4</v>
      </c>
      <c r="AB4" s="72"/>
      <c r="AC4" s="73"/>
      <c r="AD4" s="80" t="s">
        <v>1853</v>
      </c>
      <c r="AE4" s="80" t="s">
        <v>1941</v>
      </c>
      <c r="AF4" s="80"/>
      <c r="AG4" s="80"/>
      <c r="AH4" s="80"/>
      <c r="AI4" s="80" t="s">
        <v>2052</v>
      </c>
      <c r="AJ4" s="87">
        <v>38991.859085648146</v>
      </c>
      <c r="AK4" s="85" t="str">
        <f>HYPERLINK("https://yt3.ggpht.com/ytc/AKedOLSXw8xzgPAinxvye1bcc9hbR8BOJIZAS7BKEP23Ag=s88-c-k-c0x00ffffff-no-rj")</f>
        <v>https://yt3.ggpht.com/ytc/AKedOLSXw8xzgPAinxvye1bcc9hbR8BOJIZAS7BKEP23Ag=s88-c-k-c0x00ffffff-no-rj</v>
      </c>
      <c r="AL4" s="80">
        <v>470943443</v>
      </c>
      <c r="AM4" s="80">
        <v>0</v>
      </c>
      <c r="AN4" s="80">
        <v>3890000</v>
      </c>
      <c r="AO4" s="80" t="b">
        <v>0</v>
      </c>
      <c r="AP4" s="80">
        <v>8686</v>
      </c>
      <c r="AQ4" s="80"/>
      <c r="AR4" s="80"/>
      <c r="AS4" s="80" t="s">
        <v>2085</v>
      </c>
      <c r="AT4" s="85" t="str">
        <f>HYPERLINK("https://www.youtube.com/channel/UCvQECJukTDE2i6aCoMnS-Vg")</f>
        <v>https://www.youtube.com/channel/UCvQECJukTDE2i6aCoMnS-Vg</v>
      </c>
      <c r="AU4" s="80" t="str">
        <f>REPLACE(INDEX(GroupVertices[Group],MATCH(Vertices[[#This Row],[Vertex]],GroupVertices[Vertex],0)),1,1,"")</f>
        <v>1</v>
      </c>
      <c r="AV4" s="49">
        <v>2</v>
      </c>
      <c r="AW4" s="50">
        <v>9.523809523809524</v>
      </c>
      <c r="AX4" s="49">
        <v>0</v>
      </c>
      <c r="AY4" s="50">
        <v>0</v>
      </c>
      <c r="AZ4" s="49">
        <v>0</v>
      </c>
      <c r="BA4" s="50">
        <v>0</v>
      </c>
      <c r="BB4" s="49">
        <v>19</v>
      </c>
      <c r="BC4" s="50">
        <v>90.47619047619048</v>
      </c>
      <c r="BD4" s="49">
        <v>21</v>
      </c>
      <c r="BE4" s="49" t="s">
        <v>3234</v>
      </c>
      <c r="BF4" s="49" t="s">
        <v>3234</v>
      </c>
      <c r="BG4" s="49" t="s">
        <v>3269</v>
      </c>
      <c r="BH4" s="49" t="s">
        <v>3269</v>
      </c>
      <c r="BI4" s="49"/>
      <c r="BJ4" s="49"/>
      <c r="BK4" s="111" t="s">
        <v>3400</v>
      </c>
      <c r="BL4" s="111" t="s">
        <v>3400</v>
      </c>
      <c r="BM4" s="111" t="s">
        <v>3852</v>
      </c>
      <c r="BN4" s="111" t="s">
        <v>3852</v>
      </c>
      <c r="BO4" s="2"/>
      <c r="BP4" s="3"/>
      <c r="BQ4" s="3"/>
      <c r="BR4" s="3"/>
      <c r="BS4" s="3"/>
    </row>
    <row r="5" spans="1:71" ht="15">
      <c r="A5" s="65" t="s">
        <v>339</v>
      </c>
      <c r="B5" s="66"/>
      <c r="C5" s="66"/>
      <c r="D5" s="67">
        <v>150</v>
      </c>
      <c r="E5" s="69"/>
      <c r="F5" s="103" t="str">
        <f>HYPERLINK("https://yt3.ggpht.com/ytc/AKedOLRnxr--BkwY4IUJ4tsOQAFm7N551PTtEytF_V9W=s88-c-k-c0x00ffffff-no-rj")</f>
        <v>https://yt3.ggpht.com/ytc/AKedOLRnxr--BkwY4IUJ4tsOQAFm7N551PTtEytF_V9W=s88-c-k-c0x00ffffff-no-rj</v>
      </c>
      <c r="G5" s="66"/>
      <c r="H5" s="70" t="s">
        <v>1407</v>
      </c>
      <c r="I5" s="71"/>
      <c r="J5" s="71" t="s">
        <v>159</v>
      </c>
      <c r="K5" s="70" t="s">
        <v>1407</v>
      </c>
      <c r="L5" s="74">
        <v>1</v>
      </c>
      <c r="M5" s="75">
        <v>1105.5753173828125</v>
      </c>
      <c r="N5" s="75">
        <v>2752.09423828125</v>
      </c>
      <c r="O5" s="76"/>
      <c r="P5" s="77"/>
      <c r="Q5" s="77"/>
      <c r="R5" s="89"/>
      <c r="S5" s="49">
        <v>0</v>
      </c>
      <c r="T5" s="49">
        <v>1</v>
      </c>
      <c r="U5" s="50">
        <v>0</v>
      </c>
      <c r="V5" s="50">
        <v>0.478122</v>
      </c>
      <c r="W5" s="50">
        <v>0.03471</v>
      </c>
      <c r="X5" s="50">
        <v>0.001935</v>
      </c>
      <c r="Y5" s="50">
        <v>0</v>
      </c>
      <c r="Z5" s="50">
        <v>0</v>
      </c>
      <c r="AA5" s="72">
        <v>5</v>
      </c>
      <c r="AB5" s="72"/>
      <c r="AC5" s="73"/>
      <c r="AD5" s="80" t="s">
        <v>1407</v>
      </c>
      <c r="AE5" s="80" t="s">
        <v>1942</v>
      </c>
      <c r="AF5" s="80"/>
      <c r="AG5" s="80"/>
      <c r="AH5" s="80"/>
      <c r="AI5" s="80"/>
      <c r="AJ5" s="87">
        <v>41073.846967592595</v>
      </c>
      <c r="AK5" s="85" t="str">
        <f>HYPERLINK("https://yt3.ggpht.com/ytc/AKedOLRnxr--BkwY4IUJ4tsOQAFm7N551PTtEytF_V9W=s88-c-k-c0x00ffffff-no-rj")</f>
        <v>https://yt3.ggpht.com/ytc/AKedOLRnxr--BkwY4IUJ4tsOQAFm7N551PTtEytF_V9W=s88-c-k-c0x00ffffff-no-rj</v>
      </c>
      <c r="AL5" s="80">
        <v>1316</v>
      </c>
      <c r="AM5" s="80">
        <v>0</v>
      </c>
      <c r="AN5" s="80">
        <v>10</v>
      </c>
      <c r="AO5" s="80" t="b">
        <v>0</v>
      </c>
      <c r="AP5" s="80">
        <v>17</v>
      </c>
      <c r="AQ5" s="80"/>
      <c r="AR5" s="80"/>
      <c r="AS5" s="80" t="s">
        <v>2085</v>
      </c>
      <c r="AT5" s="85" t="str">
        <f>HYPERLINK("https://www.youtube.com/channel/UC-xo4E5unTLL0vZgWU1r4AQ")</f>
        <v>https://www.youtube.com/channel/UC-xo4E5unTLL0vZgWU1r4AQ</v>
      </c>
      <c r="AU5" s="80" t="str">
        <f>REPLACE(INDEX(GroupVertices[Group],MATCH(Vertices[[#This Row],[Vertex]],GroupVertices[Vertex],0)),1,1,"")</f>
        <v>1</v>
      </c>
      <c r="AV5" s="49">
        <v>1</v>
      </c>
      <c r="AW5" s="50">
        <v>100</v>
      </c>
      <c r="AX5" s="49">
        <v>0</v>
      </c>
      <c r="AY5" s="50">
        <v>0</v>
      </c>
      <c r="AZ5" s="49">
        <v>0</v>
      </c>
      <c r="BA5" s="50">
        <v>0</v>
      </c>
      <c r="BB5" s="49">
        <v>0</v>
      </c>
      <c r="BC5" s="50">
        <v>0</v>
      </c>
      <c r="BD5" s="49">
        <v>1</v>
      </c>
      <c r="BE5" s="49"/>
      <c r="BF5" s="49"/>
      <c r="BG5" s="49"/>
      <c r="BH5" s="49"/>
      <c r="BI5" s="49"/>
      <c r="BJ5" s="49"/>
      <c r="BK5" s="111" t="s">
        <v>796</v>
      </c>
      <c r="BL5" s="111" t="s">
        <v>796</v>
      </c>
      <c r="BM5" s="111" t="s">
        <v>1927</v>
      </c>
      <c r="BN5" s="111" t="s">
        <v>1927</v>
      </c>
      <c r="BO5" s="2"/>
      <c r="BP5" s="3"/>
      <c r="BQ5" s="3"/>
      <c r="BR5" s="3"/>
      <c r="BS5" s="3"/>
    </row>
    <row r="6" spans="1:71" ht="15">
      <c r="A6" s="65" t="s">
        <v>340</v>
      </c>
      <c r="B6" s="66"/>
      <c r="C6" s="66"/>
      <c r="D6" s="67">
        <v>150</v>
      </c>
      <c r="E6" s="69"/>
      <c r="F6" s="103" t="str">
        <f>HYPERLINK("https://yt3.ggpht.com/ytc/AKedOLTsWxEDPOrzGG1qT95ldiQ_bPk_8wYY1EsJQA=s88-c-k-c0x00ffffff-no-rj")</f>
        <v>https://yt3.ggpht.com/ytc/AKedOLTsWxEDPOrzGG1qT95ldiQ_bPk_8wYY1EsJQA=s88-c-k-c0x00ffffff-no-rj</v>
      </c>
      <c r="G6" s="66"/>
      <c r="H6" s="70" t="s">
        <v>1408</v>
      </c>
      <c r="I6" s="71"/>
      <c r="J6" s="71" t="s">
        <v>159</v>
      </c>
      <c r="K6" s="70" t="s">
        <v>1408</v>
      </c>
      <c r="L6" s="74">
        <v>1</v>
      </c>
      <c r="M6" s="75">
        <v>6856.01171875</v>
      </c>
      <c r="N6" s="75">
        <v>5730.12255859375</v>
      </c>
      <c r="O6" s="76"/>
      <c r="P6" s="77"/>
      <c r="Q6" s="77"/>
      <c r="R6" s="89"/>
      <c r="S6" s="49">
        <v>0</v>
      </c>
      <c r="T6" s="49">
        <v>1</v>
      </c>
      <c r="U6" s="50">
        <v>0</v>
      </c>
      <c r="V6" s="50">
        <v>0.478122</v>
      </c>
      <c r="W6" s="50">
        <v>0.03471</v>
      </c>
      <c r="X6" s="50">
        <v>0.001935</v>
      </c>
      <c r="Y6" s="50">
        <v>0</v>
      </c>
      <c r="Z6" s="50">
        <v>0</v>
      </c>
      <c r="AA6" s="72">
        <v>6</v>
      </c>
      <c r="AB6" s="72"/>
      <c r="AC6" s="73"/>
      <c r="AD6" s="80" t="s">
        <v>1408</v>
      </c>
      <c r="AE6" s="80" t="s">
        <v>1943</v>
      </c>
      <c r="AF6" s="80"/>
      <c r="AG6" s="80"/>
      <c r="AH6" s="80"/>
      <c r="AI6" s="80"/>
      <c r="AJ6" s="87">
        <v>40275.7156712963</v>
      </c>
      <c r="AK6" s="85" t="str">
        <f>HYPERLINK("https://yt3.ggpht.com/ytc/AKedOLTsWxEDPOrzGG1qT95ldiQ_bPk_8wYY1EsJQA=s88-c-k-c0x00ffffff-no-rj")</f>
        <v>https://yt3.ggpht.com/ytc/AKedOLTsWxEDPOrzGG1qT95ldiQ_bPk_8wYY1EsJQA=s88-c-k-c0x00ffffff-no-rj</v>
      </c>
      <c r="AL6" s="80">
        <v>0</v>
      </c>
      <c r="AM6" s="80">
        <v>0</v>
      </c>
      <c r="AN6" s="80">
        <v>54</v>
      </c>
      <c r="AO6" s="80" t="b">
        <v>0</v>
      </c>
      <c r="AP6" s="80">
        <v>0</v>
      </c>
      <c r="AQ6" s="80"/>
      <c r="AR6" s="80"/>
      <c r="AS6" s="80" t="s">
        <v>2085</v>
      </c>
      <c r="AT6" s="85" t="str">
        <f>HYPERLINK("https://www.youtube.com/channel/UCq-5rSVrqrldQrsC1Ec9i2g")</f>
        <v>https://www.youtube.com/channel/UCq-5rSVrqrldQrsC1Ec9i2g</v>
      </c>
      <c r="AU6" s="80" t="str">
        <f>REPLACE(INDEX(GroupVertices[Group],MATCH(Vertices[[#This Row],[Vertex]],GroupVertices[Vertex],0)),1,1,"")</f>
        <v>1</v>
      </c>
      <c r="AV6" s="49">
        <v>0</v>
      </c>
      <c r="AW6" s="50">
        <v>0</v>
      </c>
      <c r="AX6" s="49">
        <v>0</v>
      </c>
      <c r="AY6" s="50">
        <v>0</v>
      </c>
      <c r="AZ6" s="49">
        <v>0</v>
      </c>
      <c r="BA6" s="50">
        <v>0</v>
      </c>
      <c r="BB6" s="49">
        <v>11</v>
      </c>
      <c r="BC6" s="50">
        <v>100</v>
      </c>
      <c r="BD6" s="49">
        <v>11</v>
      </c>
      <c r="BE6" s="49"/>
      <c r="BF6" s="49"/>
      <c r="BG6" s="49"/>
      <c r="BH6" s="49"/>
      <c r="BI6" s="49"/>
      <c r="BJ6" s="49"/>
      <c r="BK6" s="111" t="s">
        <v>3401</v>
      </c>
      <c r="BL6" s="111" t="s">
        <v>3401</v>
      </c>
      <c r="BM6" s="111" t="s">
        <v>3853</v>
      </c>
      <c r="BN6" s="111" t="s">
        <v>3853</v>
      </c>
      <c r="BO6" s="2"/>
      <c r="BP6" s="3"/>
      <c r="BQ6" s="3"/>
      <c r="BR6" s="3"/>
      <c r="BS6" s="3"/>
    </row>
    <row r="7" spans="1:71" ht="15">
      <c r="A7" s="65" t="s">
        <v>341</v>
      </c>
      <c r="B7" s="66"/>
      <c r="C7" s="66"/>
      <c r="D7" s="67">
        <v>150</v>
      </c>
      <c r="E7" s="69"/>
      <c r="F7" s="103" t="str">
        <f>HYPERLINK("https://yt3.ggpht.com/ytc/AKedOLR2UeI_EDJ8ZCL9eCP2npuVps5whe_2fae_qdlb5A=s88-c-k-c0x00ffffff-no-rj")</f>
        <v>https://yt3.ggpht.com/ytc/AKedOLR2UeI_EDJ8ZCL9eCP2npuVps5whe_2fae_qdlb5A=s88-c-k-c0x00ffffff-no-rj</v>
      </c>
      <c r="G7" s="66"/>
      <c r="H7" s="70" t="s">
        <v>1409</v>
      </c>
      <c r="I7" s="71"/>
      <c r="J7" s="71" t="s">
        <v>159</v>
      </c>
      <c r="K7" s="70" t="s">
        <v>1409</v>
      </c>
      <c r="L7" s="74">
        <v>1</v>
      </c>
      <c r="M7" s="75">
        <v>6590.77099609375</v>
      </c>
      <c r="N7" s="75">
        <v>8845.7080078125</v>
      </c>
      <c r="O7" s="76"/>
      <c r="P7" s="77"/>
      <c r="Q7" s="77"/>
      <c r="R7" s="89"/>
      <c r="S7" s="49">
        <v>0</v>
      </c>
      <c r="T7" s="49">
        <v>1</v>
      </c>
      <c r="U7" s="50">
        <v>0</v>
      </c>
      <c r="V7" s="50">
        <v>0.478122</v>
      </c>
      <c r="W7" s="50">
        <v>0.03471</v>
      </c>
      <c r="X7" s="50">
        <v>0.001935</v>
      </c>
      <c r="Y7" s="50">
        <v>0</v>
      </c>
      <c r="Z7" s="50">
        <v>0</v>
      </c>
      <c r="AA7" s="72">
        <v>7</v>
      </c>
      <c r="AB7" s="72"/>
      <c r="AC7" s="73"/>
      <c r="AD7" s="80" t="s">
        <v>1409</v>
      </c>
      <c r="AE7" s="80"/>
      <c r="AF7" s="80"/>
      <c r="AG7" s="80"/>
      <c r="AH7" s="80"/>
      <c r="AI7" s="80" t="s">
        <v>2053</v>
      </c>
      <c r="AJ7" s="87">
        <v>40246.761516203704</v>
      </c>
      <c r="AK7" s="85" t="str">
        <f>HYPERLINK("https://yt3.ggpht.com/ytc/AKedOLR2UeI_EDJ8ZCL9eCP2npuVps5whe_2fae_qdlb5A=s88-c-k-c0x00ffffff-no-rj")</f>
        <v>https://yt3.ggpht.com/ytc/AKedOLR2UeI_EDJ8ZCL9eCP2npuVps5whe_2fae_qdlb5A=s88-c-k-c0x00ffffff-no-rj</v>
      </c>
      <c r="AL7" s="80">
        <v>0</v>
      </c>
      <c r="AM7" s="80">
        <v>0</v>
      </c>
      <c r="AN7" s="80">
        <v>9</v>
      </c>
      <c r="AO7" s="80" t="b">
        <v>0</v>
      </c>
      <c r="AP7" s="80">
        <v>0</v>
      </c>
      <c r="AQ7" s="80"/>
      <c r="AR7" s="80"/>
      <c r="AS7" s="80" t="s">
        <v>2085</v>
      </c>
      <c r="AT7" s="85" t="str">
        <f>HYPERLINK("https://www.youtube.com/channel/UCdFRZWk_0AH8xteTl_PghTg")</f>
        <v>https://www.youtube.com/channel/UCdFRZWk_0AH8xteTl_PghTg</v>
      </c>
      <c r="AU7" s="80" t="str">
        <f>REPLACE(INDEX(GroupVertices[Group],MATCH(Vertices[[#This Row],[Vertex]],GroupVertices[Vertex],0)),1,1,"")</f>
        <v>1</v>
      </c>
      <c r="AV7" s="49">
        <v>0</v>
      </c>
      <c r="AW7" s="50">
        <v>0</v>
      </c>
      <c r="AX7" s="49">
        <v>0</v>
      </c>
      <c r="AY7" s="50">
        <v>0</v>
      </c>
      <c r="AZ7" s="49">
        <v>0</v>
      </c>
      <c r="BA7" s="50">
        <v>0</v>
      </c>
      <c r="BB7" s="49">
        <v>10</v>
      </c>
      <c r="BC7" s="50">
        <v>100</v>
      </c>
      <c r="BD7" s="49">
        <v>10</v>
      </c>
      <c r="BE7" s="49"/>
      <c r="BF7" s="49"/>
      <c r="BG7" s="49"/>
      <c r="BH7" s="49"/>
      <c r="BI7" s="49"/>
      <c r="BJ7" s="49"/>
      <c r="BK7" s="111" t="s">
        <v>3402</v>
      </c>
      <c r="BL7" s="111" t="s">
        <v>3402</v>
      </c>
      <c r="BM7" s="111" t="s">
        <v>3854</v>
      </c>
      <c r="BN7" s="111" t="s">
        <v>3854</v>
      </c>
      <c r="BO7" s="2"/>
      <c r="BP7" s="3"/>
      <c r="BQ7" s="3"/>
      <c r="BR7" s="3"/>
      <c r="BS7" s="3"/>
    </row>
    <row r="8" spans="1:71" ht="15">
      <c r="A8" s="65" t="s">
        <v>342</v>
      </c>
      <c r="B8" s="66"/>
      <c r="C8" s="66"/>
      <c r="D8" s="67">
        <v>150</v>
      </c>
      <c r="E8" s="69"/>
      <c r="F8" s="103" t="str">
        <f>HYPERLINK("https://yt3.ggpht.com/ytc/AKedOLQyiTiCjgQBn0fPRBBx0Fcv3t1Sz8z46M12qQ=s88-c-k-c0x00ffffff-no-rj")</f>
        <v>https://yt3.ggpht.com/ytc/AKedOLQyiTiCjgQBn0fPRBBx0Fcv3t1Sz8z46M12qQ=s88-c-k-c0x00ffffff-no-rj</v>
      </c>
      <c r="G8" s="66"/>
      <c r="H8" s="70" t="s">
        <v>1410</v>
      </c>
      <c r="I8" s="71"/>
      <c r="J8" s="71" t="s">
        <v>159</v>
      </c>
      <c r="K8" s="70" t="s">
        <v>1410</v>
      </c>
      <c r="L8" s="74">
        <v>1</v>
      </c>
      <c r="M8" s="75">
        <v>953.1942138671875</v>
      </c>
      <c r="N8" s="75">
        <v>8008.38818359375</v>
      </c>
      <c r="O8" s="76"/>
      <c r="P8" s="77"/>
      <c r="Q8" s="77"/>
      <c r="R8" s="89"/>
      <c r="S8" s="49">
        <v>0</v>
      </c>
      <c r="T8" s="49">
        <v>1</v>
      </c>
      <c r="U8" s="50">
        <v>0</v>
      </c>
      <c r="V8" s="50">
        <v>0.478122</v>
      </c>
      <c r="W8" s="50">
        <v>0.03471</v>
      </c>
      <c r="X8" s="50">
        <v>0.001935</v>
      </c>
      <c r="Y8" s="50">
        <v>0</v>
      </c>
      <c r="Z8" s="50">
        <v>0</v>
      </c>
      <c r="AA8" s="72">
        <v>8</v>
      </c>
      <c r="AB8" s="72"/>
      <c r="AC8" s="73"/>
      <c r="AD8" s="80" t="s">
        <v>1410</v>
      </c>
      <c r="AE8" s="80"/>
      <c r="AF8" s="80"/>
      <c r="AG8" s="80"/>
      <c r="AH8" s="80"/>
      <c r="AI8" s="80"/>
      <c r="AJ8" s="87">
        <v>39115.671006944445</v>
      </c>
      <c r="AK8" s="85" t="str">
        <f>HYPERLINK("https://yt3.ggpht.com/ytc/AKedOLQyiTiCjgQBn0fPRBBx0Fcv3t1Sz8z46M12qQ=s88-c-k-c0x00ffffff-no-rj")</f>
        <v>https://yt3.ggpht.com/ytc/AKedOLQyiTiCjgQBn0fPRBBx0Fcv3t1Sz8z46M12qQ=s88-c-k-c0x00ffffff-no-rj</v>
      </c>
      <c r="AL8" s="80">
        <v>0</v>
      </c>
      <c r="AM8" s="80">
        <v>0</v>
      </c>
      <c r="AN8" s="80">
        <v>4</v>
      </c>
      <c r="AO8" s="80" t="b">
        <v>0</v>
      </c>
      <c r="AP8" s="80">
        <v>0</v>
      </c>
      <c r="AQ8" s="80"/>
      <c r="AR8" s="80"/>
      <c r="AS8" s="80" t="s">
        <v>2085</v>
      </c>
      <c r="AT8" s="85" t="str">
        <f>HYPERLINK("https://www.youtube.com/channel/UC0g2sWrmHNo0OfJfLqY-_ZQ")</f>
        <v>https://www.youtube.com/channel/UC0g2sWrmHNo0OfJfLqY-_ZQ</v>
      </c>
      <c r="AU8" s="80" t="str">
        <f>REPLACE(INDEX(GroupVertices[Group],MATCH(Vertices[[#This Row],[Vertex]],GroupVertices[Vertex],0)),1,1,"")</f>
        <v>1</v>
      </c>
      <c r="AV8" s="49">
        <v>0</v>
      </c>
      <c r="AW8" s="50">
        <v>0</v>
      </c>
      <c r="AX8" s="49">
        <v>0</v>
      </c>
      <c r="AY8" s="50">
        <v>0</v>
      </c>
      <c r="AZ8" s="49">
        <v>0</v>
      </c>
      <c r="BA8" s="50">
        <v>0</v>
      </c>
      <c r="BB8" s="49">
        <v>15</v>
      </c>
      <c r="BC8" s="50">
        <v>100</v>
      </c>
      <c r="BD8" s="49">
        <v>15</v>
      </c>
      <c r="BE8" s="49"/>
      <c r="BF8" s="49"/>
      <c r="BG8" s="49"/>
      <c r="BH8" s="49"/>
      <c r="BI8" s="49"/>
      <c r="BJ8" s="49"/>
      <c r="BK8" s="111" t="s">
        <v>3403</v>
      </c>
      <c r="BL8" s="111" t="s">
        <v>3403</v>
      </c>
      <c r="BM8" s="111" t="s">
        <v>3855</v>
      </c>
      <c r="BN8" s="111" t="s">
        <v>3855</v>
      </c>
      <c r="BO8" s="2"/>
      <c r="BP8" s="3"/>
      <c r="BQ8" s="3"/>
      <c r="BR8" s="3"/>
      <c r="BS8" s="3"/>
    </row>
    <row r="9" spans="1:71" ht="15">
      <c r="A9" s="65" t="s">
        <v>343</v>
      </c>
      <c r="B9" s="66"/>
      <c r="C9" s="66"/>
      <c r="D9" s="67">
        <v>150</v>
      </c>
      <c r="E9" s="69"/>
      <c r="F9" s="103" t="str">
        <f>HYPERLINK("https://yt3.ggpht.com/ytc/AKedOLTGWjKpPZPyNask9YZBDcrnTezoIU5IvzlQdQ=s88-c-k-c0x00ffffff-no-rj")</f>
        <v>https://yt3.ggpht.com/ytc/AKedOLTGWjKpPZPyNask9YZBDcrnTezoIU5IvzlQdQ=s88-c-k-c0x00ffffff-no-rj</v>
      </c>
      <c r="G9" s="66"/>
      <c r="H9" s="70" t="s">
        <v>1411</v>
      </c>
      <c r="I9" s="71"/>
      <c r="J9" s="71" t="s">
        <v>159</v>
      </c>
      <c r="K9" s="70" t="s">
        <v>1411</v>
      </c>
      <c r="L9" s="74">
        <v>1</v>
      </c>
      <c r="M9" s="75">
        <v>1192.2557373046875</v>
      </c>
      <c r="N9" s="75">
        <v>7959.23388671875</v>
      </c>
      <c r="O9" s="76"/>
      <c r="P9" s="77"/>
      <c r="Q9" s="77"/>
      <c r="R9" s="89"/>
      <c r="S9" s="49">
        <v>0</v>
      </c>
      <c r="T9" s="49">
        <v>1</v>
      </c>
      <c r="U9" s="50">
        <v>0</v>
      </c>
      <c r="V9" s="50">
        <v>0.478122</v>
      </c>
      <c r="W9" s="50">
        <v>0.03471</v>
      </c>
      <c r="X9" s="50">
        <v>0.001935</v>
      </c>
      <c r="Y9" s="50">
        <v>0</v>
      </c>
      <c r="Z9" s="50">
        <v>0</v>
      </c>
      <c r="AA9" s="72">
        <v>9</v>
      </c>
      <c r="AB9" s="72"/>
      <c r="AC9" s="73"/>
      <c r="AD9" s="80" t="s">
        <v>1411</v>
      </c>
      <c r="AE9" s="80"/>
      <c r="AF9" s="80"/>
      <c r="AG9" s="80"/>
      <c r="AH9" s="80"/>
      <c r="AI9" s="80"/>
      <c r="AJ9" s="87">
        <v>39661.90210648148</v>
      </c>
      <c r="AK9" s="85" t="str">
        <f>HYPERLINK("https://yt3.ggpht.com/ytc/AKedOLTGWjKpPZPyNask9YZBDcrnTezoIU5IvzlQdQ=s88-c-k-c0x00ffffff-no-rj")</f>
        <v>https://yt3.ggpht.com/ytc/AKedOLTGWjKpPZPyNask9YZBDcrnTezoIU5IvzlQdQ=s88-c-k-c0x00ffffff-no-rj</v>
      </c>
      <c r="AL9" s="80">
        <v>0</v>
      </c>
      <c r="AM9" s="80">
        <v>0</v>
      </c>
      <c r="AN9" s="80">
        <v>4</v>
      </c>
      <c r="AO9" s="80" t="b">
        <v>0</v>
      </c>
      <c r="AP9" s="80">
        <v>0</v>
      </c>
      <c r="AQ9" s="80"/>
      <c r="AR9" s="80"/>
      <c r="AS9" s="80" t="s">
        <v>2085</v>
      </c>
      <c r="AT9" s="85" t="str">
        <f>HYPERLINK("https://www.youtube.com/channel/UCmZiXelUcA2UFIGMLMD0ZkA")</f>
        <v>https://www.youtube.com/channel/UCmZiXelUcA2UFIGMLMD0ZkA</v>
      </c>
      <c r="AU9" s="80" t="str">
        <f>REPLACE(INDEX(GroupVertices[Group],MATCH(Vertices[[#This Row],[Vertex]],GroupVertices[Vertex],0)),1,1,"")</f>
        <v>1</v>
      </c>
      <c r="AV9" s="49">
        <v>1</v>
      </c>
      <c r="AW9" s="50">
        <v>100</v>
      </c>
      <c r="AX9" s="49">
        <v>0</v>
      </c>
      <c r="AY9" s="50">
        <v>0</v>
      </c>
      <c r="AZ9" s="49">
        <v>0</v>
      </c>
      <c r="BA9" s="50">
        <v>0</v>
      </c>
      <c r="BB9" s="49">
        <v>0</v>
      </c>
      <c r="BC9" s="50">
        <v>0</v>
      </c>
      <c r="BD9" s="49">
        <v>1</v>
      </c>
      <c r="BE9" s="49"/>
      <c r="BF9" s="49"/>
      <c r="BG9" s="49"/>
      <c r="BH9" s="49"/>
      <c r="BI9" s="49"/>
      <c r="BJ9" s="49"/>
      <c r="BK9" s="111" t="s">
        <v>796</v>
      </c>
      <c r="BL9" s="111" t="s">
        <v>796</v>
      </c>
      <c r="BM9" s="111" t="s">
        <v>1927</v>
      </c>
      <c r="BN9" s="111" t="s">
        <v>1927</v>
      </c>
      <c r="BO9" s="2"/>
      <c r="BP9" s="3"/>
      <c r="BQ9" s="3"/>
      <c r="BR9" s="3"/>
      <c r="BS9" s="3"/>
    </row>
    <row r="10" spans="1:71" ht="15">
      <c r="A10" s="65" t="s">
        <v>344</v>
      </c>
      <c r="B10" s="66"/>
      <c r="C10" s="66"/>
      <c r="D10" s="67">
        <v>150</v>
      </c>
      <c r="E10" s="69"/>
      <c r="F10" s="103" t="str">
        <f>HYPERLINK("https://yt3.ggpht.com/ytc/AKedOLRIpyFrX1-6E_CfQyQTcqIQ73mXd3uelcmPRKlj=s88-c-k-c0x00ffffff-no-rj")</f>
        <v>https://yt3.ggpht.com/ytc/AKedOLRIpyFrX1-6E_CfQyQTcqIQ73mXd3uelcmPRKlj=s88-c-k-c0x00ffffff-no-rj</v>
      </c>
      <c r="G10" s="66"/>
      <c r="H10" s="70" t="s">
        <v>1412</v>
      </c>
      <c r="I10" s="71"/>
      <c r="J10" s="71" t="s">
        <v>159</v>
      </c>
      <c r="K10" s="70" t="s">
        <v>1412</v>
      </c>
      <c r="L10" s="74">
        <v>1</v>
      </c>
      <c r="M10" s="75">
        <v>2796.03271484375</v>
      </c>
      <c r="N10" s="75">
        <v>7856.53515625</v>
      </c>
      <c r="O10" s="76"/>
      <c r="P10" s="77"/>
      <c r="Q10" s="77"/>
      <c r="R10" s="89"/>
      <c r="S10" s="49">
        <v>0</v>
      </c>
      <c r="T10" s="49">
        <v>1</v>
      </c>
      <c r="U10" s="50">
        <v>0</v>
      </c>
      <c r="V10" s="50">
        <v>0.478122</v>
      </c>
      <c r="W10" s="50">
        <v>0.03471</v>
      </c>
      <c r="X10" s="50">
        <v>0.001935</v>
      </c>
      <c r="Y10" s="50">
        <v>0</v>
      </c>
      <c r="Z10" s="50">
        <v>0</v>
      </c>
      <c r="AA10" s="72">
        <v>10</v>
      </c>
      <c r="AB10" s="72"/>
      <c r="AC10" s="73"/>
      <c r="AD10" s="80" t="s">
        <v>1412</v>
      </c>
      <c r="AE10" s="80"/>
      <c r="AF10" s="80"/>
      <c r="AG10" s="80"/>
      <c r="AH10" s="80"/>
      <c r="AI10" s="80"/>
      <c r="AJ10" s="87">
        <v>40088.241631944446</v>
      </c>
      <c r="AK10" s="85" t="str">
        <f>HYPERLINK("https://yt3.ggpht.com/ytc/AKedOLRIpyFrX1-6E_CfQyQTcqIQ73mXd3uelcmPRKlj=s88-c-k-c0x00ffffff-no-rj")</f>
        <v>https://yt3.ggpht.com/ytc/AKedOLRIpyFrX1-6E_CfQyQTcqIQ73mXd3uelcmPRKlj=s88-c-k-c0x00ffffff-no-rj</v>
      </c>
      <c r="AL10" s="80">
        <v>2724</v>
      </c>
      <c r="AM10" s="80">
        <v>0</v>
      </c>
      <c r="AN10" s="80">
        <v>50</v>
      </c>
      <c r="AO10" s="80" t="b">
        <v>0</v>
      </c>
      <c r="AP10" s="80">
        <v>112</v>
      </c>
      <c r="AQ10" s="80"/>
      <c r="AR10" s="80"/>
      <c r="AS10" s="80" t="s">
        <v>2085</v>
      </c>
      <c r="AT10" s="85" t="str">
        <f>HYPERLINK("https://www.youtube.com/channel/UCxJxernZ1l51Mw8cJYJevFw")</f>
        <v>https://www.youtube.com/channel/UCxJxernZ1l51Mw8cJYJevFw</v>
      </c>
      <c r="AU10" s="80" t="str">
        <f>REPLACE(INDEX(GroupVertices[Group],MATCH(Vertices[[#This Row],[Vertex]],GroupVertices[Vertex],0)),1,1,"")</f>
        <v>1</v>
      </c>
      <c r="AV10" s="49">
        <v>1</v>
      </c>
      <c r="AW10" s="50">
        <v>33.333333333333336</v>
      </c>
      <c r="AX10" s="49">
        <v>1</v>
      </c>
      <c r="AY10" s="50">
        <v>33.333333333333336</v>
      </c>
      <c r="AZ10" s="49">
        <v>0</v>
      </c>
      <c r="BA10" s="50">
        <v>0</v>
      </c>
      <c r="BB10" s="49">
        <v>1</v>
      </c>
      <c r="BC10" s="50">
        <v>33.333333333333336</v>
      </c>
      <c r="BD10" s="49">
        <v>3</v>
      </c>
      <c r="BE10" s="49"/>
      <c r="BF10" s="49"/>
      <c r="BG10" s="49"/>
      <c r="BH10" s="49"/>
      <c r="BI10" s="49"/>
      <c r="BJ10" s="49"/>
      <c r="BK10" s="111" t="s">
        <v>3404</v>
      </c>
      <c r="BL10" s="111" t="s">
        <v>3404</v>
      </c>
      <c r="BM10" s="111" t="s">
        <v>3856</v>
      </c>
      <c r="BN10" s="111" t="s">
        <v>3856</v>
      </c>
      <c r="BO10" s="2"/>
      <c r="BP10" s="3"/>
      <c r="BQ10" s="3"/>
      <c r="BR10" s="3"/>
      <c r="BS10" s="3"/>
    </row>
    <row r="11" spans="1:71" ht="15">
      <c r="A11" s="65" t="s">
        <v>345</v>
      </c>
      <c r="B11" s="66"/>
      <c r="C11" s="66"/>
      <c r="D11" s="67">
        <v>150</v>
      </c>
      <c r="E11" s="69"/>
      <c r="F11" s="103" t="str">
        <f>HYPERLINK("https://yt3.ggpht.com/ytc/AKedOLTSdJPOPf_yE5YQTJ7lvTpBsF689BzG_iBO9TUKVA=s88-c-k-c0x00ffffff-no-rj")</f>
        <v>https://yt3.ggpht.com/ytc/AKedOLTSdJPOPf_yE5YQTJ7lvTpBsF689BzG_iBO9TUKVA=s88-c-k-c0x00ffffff-no-rj</v>
      </c>
      <c r="G11" s="66"/>
      <c r="H11" s="70" t="s">
        <v>1413</v>
      </c>
      <c r="I11" s="71"/>
      <c r="J11" s="71" t="s">
        <v>159</v>
      </c>
      <c r="K11" s="70" t="s">
        <v>1413</v>
      </c>
      <c r="L11" s="74">
        <v>1</v>
      </c>
      <c r="M11" s="75">
        <v>2634.3056640625</v>
      </c>
      <c r="N11" s="75">
        <v>2899.775634765625</v>
      </c>
      <c r="O11" s="76"/>
      <c r="P11" s="77"/>
      <c r="Q11" s="77"/>
      <c r="R11" s="89"/>
      <c r="S11" s="49">
        <v>0</v>
      </c>
      <c r="T11" s="49">
        <v>1</v>
      </c>
      <c r="U11" s="50">
        <v>0</v>
      </c>
      <c r="V11" s="50">
        <v>0.478122</v>
      </c>
      <c r="W11" s="50">
        <v>0.03471</v>
      </c>
      <c r="X11" s="50">
        <v>0.001935</v>
      </c>
      <c r="Y11" s="50">
        <v>0</v>
      </c>
      <c r="Z11" s="50">
        <v>0</v>
      </c>
      <c r="AA11" s="72">
        <v>11</v>
      </c>
      <c r="AB11" s="72"/>
      <c r="AC11" s="73"/>
      <c r="AD11" s="80" t="s">
        <v>1413</v>
      </c>
      <c r="AE11" s="80" t="s">
        <v>1944</v>
      </c>
      <c r="AF11" s="80"/>
      <c r="AG11" s="80"/>
      <c r="AH11" s="80"/>
      <c r="AI11" s="80"/>
      <c r="AJ11" s="87">
        <v>40793.08059027778</v>
      </c>
      <c r="AK11" s="85" t="str">
        <f>HYPERLINK("https://yt3.ggpht.com/ytc/AKedOLTSdJPOPf_yE5YQTJ7lvTpBsF689BzG_iBO9TUKVA=s88-c-k-c0x00ffffff-no-rj")</f>
        <v>https://yt3.ggpht.com/ytc/AKedOLTSdJPOPf_yE5YQTJ7lvTpBsF689BzG_iBO9TUKVA=s88-c-k-c0x00ffffff-no-rj</v>
      </c>
      <c r="AL11" s="80">
        <v>0</v>
      </c>
      <c r="AM11" s="80">
        <v>0</v>
      </c>
      <c r="AN11" s="80">
        <v>6</v>
      </c>
      <c r="AO11" s="80" t="b">
        <v>0</v>
      </c>
      <c r="AP11" s="80">
        <v>0</v>
      </c>
      <c r="AQ11" s="80"/>
      <c r="AR11" s="80"/>
      <c r="AS11" s="80" t="s">
        <v>2085</v>
      </c>
      <c r="AT11" s="85" t="str">
        <f>HYPERLINK("https://www.youtube.com/channel/UCjz9CCl1iTxmGe1OUnlTZlg")</f>
        <v>https://www.youtube.com/channel/UCjz9CCl1iTxmGe1OUnlTZlg</v>
      </c>
      <c r="AU11" s="80" t="str">
        <f>REPLACE(INDEX(GroupVertices[Group],MATCH(Vertices[[#This Row],[Vertex]],GroupVertices[Vertex],0)),1,1,"")</f>
        <v>1</v>
      </c>
      <c r="AV11" s="49">
        <v>0</v>
      </c>
      <c r="AW11" s="50">
        <v>0</v>
      </c>
      <c r="AX11" s="49">
        <v>0</v>
      </c>
      <c r="AY11" s="50">
        <v>0</v>
      </c>
      <c r="AZ11" s="49">
        <v>0</v>
      </c>
      <c r="BA11" s="50">
        <v>0</v>
      </c>
      <c r="BB11" s="49">
        <v>5</v>
      </c>
      <c r="BC11" s="50">
        <v>100</v>
      </c>
      <c r="BD11" s="49">
        <v>5</v>
      </c>
      <c r="BE11" s="49"/>
      <c r="BF11" s="49"/>
      <c r="BG11" s="49"/>
      <c r="BH11" s="49"/>
      <c r="BI11" s="49"/>
      <c r="BJ11" s="49"/>
      <c r="BK11" s="111" t="s">
        <v>3405</v>
      </c>
      <c r="BL11" s="111" t="s">
        <v>3405</v>
      </c>
      <c r="BM11" s="111" t="s">
        <v>1927</v>
      </c>
      <c r="BN11" s="111" t="s">
        <v>1927</v>
      </c>
      <c r="BO11" s="2"/>
      <c r="BP11" s="3"/>
      <c r="BQ11" s="3"/>
      <c r="BR11" s="3"/>
      <c r="BS11" s="3"/>
    </row>
    <row r="12" spans="1:71" ht="15">
      <c r="A12" s="65" t="s">
        <v>346</v>
      </c>
      <c r="B12" s="66"/>
      <c r="C12" s="66"/>
      <c r="D12" s="67">
        <v>150</v>
      </c>
      <c r="E12" s="69"/>
      <c r="F12" s="103" t="str">
        <f>HYPERLINK("https://yt3.ggpht.com/ytc/AKedOLQYvlzMOTcC3ZoKhHrTqLiGaCDkdvRXMlmxxQ=s88-c-k-c0x00ffffff-no-rj")</f>
        <v>https://yt3.ggpht.com/ytc/AKedOLQYvlzMOTcC3ZoKhHrTqLiGaCDkdvRXMlmxxQ=s88-c-k-c0x00ffffff-no-rj</v>
      </c>
      <c r="G12" s="66"/>
      <c r="H12" s="70" t="s">
        <v>1414</v>
      </c>
      <c r="I12" s="71"/>
      <c r="J12" s="71" t="s">
        <v>159</v>
      </c>
      <c r="K12" s="70" t="s">
        <v>1414</v>
      </c>
      <c r="L12" s="74">
        <v>1</v>
      </c>
      <c r="M12" s="75">
        <v>5573.96826171875</v>
      </c>
      <c r="N12" s="75">
        <v>5982.35205078125</v>
      </c>
      <c r="O12" s="76"/>
      <c r="P12" s="77"/>
      <c r="Q12" s="77"/>
      <c r="R12" s="89"/>
      <c r="S12" s="49">
        <v>0</v>
      </c>
      <c r="T12" s="49">
        <v>1</v>
      </c>
      <c r="U12" s="50">
        <v>0</v>
      </c>
      <c r="V12" s="50">
        <v>0.478122</v>
      </c>
      <c r="W12" s="50">
        <v>0.03471</v>
      </c>
      <c r="X12" s="50">
        <v>0.001935</v>
      </c>
      <c r="Y12" s="50">
        <v>0</v>
      </c>
      <c r="Z12" s="50">
        <v>0</v>
      </c>
      <c r="AA12" s="72">
        <v>12</v>
      </c>
      <c r="AB12" s="72"/>
      <c r="AC12" s="73"/>
      <c r="AD12" s="80" t="s">
        <v>1414</v>
      </c>
      <c r="AE12" s="80"/>
      <c r="AF12" s="80"/>
      <c r="AG12" s="80"/>
      <c r="AH12" s="80"/>
      <c r="AI12" s="80"/>
      <c r="AJ12" s="87">
        <v>41007.62262731481</v>
      </c>
      <c r="AK12" s="85" t="str">
        <f>HYPERLINK("https://yt3.ggpht.com/ytc/AKedOLQYvlzMOTcC3ZoKhHrTqLiGaCDkdvRXMlmxxQ=s88-c-k-c0x00ffffff-no-rj")</f>
        <v>https://yt3.ggpht.com/ytc/AKedOLQYvlzMOTcC3ZoKhHrTqLiGaCDkdvRXMlmxxQ=s88-c-k-c0x00ffffff-no-rj</v>
      </c>
      <c r="AL12" s="80">
        <v>0</v>
      </c>
      <c r="AM12" s="80">
        <v>0</v>
      </c>
      <c r="AN12" s="80">
        <v>0</v>
      </c>
      <c r="AO12" s="80" t="b">
        <v>0</v>
      </c>
      <c r="AP12" s="80">
        <v>0</v>
      </c>
      <c r="AQ12" s="80"/>
      <c r="AR12" s="80"/>
      <c r="AS12" s="80" t="s">
        <v>2085</v>
      </c>
      <c r="AT12" s="85" t="str">
        <f>HYPERLINK("https://www.youtube.com/channel/UCdltSbWm9lJIhMfl8FmGG5Q")</f>
        <v>https://www.youtube.com/channel/UCdltSbWm9lJIhMfl8FmGG5Q</v>
      </c>
      <c r="AU12" s="80" t="str">
        <f>REPLACE(INDEX(GroupVertices[Group],MATCH(Vertices[[#This Row],[Vertex]],GroupVertices[Vertex],0)),1,1,"")</f>
        <v>1</v>
      </c>
      <c r="AV12" s="49">
        <v>0</v>
      </c>
      <c r="AW12" s="50">
        <v>0</v>
      </c>
      <c r="AX12" s="49">
        <v>4</v>
      </c>
      <c r="AY12" s="50">
        <v>6.349206349206349</v>
      </c>
      <c r="AZ12" s="49">
        <v>0</v>
      </c>
      <c r="BA12" s="50">
        <v>0</v>
      </c>
      <c r="BB12" s="49">
        <v>59</v>
      </c>
      <c r="BC12" s="50">
        <v>93.65079365079364</v>
      </c>
      <c r="BD12" s="49">
        <v>63</v>
      </c>
      <c r="BE12" s="49"/>
      <c r="BF12" s="49"/>
      <c r="BG12" s="49"/>
      <c r="BH12" s="49"/>
      <c r="BI12" s="49"/>
      <c r="BJ12" s="49"/>
      <c r="BK12" s="111" t="s">
        <v>3406</v>
      </c>
      <c r="BL12" s="111" t="s">
        <v>3406</v>
      </c>
      <c r="BM12" s="111" t="s">
        <v>3857</v>
      </c>
      <c r="BN12" s="111" t="s">
        <v>3857</v>
      </c>
      <c r="BO12" s="2"/>
      <c r="BP12" s="3"/>
      <c r="BQ12" s="3"/>
      <c r="BR12" s="3"/>
      <c r="BS12" s="3"/>
    </row>
    <row r="13" spans="1:71" ht="15">
      <c r="A13" s="65" t="s">
        <v>347</v>
      </c>
      <c r="B13" s="66"/>
      <c r="C13" s="66"/>
      <c r="D13" s="67">
        <v>150</v>
      </c>
      <c r="E13" s="69"/>
      <c r="F13" s="103" t="str">
        <f>HYPERLINK("https://yt3.ggpht.com/ytc/AKedOLQ3A4SvAgZNe_-edQCLJXa59rkhmQsJc69dh4IDRg=s88-c-k-c0x00ffffff-no-rj")</f>
        <v>https://yt3.ggpht.com/ytc/AKedOLQ3A4SvAgZNe_-edQCLJXa59rkhmQsJc69dh4IDRg=s88-c-k-c0x00ffffff-no-rj</v>
      </c>
      <c r="G13" s="66"/>
      <c r="H13" s="70" t="s">
        <v>1415</v>
      </c>
      <c r="I13" s="71"/>
      <c r="J13" s="71" t="s">
        <v>159</v>
      </c>
      <c r="K13" s="70" t="s">
        <v>1415</v>
      </c>
      <c r="L13" s="74">
        <v>1</v>
      </c>
      <c r="M13" s="75">
        <v>5434.47412109375</v>
      </c>
      <c r="N13" s="75">
        <v>1503.4552001953125</v>
      </c>
      <c r="O13" s="76"/>
      <c r="P13" s="77"/>
      <c r="Q13" s="77"/>
      <c r="R13" s="89"/>
      <c r="S13" s="49">
        <v>0</v>
      </c>
      <c r="T13" s="49">
        <v>1</v>
      </c>
      <c r="U13" s="50">
        <v>0</v>
      </c>
      <c r="V13" s="50">
        <v>0.478122</v>
      </c>
      <c r="W13" s="50">
        <v>0.03471</v>
      </c>
      <c r="X13" s="50">
        <v>0.001935</v>
      </c>
      <c r="Y13" s="50">
        <v>0</v>
      </c>
      <c r="Z13" s="50">
        <v>0</v>
      </c>
      <c r="AA13" s="72">
        <v>13</v>
      </c>
      <c r="AB13" s="72"/>
      <c r="AC13" s="73"/>
      <c r="AD13" s="80" t="s">
        <v>1415</v>
      </c>
      <c r="AE13" s="80" t="s">
        <v>1945</v>
      </c>
      <c r="AF13" s="80"/>
      <c r="AG13" s="80"/>
      <c r="AH13" s="80"/>
      <c r="AI13" s="80" t="s">
        <v>2054</v>
      </c>
      <c r="AJ13" s="87">
        <v>40507.0447337963</v>
      </c>
      <c r="AK13" s="85" t="str">
        <f>HYPERLINK("https://yt3.ggpht.com/ytc/AKedOLQ3A4SvAgZNe_-edQCLJXa59rkhmQsJc69dh4IDRg=s88-c-k-c0x00ffffff-no-rj")</f>
        <v>https://yt3.ggpht.com/ytc/AKedOLQ3A4SvAgZNe_-edQCLJXa59rkhmQsJc69dh4IDRg=s88-c-k-c0x00ffffff-no-rj</v>
      </c>
      <c r="AL13" s="80">
        <v>12009</v>
      </c>
      <c r="AM13" s="80">
        <v>0</v>
      </c>
      <c r="AN13" s="80">
        <v>35</v>
      </c>
      <c r="AO13" s="80" t="b">
        <v>0</v>
      </c>
      <c r="AP13" s="80">
        <v>13</v>
      </c>
      <c r="AQ13" s="80"/>
      <c r="AR13" s="80"/>
      <c r="AS13" s="80" t="s">
        <v>2085</v>
      </c>
      <c r="AT13" s="85" t="str">
        <f>HYPERLINK("https://www.youtube.com/channel/UCRtq4i56vn5UYRK8kJolQEg")</f>
        <v>https://www.youtube.com/channel/UCRtq4i56vn5UYRK8kJolQEg</v>
      </c>
      <c r="AU13" s="80" t="str">
        <f>REPLACE(INDEX(GroupVertices[Group],MATCH(Vertices[[#This Row],[Vertex]],GroupVertices[Vertex],0)),1,1,"")</f>
        <v>1</v>
      </c>
      <c r="AV13" s="49">
        <v>1</v>
      </c>
      <c r="AW13" s="50">
        <v>25</v>
      </c>
      <c r="AX13" s="49">
        <v>0</v>
      </c>
      <c r="AY13" s="50">
        <v>0</v>
      </c>
      <c r="AZ13" s="49">
        <v>0</v>
      </c>
      <c r="BA13" s="50">
        <v>0</v>
      </c>
      <c r="BB13" s="49">
        <v>3</v>
      </c>
      <c r="BC13" s="50">
        <v>75</v>
      </c>
      <c r="BD13" s="49">
        <v>4</v>
      </c>
      <c r="BE13" s="49"/>
      <c r="BF13" s="49"/>
      <c r="BG13" s="49"/>
      <c r="BH13" s="49"/>
      <c r="BI13" s="49"/>
      <c r="BJ13" s="49"/>
      <c r="BK13" s="111" t="s">
        <v>3407</v>
      </c>
      <c r="BL13" s="111" t="s">
        <v>3407</v>
      </c>
      <c r="BM13" s="111" t="s">
        <v>3858</v>
      </c>
      <c r="BN13" s="111" t="s">
        <v>3858</v>
      </c>
      <c r="BO13" s="2"/>
      <c r="BP13" s="3"/>
      <c r="BQ13" s="3"/>
      <c r="BR13" s="3"/>
      <c r="BS13" s="3"/>
    </row>
    <row r="14" spans="1:71" ht="15">
      <c r="A14" s="65" t="s">
        <v>348</v>
      </c>
      <c r="B14" s="66"/>
      <c r="C14" s="66"/>
      <c r="D14" s="67">
        <v>150</v>
      </c>
      <c r="E14" s="69"/>
      <c r="F14" s="103" t="str">
        <f>HYPERLINK("https://yt3.ggpht.com/ytc/AKedOLTFm9dVbgGUGNJ-7vHJIV6LgFC3ZExnYt9Yh2h8=s88-c-k-c0x00ffffff-no-rj")</f>
        <v>https://yt3.ggpht.com/ytc/AKedOLTFm9dVbgGUGNJ-7vHJIV6LgFC3ZExnYt9Yh2h8=s88-c-k-c0x00ffffff-no-rj</v>
      </c>
      <c r="G14" s="66"/>
      <c r="H14" s="70" t="s">
        <v>1416</v>
      </c>
      <c r="I14" s="71"/>
      <c r="J14" s="71" t="s">
        <v>159</v>
      </c>
      <c r="K14" s="70" t="s">
        <v>1416</v>
      </c>
      <c r="L14" s="74">
        <v>1</v>
      </c>
      <c r="M14" s="75">
        <v>4417.216796875</v>
      </c>
      <c r="N14" s="75">
        <v>7576.6455078125</v>
      </c>
      <c r="O14" s="76"/>
      <c r="P14" s="77"/>
      <c r="Q14" s="77"/>
      <c r="R14" s="89"/>
      <c r="S14" s="49">
        <v>0</v>
      </c>
      <c r="T14" s="49">
        <v>1</v>
      </c>
      <c r="U14" s="50">
        <v>0</v>
      </c>
      <c r="V14" s="50">
        <v>0.478122</v>
      </c>
      <c r="W14" s="50">
        <v>0.03471</v>
      </c>
      <c r="X14" s="50">
        <v>0.001935</v>
      </c>
      <c r="Y14" s="50">
        <v>0</v>
      </c>
      <c r="Z14" s="50">
        <v>0</v>
      </c>
      <c r="AA14" s="72">
        <v>14</v>
      </c>
      <c r="AB14" s="72"/>
      <c r="AC14" s="73"/>
      <c r="AD14" s="80" t="s">
        <v>1416</v>
      </c>
      <c r="AE14" s="80"/>
      <c r="AF14" s="80"/>
      <c r="AG14" s="80"/>
      <c r="AH14" s="80"/>
      <c r="AI14" s="80"/>
      <c r="AJ14" s="87">
        <v>38910.12525462963</v>
      </c>
      <c r="AK14" s="85" t="str">
        <f>HYPERLINK("https://yt3.ggpht.com/ytc/AKedOLTFm9dVbgGUGNJ-7vHJIV6LgFC3ZExnYt9Yh2h8=s88-c-k-c0x00ffffff-no-rj")</f>
        <v>https://yt3.ggpht.com/ytc/AKedOLTFm9dVbgGUGNJ-7vHJIV6LgFC3ZExnYt9Yh2h8=s88-c-k-c0x00ffffff-no-rj</v>
      </c>
      <c r="AL14" s="80">
        <v>0</v>
      </c>
      <c r="AM14" s="80">
        <v>0</v>
      </c>
      <c r="AN14" s="80">
        <v>14</v>
      </c>
      <c r="AO14" s="80" t="b">
        <v>0</v>
      </c>
      <c r="AP14" s="80">
        <v>0</v>
      </c>
      <c r="AQ14" s="80"/>
      <c r="AR14" s="80"/>
      <c r="AS14" s="80" t="s">
        <v>2085</v>
      </c>
      <c r="AT14" s="85" t="str">
        <f>HYPERLINK("https://www.youtube.com/channel/UCZCKSdOmcCvKpjKGwtBX_Mg")</f>
        <v>https://www.youtube.com/channel/UCZCKSdOmcCvKpjKGwtBX_Mg</v>
      </c>
      <c r="AU14" s="80" t="str">
        <f>REPLACE(INDEX(GroupVertices[Group],MATCH(Vertices[[#This Row],[Vertex]],GroupVertices[Vertex],0)),1,1,"")</f>
        <v>1</v>
      </c>
      <c r="AV14" s="49">
        <v>1</v>
      </c>
      <c r="AW14" s="50">
        <v>4.545454545454546</v>
      </c>
      <c r="AX14" s="49">
        <v>1</v>
      </c>
      <c r="AY14" s="50">
        <v>4.545454545454546</v>
      </c>
      <c r="AZ14" s="49">
        <v>0</v>
      </c>
      <c r="BA14" s="50">
        <v>0</v>
      </c>
      <c r="BB14" s="49">
        <v>20</v>
      </c>
      <c r="BC14" s="50">
        <v>90.9090909090909</v>
      </c>
      <c r="BD14" s="49">
        <v>22</v>
      </c>
      <c r="BE14" s="49"/>
      <c r="BF14" s="49"/>
      <c r="BG14" s="49"/>
      <c r="BH14" s="49"/>
      <c r="BI14" s="49"/>
      <c r="BJ14" s="49"/>
      <c r="BK14" s="111" t="s">
        <v>3408</v>
      </c>
      <c r="BL14" s="111" t="s">
        <v>3408</v>
      </c>
      <c r="BM14" s="111" t="s">
        <v>3859</v>
      </c>
      <c r="BN14" s="111" t="s">
        <v>3859</v>
      </c>
      <c r="BO14" s="2"/>
      <c r="BP14" s="3"/>
      <c r="BQ14" s="3"/>
      <c r="BR14" s="3"/>
      <c r="BS14" s="3"/>
    </row>
    <row r="15" spans="1:71" ht="15">
      <c r="A15" s="65" t="s">
        <v>349</v>
      </c>
      <c r="B15" s="66"/>
      <c r="C15" s="66"/>
      <c r="D15" s="67">
        <v>150</v>
      </c>
      <c r="E15" s="69"/>
      <c r="F15" s="103" t="str">
        <f>HYPERLINK("https://yt3.ggpht.com/ytc/AKedOLQ1uBbZEO4gwKhdoXKqN3VGh4NreHAiShvf1A=s88-c-k-c0x00ffffff-no-rj")</f>
        <v>https://yt3.ggpht.com/ytc/AKedOLQ1uBbZEO4gwKhdoXKqN3VGh4NreHAiShvf1A=s88-c-k-c0x00ffffff-no-rj</v>
      </c>
      <c r="G15" s="66"/>
      <c r="H15" s="70" t="s">
        <v>1417</v>
      </c>
      <c r="I15" s="71"/>
      <c r="J15" s="71" t="s">
        <v>159</v>
      </c>
      <c r="K15" s="70" t="s">
        <v>1417</v>
      </c>
      <c r="L15" s="74">
        <v>1</v>
      </c>
      <c r="M15" s="75">
        <v>166.3491973876953</v>
      </c>
      <c r="N15" s="75">
        <v>4666.9072265625</v>
      </c>
      <c r="O15" s="76"/>
      <c r="P15" s="77"/>
      <c r="Q15" s="77"/>
      <c r="R15" s="89"/>
      <c r="S15" s="49">
        <v>0</v>
      </c>
      <c r="T15" s="49">
        <v>1</v>
      </c>
      <c r="U15" s="50">
        <v>0</v>
      </c>
      <c r="V15" s="50">
        <v>0.478122</v>
      </c>
      <c r="W15" s="50">
        <v>0.03471</v>
      </c>
      <c r="X15" s="50">
        <v>0.001935</v>
      </c>
      <c r="Y15" s="50">
        <v>0</v>
      </c>
      <c r="Z15" s="50">
        <v>0</v>
      </c>
      <c r="AA15" s="72">
        <v>15</v>
      </c>
      <c r="AB15" s="72"/>
      <c r="AC15" s="73"/>
      <c r="AD15" s="80" t="s">
        <v>1417</v>
      </c>
      <c r="AE15" s="80"/>
      <c r="AF15" s="80"/>
      <c r="AG15" s="80"/>
      <c r="AH15" s="80"/>
      <c r="AI15" s="80"/>
      <c r="AJ15" s="87">
        <v>40188.06898148148</v>
      </c>
      <c r="AK15" s="85" t="str">
        <f>HYPERLINK("https://yt3.ggpht.com/ytc/AKedOLQ1uBbZEO4gwKhdoXKqN3VGh4NreHAiShvf1A=s88-c-k-c0x00ffffff-no-rj")</f>
        <v>https://yt3.ggpht.com/ytc/AKedOLQ1uBbZEO4gwKhdoXKqN3VGh4NreHAiShvf1A=s88-c-k-c0x00ffffff-no-rj</v>
      </c>
      <c r="AL15" s="80">
        <v>61</v>
      </c>
      <c r="AM15" s="80">
        <v>0</v>
      </c>
      <c r="AN15" s="80">
        <v>6</v>
      </c>
      <c r="AO15" s="80" t="b">
        <v>0</v>
      </c>
      <c r="AP15" s="80">
        <v>1</v>
      </c>
      <c r="AQ15" s="80"/>
      <c r="AR15" s="80"/>
      <c r="AS15" s="80" t="s">
        <v>2085</v>
      </c>
      <c r="AT15" s="85" t="str">
        <f>HYPERLINK("https://www.youtube.com/channel/UCMZmRotvr03iokIMtRNN_LQ")</f>
        <v>https://www.youtube.com/channel/UCMZmRotvr03iokIMtRNN_LQ</v>
      </c>
      <c r="AU15" s="80" t="str">
        <f>REPLACE(INDEX(GroupVertices[Group],MATCH(Vertices[[#This Row],[Vertex]],GroupVertices[Vertex],0)),1,1,"")</f>
        <v>1</v>
      </c>
      <c r="AV15" s="49">
        <v>4</v>
      </c>
      <c r="AW15" s="50">
        <v>5.128205128205129</v>
      </c>
      <c r="AX15" s="49">
        <v>0</v>
      </c>
      <c r="AY15" s="50">
        <v>0</v>
      </c>
      <c r="AZ15" s="49">
        <v>0</v>
      </c>
      <c r="BA15" s="50">
        <v>0</v>
      </c>
      <c r="BB15" s="49">
        <v>74</v>
      </c>
      <c r="BC15" s="50">
        <v>94.87179487179488</v>
      </c>
      <c r="BD15" s="49">
        <v>78</v>
      </c>
      <c r="BE15" s="49"/>
      <c r="BF15" s="49"/>
      <c r="BG15" s="49"/>
      <c r="BH15" s="49"/>
      <c r="BI15" s="49"/>
      <c r="BJ15" s="49"/>
      <c r="BK15" s="111" t="s">
        <v>3409</v>
      </c>
      <c r="BL15" s="111" t="s">
        <v>3409</v>
      </c>
      <c r="BM15" s="111" t="s">
        <v>3860</v>
      </c>
      <c r="BN15" s="111" t="s">
        <v>3860</v>
      </c>
      <c r="BO15" s="2"/>
      <c r="BP15" s="3"/>
      <c r="BQ15" s="3"/>
      <c r="BR15" s="3"/>
      <c r="BS15" s="3"/>
    </row>
    <row r="16" spans="1:71" ht="15">
      <c r="A16" s="65" t="s">
        <v>350</v>
      </c>
      <c r="B16" s="66"/>
      <c r="C16" s="66"/>
      <c r="D16" s="67">
        <v>150</v>
      </c>
      <c r="E16" s="69"/>
      <c r="F16" s="103" t="str">
        <f>HYPERLINK("https://yt3.ggpht.com/ytc/AKedOLRABUtPMrHohj3k5JKWooyfQGLRXoOSakAU31FV=s88-c-k-c0x00ffffff-no-rj")</f>
        <v>https://yt3.ggpht.com/ytc/AKedOLRABUtPMrHohj3k5JKWooyfQGLRXoOSakAU31FV=s88-c-k-c0x00ffffff-no-rj</v>
      </c>
      <c r="G16" s="66"/>
      <c r="H16" s="70" t="s">
        <v>1418</v>
      </c>
      <c r="I16" s="71"/>
      <c r="J16" s="71" t="s">
        <v>159</v>
      </c>
      <c r="K16" s="70" t="s">
        <v>1418</v>
      </c>
      <c r="L16" s="74">
        <v>1</v>
      </c>
      <c r="M16" s="75">
        <v>3164.66845703125</v>
      </c>
      <c r="N16" s="75">
        <v>9204.474609375</v>
      </c>
      <c r="O16" s="76"/>
      <c r="P16" s="77"/>
      <c r="Q16" s="77"/>
      <c r="R16" s="89"/>
      <c r="S16" s="49">
        <v>0</v>
      </c>
      <c r="T16" s="49">
        <v>1</v>
      </c>
      <c r="U16" s="50">
        <v>0</v>
      </c>
      <c r="V16" s="50">
        <v>0.478122</v>
      </c>
      <c r="W16" s="50">
        <v>0.03471</v>
      </c>
      <c r="X16" s="50">
        <v>0.001935</v>
      </c>
      <c r="Y16" s="50">
        <v>0</v>
      </c>
      <c r="Z16" s="50">
        <v>0</v>
      </c>
      <c r="AA16" s="72">
        <v>16</v>
      </c>
      <c r="AB16" s="72"/>
      <c r="AC16" s="73"/>
      <c r="AD16" s="80" t="s">
        <v>1418</v>
      </c>
      <c r="AE16" s="80"/>
      <c r="AF16" s="80"/>
      <c r="AG16" s="80"/>
      <c r="AH16" s="80"/>
      <c r="AI16" s="80"/>
      <c r="AJ16" s="87">
        <v>38968.900046296294</v>
      </c>
      <c r="AK16" s="85" t="str">
        <f>HYPERLINK("https://yt3.ggpht.com/ytc/AKedOLRABUtPMrHohj3k5JKWooyfQGLRXoOSakAU31FV=s88-c-k-c0x00ffffff-no-rj")</f>
        <v>https://yt3.ggpht.com/ytc/AKedOLRABUtPMrHohj3k5JKWooyfQGLRXoOSakAU31FV=s88-c-k-c0x00ffffff-no-rj</v>
      </c>
      <c r="AL16" s="80">
        <v>628885</v>
      </c>
      <c r="AM16" s="80">
        <v>0</v>
      </c>
      <c r="AN16" s="80">
        <v>81</v>
      </c>
      <c r="AO16" s="80" t="b">
        <v>0</v>
      </c>
      <c r="AP16" s="80">
        <v>7</v>
      </c>
      <c r="AQ16" s="80"/>
      <c r="AR16" s="80"/>
      <c r="AS16" s="80" t="s">
        <v>2085</v>
      </c>
      <c r="AT16" s="85" t="str">
        <f>HYPERLINK("https://www.youtube.com/channel/UC8qjAvcHT8xZjRuF_dEppxg")</f>
        <v>https://www.youtube.com/channel/UC8qjAvcHT8xZjRuF_dEppxg</v>
      </c>
      <c r="AU16" s="80" t="str">
        <f>REPLACE(INDEX(GroupVertices[Group],MATCH(Vertices[[#This Row],[Vertex]],GroupVertices[Vertex],0)),1,1,"")</f>
        <v>1</v>
      </c>
      <c r="AV16" s="49">
        <v>3</v>
      </c>
      <c r="AW16" s="50">
        <v>7.142857142857143</v>
      </c>
      <c r="AX16" s="49">
        <v>1</v>
      </c>
      <c r="AY16" s="50">
        <v>2.380952380952381</v>
      </c>
      <c r="AZ16" s="49">
        <v>0</v>
      </c>
      <c r="BA16" s="50">
        <v>0</v>
      </c>
      <c r="BB16" s="49">
        <v>38</v>
      </c>
      <c r="BC16" s="50">
        <v>90.47619047619048</v>
      </c>
      <c r="BD16" s="49">
        <v>42</v>
      </c>
      <c r="BE16" s="49"/>
      <c r="BF16" s="49"/>
      <c r="BG16" s="49"/>
      <c r="BH16" s="49"/>
      <c r="BI16" s="49"/>
      <c r="BJ16" s="49"/>
      <c r="BK16" s="111" t="s">
        <v>3410</v>
      </c>
      <c r="BL16" s="111" t="s">
        <v>3410</v>
      </c>
      <c r="BM16" s="111" t="s">
        <v>3861</v>
      </c>
      <c r="BN16" s="111" t="s">
        <v>3861</v>
      </c>
      <c r="BO16" s="2"/>
      <c r="BP16" s="3"/>
      <c r="BQ16" s="3"/>
      <c r="BR16" s="3"/>
      <c r="BS16" s="3"/>
    </row>
    <row r="17" spans="1:71" ht="15">
      <c r="A17" s="65" t="s">
        <v>351</v>
      </c>
      <c r="B17" s="66"/>
      <c r="C17" s="66"/>
      <c r="D17" s="67">
        <v>150</v>
      </c>
      <c r="E17" s="69"/>
      <c r="F17" s="103" t="str">
        <f>HYPERLINK("https://yt3.ggpht.com/ytc/AKedOLQx8O91v7UHzsecvxYD_xFOul1HRPIpiMLHfQ=s88-c-k-c0x00ffffff-no-rj")</f>
        <v>https://yt3.ggpht.com/ytc/AKedOLQx8O91v7UHzsecvxYD_xFOul1HRPIpiMLHfQ=s88-c-k-c0x00ffffff-no-rj</v>
      </c>
      <c r="G17" s="66"/>
      <c r="H17" s="70" t="s">
        <v>1419</v>
      </c>
      <c r="I17" s="71"/>
      <c r="J17" s="71" t="s">
        <v>159</v>
      </c>
      <c r="K17" s="70" t="s">
        <v>1419</v>
      </c>
      <c r="L17" s="74">
        <v>1</v>
      </c>
      <c r="M17" s="75">
        <v>358.8046569824219</v>
      </c>
      <c r="N17" s="75">
        <v>3794.097900390625</v>
      </c>
      <c r="O17" s="76"/>
      <c r="P17" s="77"/>
      <c r="Q17" s="77"/>
      <c r="R17" s="89"/>
      <c r="S17" s="49">
        <v>0</v>
      </c>
      <c r="T17" s="49">
        <v>1</v>
      </c>
      <c r="U17" s="50">
        <v>0</v>
      </c>
      <c r="V17" s="50">
        <v>0.478122</v>
      </c>
      <c r="W17" s="50">
        <v>0.03471</v>
      </c>
      <c r="X17" s="50">
        <v>0.001935</v>
      </c>
      <c r="Y17" s="50">
        <v>0</v>
      </c>
      <c r="Z17" s="50">
        <v>0</v>
      </c>
      <c r="AA17" s="72">
        <v>17</v>
      </c>
      <c r="AB17" s="72"/>
      <c r="AC17" s="73"/>
      <c r="AD17" s="80" t="s">
        <v>1419</v>
      </c>
      <c r="AE17" s="80" t="s">
        <v>1946</v>
      </c>
      <c r="AF17" s="80"/>
      <c r="AG17" s="80"/>
      <c r="AH17" s="80"/>
      <c r="AI17" s="80"/>
      <c r="AJ17" s="87">
        <v>39117.028449074074</v>
      </c>
      <c r="AK17" s="85" t="str">
        <f>HYPERLINK("https://yt3.ggpht.com/ytc/AKedOLQx8O91v7UHzsecvxYD_xFOul1HRPIpiMLHfQ=s88-c-k-c0x00ffffff-no-rj")</f>
        <v>https://yt3.ggpht.com/ytc/AKedOLQx8O91v7UHzsecvxYD_xFOul1HRPIpiMLHfQ=s88-c-k-c0x00ffffff-no-rj</v>
      </c>
      <c r="AL17" s="80">
        <v>843</v>
      </c>
      <c r="AM17" s="80">
        <v>0</v>
      </c>
      <c r="AN17" s="80">
        <v>199</v>
      </c>
      <c r="AO17" s="80" t="b">
        <v>0</v>
      </c>
      <c r="AP17" s="80">
        <v>4</v>
      </c>
      <c r="AQ17" s="80"/>
      <c r="AR17" s="80"/>
      <c r="AS17" s="80" t="s">
        <v>2085</v>
      </c>
      <c r="AT17" s="85" t="str">
        <f>HYPERLINK("https://www.youtube.com/channel/UCVNggqNBF0HaVwd5E7T8_ZA")</f>
        <v>https://www.youtube.com/channel/UCVNggqNBF0HaVwd5E7T8_ZA</v>
      </c>
      <c r="AU17" s="80" t="str">
        <f>REPLACE(INDEX(GroupVertices[Group],MATCH(Vertices[[#This Row],[Vertex]],GroupVertices[Vertex],0)),1,1,"")</f>
        <v>1</v>
      </c>
      <c r="AV17" s="49">
        <v>0</v>
      </c>
      <c r="AW17" s="50">
        <v>0</v>
      </c>
      <c r="AX17" s="49">
        <v>0</v>
      </c>
      <c r="AY17" s="50">
        <v>0</v>
      </c>
      <c r="AZ17" s="49">
        <v>0</v>
      </c>
      <c r="BA17" s="50">
        <v>0</v>
      </c>
      <c r="BB17" s="49">
        <v>18</v>
      </c>
      <c r="BC17" s="50">
        <v>100</v>
      </c>
      <c r="BD17" s="49">
        <v>18</v>
      </c>
      <c r="BE17" s="49"/>
      <c r="BF17" s="49"/>
      <c r="BG17" s="49"/>
      <c r="BH17" s="49"/>
      <c r="BI17" s="49"/>
      <c r="BJ17" s="49"/>
      <c r="BK17" s="111" t="s">
        <v>3411</v>
      </c>
      <c r="BL17" s="111" t="s">
        <v>3411</v>
      </c>
      <c r="BM17" s="111" t="s">
        <v>3862</v>
      </c>
      <c r="BN17" s="111" t="s">
        <v>3862</v>
      </c>
      <c r="BO17" s="2"/>
      <c r="BP17" s="3"/>
      <c r="BQ17" s="3"/>
      <c r="BR17" s="3"/>
      <c r="BS17" s="3"/>
    </row>
    <row r="18" spans="1:71" ht="15">
      <c r="A18" s="65" t="s">
        <v>352</v>
      </c>
      <c r="B18" s="66"/>
      <c r="C18" s="66"/>
      <c r="D18" s="67">
        <v>150</v>
      </c>
      <c r="E18" s="69"/>
      <c r="F18" s="103" t="str">
        <f>HYPERLINK("https://yt3.ggpht.com/ytc/AKedOLT5fkEG88v7M7VnlMY1YA5T5ZT52edoVnmr4RU0CA=s88-c-k-c0x00ffffff-no-rj")</f>
        <v>https://yt3.ggpht.com/ytc/AKedOLT5fkEG88v7M7VnlMY1YA5T5ZT52edoVnmr4RU0CA=s88-c-k-c0x00ffffff-no-rj</v>
      </c>
      <c r="G18" s="66"/>
      <c r="H18" s="70" t="s">
        <v>1420</v>
      </c>
      <c r="I18" s="71"/>
      <c r="J18" s="71" t="s">
        <v>159</v>
      </c>
      <c r="K18" s="70" t="s">
        <v>1420</v>
      </c>
      <c r="L18" s="74">
        <v>1</v>
      </c>
      <c r="M18" s="75">
        <v>1617.46923828125</v>
      </c>
      <c r="N18" s="75">
        <v>5453.67919921875</v>
      </c>
      <c r="O18" s="76"/>
      <c r="P18" s="77"/>
      <c r="Q18" s="77"/>
      <c r="R18" s="89"/>
      <c r="S18" s="49">
        <v>0</v>
      </c>
      <c r="T18" s="49">
        <v>1</v>
      </c>
      <c r="U18" s="50">
        <v>0</v>
      </c>
      <c r="V18" s="50">
        <v>0.478122</v>
      </c>
      <c r="W18" s="50">
        <v>0.03471</v>
      </c>
      <c r="X18" s="50">
        <v>0.001935</v>
      </c>
      <c r="Y18" s="50">
        <v>0</v>
      </c>
      <c r="Z18" s="50">
        <v>0</v>
      </c>
      <c r="AA18" s="72">
        <v>18</v>
      </c>
      <c r="AB18" s="72"/>
      <c r="AC18" s="73"/>
      <c r="AD18" s="80" t="s">
        <v>1420</v>
      </c>
      <c r="AE18" s="80"/>
      <c r="AF18" s="80"/>
      <c r="AG18" s="80"/>
      <c r="AH18" s="80"/>
      <c r="AI18" s="80"/>
      <c r="AJ18" s="87">
        <v>40473.00079861111</v>
      </c>
      <c r="AK18" s="85" t="str">
        <f>HYPERLINK("https://yt3.ggpht.com/ytc/AKedOLT5fkEG88v7M7VnlMY1YA5T5ZT52edoVnmr4RU0CA=s88-c-k-c0x00ffffff-no-rj")</f>
        <v>https://yt3.ggpht.com/ytc/AKedOLT5fkEG88v7M7VnlMY1YA5T5ZT52edoVnmr4RU0CA=s88-c-k-c0x00ffffff-no-rj</v>
      </c>
      <c r="AL18" s="80">
        <v>275</v>
      </c>
      <c r="AM18" s="80">
        <v>0</v>
      </c>
      <c r="AN18" s="80">
        <v>3</v>
      </c>
      <c r="AO18" s="80" t="b">
        <v>0</v>
      </c>
      <c r="AP18" s="80">
        <v>8</v>
      </c>
      <c r="AQ18" s="80"/>
      <c r="AR18" s="80"/>
      <c r="AS18" s="80" t="s">
        <v>2085</v>
      </c>
      <c r="AT18" s="85" t="str">
        <f>HYPERLINK("https://www.youtube.com/channel/UCimfVl0WVt0SWcuZzGZYGHg")</f>
        <v>https://www.youtube.com/channel/UCimfVl0WVt0SWcuZzGZYGHg</v>
      </c>
      <c r="AU18" s="80" t="str">
        <f>REPLACE(INDEX(GroupVertices[Group],MATCH(Vertices[[#This Row],[Vertex]],GroupVertices[Vertex],0)),1,1,"")</f>
        <v>1</v>
      </c>
      <c r="AV18" s="49">
        <v>4</v>
      </c>
      <c r="AW18" s="50">
        <v>11.428571428571429</v>
      </c>
      <c r="AX18" s="49">
        <v>1</v>
      </c>
      <c r="AY18" s="50">
        <v>2.857142857142857</v>
      </c>
      <c r="AZ18" s="49">
        <v>0</v>
      </c>
      <c r="BA18" s="50">
        <v>0</v>
      </c>
      <c r="BB18" s="49">
        <v>30</v>
      </c>
      <c r="BC18" s="50">
        <v>85.71428571428571</v>
      </c>
      <c r="BD18" s="49">
        <v>35</v>
      </c>
      <c r="BE18" s="49"/>
      <c r="BF18" s="49"/>
      <c r="BG18" s="49"/>
      <c r="BH18" s="49"/>
      <c r="BI18" s="49"/>
      <c r="BJ18" s="49"/>
      <c r="BK18" s="111" t="s">
        <v>3412</v>
      </c>
      <c r="BL18" s="111" t="s">
        <v>3412</v>
      </c>
      <c r="BM18" s="111" t="s">
        <v>3863</v>
      </c>
      <c r="BN18" s="111" t="s">
        <v>3863</v>
      </c>
      <c r="BO18" s="2"/>
      <c r="BP18" s="3"/>
      <c r="BQ18" s="3"/>
      <c r="BR18" s="3"/>
      <c r="BS18" s="3"/>
    </row>
    <row r="19" spans="1:71" ht="15">
      <c r="A19" s="65" t="s">
        <v>353</v>
      </c>
      <c r="B19" s="66"/>
      <c r="C19" s="66"/>
      <c r="D19" s="67">
        <v>150</v>
      </c>
      <c r="E19" s="69"/>
      <c r="F19" s="103" t="str">
        <f>HYPERLINK("https://yt3.ggpht.com/ytc/AKedOLTvFNYzvaP1rmrsuX67dICFJKL-mGwv6RGQgpbiSw=s88-c-k-c0x00ffffff-no-rj")</f>
        <v>https://yt3.ggpht.com/ytc/AKedOLTvFNYzvaP1rmrsuX67dICFJKL-mGwv6RGQgpbiSw=s88-c-k-c0x00ffffff-no-rj</v>
      </c>
      <c r="G19" s="66"/>
      <c r="H19" s="70" t="s">
        <v>1421</v>
      </c>
      <c r="I19" s="71"/>
      <c r="J19" s="71" t="s">
        <v>159</v>
      </c>
      <c r="K19" s="70" t="s">
        <v>1421</v>
      </c>
      <c r="L19" s="74">
        <v>1</v>
      </c>
      <c r="M19" s="75">
        <v>650.1571044921875</v>
      </c>
      <c r="N19" s="75">
        <v>3156.659912109375</v>
      </c>
      <c r="O19" s="76"/>
      <c r="P19" s="77"/>
      <c r="Q19" s="77"/>
      <c r="R19" s="89"/>
      <c r="S19" s="49">
        <v>0</v>
      </c>
      <c r="T19" s="49">
        <v>1</v>
      </c>
      <c r="U19" s="50">
        <v>0</v>
      </c>
      <c r="V19" s="50">
        <v>0.478122</v>
      </c>
      <c r="W19" s="50">
        <v>0.03471</v>
      </c>
      <c r="X19" s="50">
        <v>0.001935</v>
      </c>
      <c r="Y19" s="50">
        <v>0</v>
      </c>
      <c r="Z19" s="50">
        <v>0</v>
      </c>
      <c r="AA19" s="72">
        <v>19</v>
      </c>
      <c r="AB19" s="72"/>
      <c r="AC19" s="73"/>
      <c r="AD19" s="80" t="s">
        <v>1421</v>
      </c>
      <c r="AE19" s="80"/>
      <c r="AF19" s="80"/>
      <c r="AG19" s="80"/>
      <c r="AH19" s="80"/>
      <c r="AI19" s="80"/>
      <c r="AJ19" s="87">
        <v>38977.243680555555</v>
      </c>
      <c r="AK19" s="85" t="str">
        <f>HYPERLINK("https://yt3.ggpht.com/ytc/AKedOLTvFNYzvaP1rmrsuX67dICFJKL-mGwv6RGQgpbiSw=s88-c-k-c0x00ffffff-no-rj")</f>
        <v>https://yt3.ggpht.com/ytc/AKedOLTvFNYzvaP1rmrsuX67dICFJKL-mGwv6RGQgpbiSw=s88-c-k-c0x00ffffff-no-rj</v>
      </c>
      <c r="AL19" s="80">
        <v>5477</v>
      </c>
      <c r="AM19" s="80">
        <v>0</v>
      </c>
      <c r="AN19" s="80">
        <v>38</v>
      </c>
      <c r="AO19" s="80" t="b">
        <v>0</v>
      </c>
      <c r="AP19" s="80">
        <v>5</v>
      </c>
      <c r="AQ19" s="80"/>
      <c r="AR19" s="80"/>
      <c r="AS19" s="80" t="s">
        <v>2085</v>
      </c>
      <c r="AT19" s="85" t="str">
        <f>HYPERLINK("https://www.youtube.com/channel/UCZWg-VX1eOHs72CCWpCexlw")</f>
        <v>https://www.youtube.com/channel/UCZWg-VX1eOHs72CCWpCexlw</v>
      </c>
      <c r="AU19" s="80" t="str">
        <f>REPLACE(INDEX(GroupVertices[Group],MATCH(Vertices[[#This Row],[Vertex]],GroupVertices[Vertex],0)),1,1,"")</f>
        <v>1</v>
      </c>
      <c r="AV19" s="49">
        <v>1</v>
      </c>
      <c r="AW19" s="50">
        <v>11.11111111111111</v>
      </c>
      <c r="AX19" s="49">
        <v>3</v>
      </c>
      <c r="AY19" s="50">
        <v>33.333333333333336</v>
      </c>
      <c r="AZ19" s="49">
        <v>0</v>
      </c>
      <c r="BA19" s="50">
        <v>0</v>
      </c>
      <c r="BB19" s="49">
        <v>5</v>
      </c>
      <c r="BC19" s="50">
        <v>55.55555555555556</v>
      </c>
      <c r="BD19" s="49">
        <v>9</v>
      </c>
      <c r="BE19" s="49"/>
      <c r="BF19" s="49"/>
      <c r="BG19" s="49"/>
      <c r="BH19" s="49"/>
      <c r="BI19" s="49"/>
      <c r="BJ19" s="49"/>
      <c r="BK19" s="111" t="s">
        <v>3413</v>
      </c>
      <c r="BL19" s="111" t="s">
        <v>3413</v>
      </c>
      <c r="BM19" s="111" t="s">
        <v>3864</v>
      </c>
      <c r="BN19" s="111" t="s">
        <v>3864</v>
      </c>
      <c r="BO19" s="2"/>
      <c r="BP19" s="3"/>
      <c r="BQ19" s="3"/>
      <c r="BR19" s="3"/>
      <c r="BS19" s="3"/>
    </row>
    <row r="20" spans="1:71" ht="15">
      <c r="A20" s="65" t="s">
        <v>354</v>
      </c>
      <c r="B20" s="66"/>
      <c r="C20" s="66"/>
      <c r="D20" s="67">
        <v>150</v>
      </c>
      <c r="E20" s="69"/>
      <c r="F20" s="103" t="str">
        <f>HYPERLINK("https://yt3.ggpht.com/ytc/AKedOLQP6pojR-1xXqZA_te_dL7W4hmoMUk6jDLcvaVW7A=s88-c-k-c0x00ffffff-no-rj")</f>
        <v>https://yt3.ggpht.com/ytc/AKedOLQP6pojR-1xXqZA_te_dL7W4hmoMUk6jDLcvaVW7A=s88-c-k-c0x00ffffff-no-rj</v>
      </c>
      <c r="G20" s="66"/>
      <c r="H20" s="70" t="s">
        <v>1422</v>
      </c>
      <c r="I20" s="71"/>
      <c r="J20" s="71" t="s">
        <v>159</v>
      </c>
      <c r="K20" s="70" t="s">
        <v>1422</v>
      </c>
      <c r="L20" s="74">
        <v>1</v>
      </c>
      <c r="M20" s="75">
        <v>1150.3380126953125</v>
      </c>
      <c r="N20" s="75">
        <v>2231.347900390625</v>
      </c>
      <c r="O20" s="76"/>
      <c r="P20" s="77"/>
      <c r="Q20" s="77"/>
      <c r="R20" s="89"/>
      <c r="S20" s="49">
        <v>0</v>
      </c>
      <c r="T20" s="49">
        <v>1</v>
      </c>
      <c r="U20" s="50">
        <v>0</v>
      </c>
      <c r="V20" s="50">
        <v>0.478122</v>
      </c>
      <c r="W20" s="50">
        <v>0.03471</v>
      </c>
      <c r="X20" s="50">
        <v>0.001935</v>
      </c>
      <c r="Y20" s="50">
        <v>0</v>
      </c>
      <c r="Z20" s="50">
        <v>0</v>
      </c>
      <c r="AA20" s="72">
        <v>20</v>
      </c>
      <c r="AB20" s="72"/>
      <c r="AC20" s="73"/>
      <c r="AD20" s="80" t="s">
        <v>1422</v>
      </c>
      <c r="AE20" s="80"/>
      <c r="AF20" s="80"/>
      <c r="AG20" s="80"/>
      <c r="AH20" s="80"/>
      <c r="AI20" s="80"/>
      <c r="AJ20" s="87">
        <v>39389.051886574074</v>
      </c>
      <c r="AK20" s="85" t="str">
        <f>HYPERLINK("https://yt3.ggpht.com/ytc/AKedOLQP6pojR-1xXqZA_te_dL7W4hmoMUk6jDLcvaVW7A=s88-c-k-c0x00ffffff-no-rj")</f>
        <v>https://yt3.ggpht.com/ytc/AKedOLQP6pojR-1xXqZA_te_dL7W4hmoMUk6jDLcvaVW7A=s88-c-k-c0x00ffffff-no-rj</v>
      </c>
      <c r="AL20" s="80">
        <v>689</v>
      </c>
      <c r="AM20" s="80">
        <v>0</v>
      </c>
      <c r="AN20" s="80">
        <v>46</v>
      </c>
      <c r="AO20" s="80" t="b">
        <v>0</v>
      </c>
      <c r="AP20" s="80">
        <v>6</v>
      </c>
      <c r="AQ20" s="80"/>
      <c r="AR20" s="80"/>
      <c r="AS20" s="80" t="s">
        <v>2085</v>
      </c>
      <c r="AT20" s="85" t="str">
        <f>HYPERLINK("https://www.youtube.com/channel/UCwL52shzZRASohoEnikQ5iQ")</f>
        <v>https://www.youtube.com/channel/UCwL52shzZRASohoEnikQ5iQ</v>
      </c>
      <c r="AU20" s="80" t="str">
        <f>REPLACE(INDEX(GroupVertices[Group],MATCH(Vertices[[#This Row],[Vertex]],GroupVertices[Vertex],0)),1,1,"")</f>
        <v>1</v>
      </c>
      <c r="AV20" s="49">
        <v>0</v>
      </c>
      <c r="AW20" s="50">
        <v>0</v>
      </c>
      <c r="AX20" s="49">
        <v>0</v>
      </c>
      <c r="AY20" s="50">
        <v>0</v>
      </c>
      <c r="AZ20" s="49">
        <v>0</v>
      </c>
      <c r="BA20" s="50">
        <v>0</v>
      </c>
      <c r="BB20" s="49">
        <v>8</v>
      </c>
      <c r="BC20" s="50">
        <v>100</v>
      </c>
      <c r="BD20" s="49">
        <v>8</v>
      </c>
      <c r="BE20" s="49"/>
      <c r="BF20" s="49"/>
      <c r="BG20" s="49"/>
      <c r="BH20" s="49"/>
      <c r="BI20" s="49"/>
      <c r="BJ20" s="49"/>
      <c r="BK20" s="111" t="s">
        <v>3414</v>
      </c>
      <c r="BL20" s="111" t="s">
        <v>3414</v>
      </c>
      <c r="BM20" s="111" t="s">
        <v>3865</v>
      </c>
      <c r="BN20" s="111" t="s">
        <v>3865</v>
      </c>
      <c r="BO20" s="2"/>
      <c r="BP20" s="3"/>
      <c r="BQ20" s="3"/>
      <c r="BR20" s="3"/>
      <c r="BS20" s="3"/>
    </row>
    <row r="21" spans="1:71" ht="15">
      <c r="A21" s="65" t="s">
        <v>355</v>
      </c>
      <c r="B21" s="66"/>
      <c r="C21" s="66"/>
      <c r="D21" s="67">
        <v>150</v>
      </c>
      <c r="E21" s="69"/>
      <c r="F21" s="103" t="str">
        <f>HYPERLINK("https://yt3.ggpht.com/ytc/AKedOLQIdK5Fk3eeYUXu1blHzIJOFDoKOFpMdfaNLxEGVg=s88-c-k-c0x00ffffff-no-rj")</f>
        <v>https://yt3.ggpht.com/ytc/AKedOLQIdK5Fk3eeYUXu1blHzIJOFDoKOFpMdfaNLxEGVg=s88-c-k-c0x00ffffff-no-rj</v>
      </c>
      <c r="G21" s="66"/>
      <c r="H21" s="70" t="s">
        <v>1423</v>
      </c>
      <c r="I21" s="71"/>
      <c r="J21" s="71" t="s">
        <v>159</v>
      </c>
      <c r="K21" s="70" t="s">
        <v>1423</v>
      </c>
      <c r="L21" s="74">
        <v>1</v>
      </c>
      <c r="M21" s="75">
        <v>4871.18701171875</v>
      </c>
      <c r="N21" s="75">
        <v>6590.2529296875</v>
      </c>
      <c r="O21" s="76"/>
      <c r="P21" s="77"/>
      <c r="Q21" s="77"/>
      <c r="R21" s="89"/>
      <c r="S21" s="49">
        <v>0</v>
      </c>
      <c r="T21" s="49">
        <v>1</v>
      </c>
      <c r="U21" s="50">
        <v>0</v>
      </c>
      <c r="V21" s="50">
        <v>0.478122</v>
      </c>
      <c r="W21" s="50">
        <v>0.03471</v>
      </c>
      <c r="X21" s="50">
        <v>0.001935</v>
      </c>
      <c r="Y21" s="50">
        <v>0</v>
      </c>
      <c r="Z21" s="50">
        <v>0</v>
      </c>
      <c r="AA21" s="72">
        <v>21</v>
      </c>
      <c r="AB21" s="72"/>
      <c r="AC21" s="73"/>
      <c r="AD21" s="80" t="s">
        <v>1423</v>
      </c>
      <c r="AE21" s="80" t="s">
        <v>1947</v>
      </c>
      <c r="AF21" s="80"/>
      <c r="AG21" s="80"/>
      <c r="AH21" s="80"/>
      <c r="AI21" s="80"/>
      <c r="AJ21" s="87">
        <v>40768.29969907407</v>
      </c>
      <c r="AK21" s="85" t="str">
        <f>HYPERLINK("https://yt3.ggpht.com/ytc/AKedOLQIdK5Fk3eeYUXu1blHzIJOFDoKOFpMdfaNLxEGVg=s88-c-k-c0x00ffffff-no-rj")</f>
        <v>https://yt3.ggpht.com/ytc/AKedOLQIdK5Fk3eeYUXu1blHzIJOFDoKOFpMdfaNLxEGVg=s88-c-k-c0x00ffffff-no-rj</v>
      </c>
      <c r="AL21" s="80">
        <v>63</v>
      </c>
      <c r="AM21" s="80">
        <v>0</v>
      </c>
      <c r="AN21" s="80">
        <v>6</v>
      </c>
      <c r="AO21" s="80" t="b">
        <v>0</v>
      </c>
      <c r="AP21" s="80">
        <v>2</v>
      </c>
      <c r="AQ21" s="80"/>
      <c r="AR21" s="80"/>
      <c r="AS21" s="80" t="s">
        <v>2085</v>
      </c>
      <c r="AT21" s="85" t="str">
        <f>HYPERLINK("https://www.youtube.com/channel/UCgcSVCbb0MalGJggkuKeM0w")</f>
        <v>https://www.youtube.com/channel/UCgcSVCbb0MalGJggkuKeM0w</v>
      </c>
      <c r="AU21" s="80" t="str">
        <f>REPLACE(INDEX(GroupVertices[Group],MATCH(Vertices[[#This Row],[Vertex]],GroupVertices[Vertex],0)),1,1,"")</f>
        <v>1</v>
      </c>
      <c r="AV21" s="49">
        <v>5</v>
      </c>
      <c r="AW21" s="50">
        <v>2.6455026455026456</v>
      </c>
      <c r="AX21" s="49">
        <v>4</v>
      </c>
      <c r="AY21" s="50">
        <v>2.1164021164021163</v>
      </c>
      <c r="AZ21" s="49">
        <v>0</v>
      </c>
      <c r="BA21" s="50">
        <v>0</v>
      </c>
      <c r="BB21" s="49">
        <v>180</v>
      </c>
      <c r="BC21" s="50">
        <v>95.23809523809524</v>
      </c>
      <c r="BD21" s="49">
        <v>189</v>
      </c>
      <c r="BE21" s="49"/>
      <c r="BF21" s="49"/>
      <c r="BG21" s="49"/>
      <c r="BH21" s="49"/>
      <c r="BI21" s="49"/>
      <c r="BJ21" s="49"/>
      <c r="BK21" s="111" t="s">
        <v>3415</v>
      </c>
      <c r="BL21" s="111" t="s">
        <v>3810</v>
      </c>
      <c r="BM21" s="111" t="s">
        <v>3866</v>
      </c>
      <c r="BN21" s="111" t="s">
        <v>3866</v>
      </c>
      <c r="BO21" s="2"/>
      <c r="BP21" s="3"/>
      <c r="BQ21" s="3"/>
      <c r="BR21" s="3"/>
      <c r="BS21" s="3"/>
    </row>
    <row r="22" spans="1:71" ht="15">
      <c r="A22" s="65" t="s">
        <v>356</v>
      </c>
      <c r="B22" s="66"/>
      <c r="C22" s="66"/>
      <c r="D22" s="67">
        <v>150</v>
      </c>
      <c r="E22" s="69"/>
      <c r="F22" s="103" t="str">
        <f>HYPERLINK("https://yt3.ggpht.com/ytc/AKedOLRlgkxZ2uGlE9deDzY914s2W7lVtOfXXI9XQw=s88-c-k-c0x00ffffff-no-rj")</f>
        <v>https://yt3.ggpht.com/ytc/AKedOLRlgkxZ2uGlE9deDzY914s2W7lVtOfXXI9XQw=s88-c-k-c0x00ffffff-no-rj</v>
      </c>
      <c r="G22" s="66"/>
      <c r="H22" s="70" t="s">
        <v>1424</v>
      </c>
      <c r="I22" s="71"/>
      <c r="J22" s="71" t="s">
        <v>159</v>
      </c>
      <c r="K22" s="70" t="s">
        <v>1424</v>
      </c>
      <c r="L22" s="74">
        <v>1</v>
      </c>
      <c r="M22" s="75">
        <v>418.6263122558594</v>
      </c>
      <c r="N22" s="75">
        <v>2965.99365234375</v>
      </c>
      <c r="O22" s="76"/>
      <c r="P22" s="77"/>
      <c r="Q22" s="77"/>
      <c r="R22" s="89"/>
      <c r="S22" s="49">
        <v>0</v>
      </c>
      <c r="T22" s="49">
        <v>1</v>
      </c>
      <c r="U22" s="50">
        <v>0</v>
      </c>
      <c r="V22" s="50">
        <v>0.478122</v>
      </c>
      <c r="W22" s="50">
        <v>0.03471</v>
      </c>
      <c r="X22" s="50">
        <v>0.001935</v>
      </c>
      <c r="Y22" s="50">
        <v>0</v>
      </c>
      <c r="Z22" s="50">
        <v>0</v>
      </c>
      <c r="AA22" s="72">
        <v>22</v>
      </c>
      <c r="AB22" s="72"/>
      <c r="AC22" s="73"/>
      <c r="AD22" s="80" t="s">
        <v>1424</v>
      </c>
      <c r="AE22" s="80"/>
      <c r="AF22" s="80"/>
      <c r="AG22" s="80"/>
      <c r="AH22" s="80"/>
      <c r="AI22" s="80"/>
      <c r="AJ22" s="87">
        <v>40228.949479166666</v>
      </c>
      <c r="AK22" s="85" t="str">
        <f>HYPERLINK("https://yt3.ggpht.com/ytc/AKedOLRlgkxZ2uGlE9deDzY914s2W7lVtOfXXI9XQw=s88-c-k-c0x00ffffff-no-rj")</f>
        <v>https://yt3.ggpht.com/ytc/AKedOLRlgkxZ2uGlE9deDzY914s2W7lVtOfXXI9XQw=s88-c-k-c0x00ffffff-no-rj</v>
      </c>
      <c r="AL22" s="80">
        <v>0</v>
      </c>
      <c r="AM22" s="80">
        <v>0</v>
      </c>
      <c r="AN22" s="80">
        <v>1</v>
      </c>
      <c r="AO22" s="80" t="b">
        <v>0</v>
      </c>
      <c r="AP22" s="80">
        <v>0</v>
      </c>
      <c r="AQ22" s="80"/>
      <c r="AR22" s="80"/>
      <c r="AS22" s="80" t="s">
        <v>2085</v>
      </c>
      <c r="AT22" s="85" t="str">
        <f>HYPERLINK("https://www.youtube.com/channel/UC5dX3a36fPBvAdBBP7AhVHA")</f>
        <v>https://www.youtube.com/channel/UC5dX3a36fPBvAdBBP7AhVHA</v>
      </c>
      <c r="AU22" s="80" t="str">
        <f>REPLACE(INDEX(GroupVertices[Group],MATCH(Vertices[[#This Row],[Vertex]],GroupVertices[Vertex],0)),1,1,"")</f>
        <v>1</v>
      </c>
      <c r="AV22" s="49">
        <v>1</v>
      </c>
      <c r="AW22" s="50">
        <v>8.333333333333334</v>
      </c>
      <c r="AX22" s="49">
        <v>1</v>
      </c>
      <c r="AY22" s="50">
        <v>8.333333333333334</v>
      </c>
      <c r="AZ22" s="49">
        <v>0</v>
      </c>
      <c r="BA22" s="50">
        <v>0</v>
      </c>
      <c r="BB22" s="49">
        <v>10</v>
      </c>
      <c r="BC22" s="50">
        <v>83.33333333333333</v>
      </c>
      <c r="BD22" s="49">
        <v>12</v>
      </c>
      <c r="BE22" s="49"/>
      <c r="BF22" s="49"/>
      <c r="BG22" s="49"/>
      <c r="BH22" s="49"/>
      <c r="BI22" s="49"/>
      <c r="BJ22" s="49"/>
      <c r="BK22" s="111" t="s">
        <v>3416</v>
      </c>
      <c r="BL22" s="111" t="s">
        <v>3416</v>
      </c>
      <c r="BM22" s="111" t="s">
        <v>3867</v>
      </c>
      <c r="BN22" s="111" t="s">
        <v>3867</v>
      </c>
      <c r="BO22" s="2"/>
      <c r="BP22" s="3"/>
      <c r="BQ22" s="3"/>
      <c r="BR22" s="3"/>
      <c r="BS22" s="3"/>
    </row>
    <row r="23" spans="1:71" ht="15">
      <c r="A23" s="65" t="s">
        <v>357</v>
      </c>
      <c r="B23" s="66"/>
      <c r="C23" s="66"/>
      <c r="D23" s="67">
        <v>150</v>
      </c>
      <c r="E23" s="69"/>
      <c r="F23" s="103" t="str">
        <f>HYPERLINK("https://yt3.ggpht.com/ytc/AKedOLQ3yeRm1nI1M8_hHQ38kgQl3yfjX9zpKXqZgmwTgA=s88-c-k-c0x00ffffff-no-rj")</f>
        <v>https://yt3.ggpht.com/ytc/AKedOLQ3yeRm1nI1M8_hHQ38kgQl3yfjX9zpKXqZgmwTgA=s88-c-k-c0x00ffffff-no-rj</v>
      </c>
      <c r="G23" s="66"/>
      <c r="H23" s="70" t="s">
        <v>1425</v>
      </c>
      <c r="I23" s="71"/>
      <c r="J23" s="71" t="s">
        <v>159</v>
      </c>
      <c r="K23" s="70" t="s">
        <v>1425</v>
      </c>
      <c r="L23" s="74">
        <v>1</v>
      </c>
      <c r="M23" s="75">
        <v>7023.41455078125</v>
      </c>
      <c r="N23" s="75">
        <v>8467.326171875</v>
      </c>
      <c r="O23" s="76"/>
      <c r="P23" s="77"/>
      <c r="Q23" s="77"/>
      <c r="R23" s="89"/>
      <c r="S23" s="49">
        <v>0</v>
      </c>
      <c r="T23" s="49">
        <v>1</v>
      </c>
      <c r="U23" s="50">
        <v>0</v>
      </c>
      <c r="V23" s="50">
        <v>0.478122</v>
      </c>
      <c r="W23" s="50">
        <v>0.03471</v>
      </c>
      <c r="X23" s="50">
        <v>0.001935</v>
      </c>
      <c r="Y23" s="50">
        <v>0</v>
      </c>
      <c r="Z23" s="50">
        <v>0</v>
      </c>
      <c r="AA23" s="72">
        <v>23</v>
      </c>
      <c r="AB23" s="72"/>
      <c r="AC23" s="73"/>
      <c r="AD23" s="80" t="s">
        <v>1425</v>
      </c>
      <c r="AE23" s="80"/>
      <c r="AF23" s="80"/>
      <c r="AG23" s="80"/>
      <c r="AH23" s="80"/>
      <c r="AI23" s="80"/>
      <c r="AJ23" s="87">
        <v>39215.882743055554</v>
      </c>
      <c r="AK23" s="85" t="str">
        <f>HYPERLINK("https://yt3.ggpht.com/ytc/AKedOLQ3yeRm1nI1M8_hHQ38kgQl3yfjX9zpKXqZgmwTgA=s88-c-k-c0x00ffffff-no-rj")</f>
        <v>https://yt3.ggpht.com/ytc/AKedOLQ3yeRm1nI1M8_hHQ38kgQl3yfjX9zpKXqZgmwTgA=s88-c-k-c0x00ffffff-no-rj</v>
      </c>
      <c r="AL23" s="80">
        <v>146268</v>
      </c>
      <c r="AM23" s="80">
        <v>0</v>
      </c>
      <c r="AN23" s="80">
        <v>86</v>
      </c>
      <c r="AO23" s="80" t="b">
        <v>0</v>
      </c>
      <c r="AP23" s="80">
        <v>34</v>
      </c>
      <c r="AQ23" s="80"/>
      <c r="AR23" s="80"/>
      <c r="AS23" s="80" t="s">
        <v>2085</v>
      </c>
      <c r="AT23" s="85" t="str">
        <f>HYPERLINK("https://www.youtube.com/channel/UCx68UmxU6JKU1HE4fl10mqg")</f>
        <v>https://www.youtube.com/channel/UCx68UmxU6JKU1HE4fl10mqg</v>
      </c>
      <c r="AU23" s="80" t="str">
        <f>REPLACE(INDEX(GroupVertices[Group],MATCH(Vertices[[#This Row],[Vertex]],GroupVertices[Vertex],0)),1,1,"")</f>
        <v>1</v>
      </c>
      <c r="AV23" s="49">
        <v>0</v>
      </c>
      <c r="AW23" s="50">
        <v>0</v>
      </c>
      <c r="AX23" s="49">
        <v>3</v>
      </c>
      <c r="AY23" s="50">
        <v>12.5</v>
      </c>
      <c r="AZ23" s="49">
        <v>0</v>
      </c>
      <c r="BA23" s="50">
        <v>0</v>
      </c>
      <c r="BB23" s="49">
        <v>21</v>
      </c>
      <c r="BC23" s="50">
        <v>87.5</v>
      </c>
      <c r="BD23" s="49">
        <v>24</v>
      </c>
      <c r="BE23" s="49"/>
      <c r="BF23" s="49"/>
      <c r="BG23" s="49"/>
      <c r="BH23" s="49"/>
      <c r="BI23" s="49"/>
      <c r="BJ23" s="49"/>
      <c r="BK23" s="111" t="s">
        <v>3417</v>
      </c>
      <c r="BL23" s="111" t="s">
        <v>3417</v>
      </c>
      <c r="BM23" s="111" t="s">
        <v>3868</v>
      </c>
      <c r="BN23" s="111" t="s">
        <v>3868</v>
      </c>
      <c r="BO23" s="2"/>
      <c r="BP23" s="3"/>
      <c r="BQ23" s="3"/>
      <c r="BR23" s="3"/>
      <c r="BS23" s="3"/>
    </row>
    <row r="24" spans="1:71" ht="15">
      <c r="A24" s="65" t="s">
        <v>358</v>
      </c>
      <c r="B24" s="66"/>
      <c r="C24" s="66"/>
      <c r="D24" s="67">
        <v>150</v>
      </c>
      <c r="E24" s="69"/>
      <c r="F24" s="103" t="str">
        <f>HYPERLINK("https://yt3.ggpht.com/ytc/AKedOLR76N1YgvtPDYv0_HKLnVc1V-NKM2rW1h2aOCjj=s88-c-k-c0x00ffffff-no-rj")</f>
        <v>https://yt3.ggpht.com/ytc/AKedOLR76N1YgvtPDYv0_HKLnVc1V-NKM2rW1h2aOCjj=s88-c-k-c0x00ffffff-no-rj</v>
      </c>
      <c r="G24" s="66"/>
      <c r="H24" s="70" t="s">
        <v>1426</v>
      </c>
      <c r="I24" s="71"/>
      <c r="J24" s="71" t="s">
        <v>159</v>
      </c>
      <c r="K24" s="70" t="s">
        <v>1426</v>
      </c>
      <c r="L24" s="74">
        <v>1</v>
      </c>
      <c r="M24" s="75">
        <v>7697.2744140625</v>
      </c>
      <c r="N24" s="75">
        <v>3111.04443359375</v>
      </c>
      <c r="O24" s="76"/>
      <c r="P24" s="77"/>
      <c r="Q24" s="77"/>
      <c r="R24" s="89"/>
      <c r="S24" s="49">
        <v>0</v>
      </c>
      <c r="T24" s="49">
        <v>1</v>
      </c>
      <c r="U24" s="50">
        <v>0</v>
      </c>
      <c r="V24" s="50">
        <v>0.478122</v>
      </c>
      <c r="W24" s="50">
        <v>0.03471</v>
      </c>
      <c r="X24" s="50">
        <v>0.001935</v>
      </c>
      <c r="Y24" s="50">
        <v>0</v>
      </c>
      <c r="Z24" s="50">
        <v>0</v>
      </c>
      <c r="AA24" s="72">
        <v>24</v>
      </c>
      <c r="AB24" s="72"/>
      <c r="AC24" s="73"/>
      <c r="AD24" s="80" t="s">
        <v>1426</v>
      </c>
      <c r="AE24" s="80" t="s">
        <v>1948</v>
      </c>
      <c r="AF24" s="80"/>
      <c r="AG24" s="80"/>
      <c r="AH24" s="80"/>
      <c r="AI24" s="80"/>
      <c r="AJ24" s="87">
        <v>40798.87296296296</v>
      </c>
      <c r="AK24" s="85" t="str">
        <f>HYPERLINK("https://yt3.ggpht.com/ytc/AKedOLR76N1YgvtPDYv0_HKLnVc1V-NKM2rW1h2aOCjj=s88-c-k-c0x00ffffff-no-rj")</f>
        <v>https://yt3.ggpht.com/ytc/AKedOLR76N1YgvtPDYv0_HKLnVc1V-NKM2rW1h2aOCjj=s88-c-k-c0x00ffffff-no-rj</v>
      </c>
      <c r="AL24" s="80">
        <v>0</v>
      </c>
      <c r="AM24" s="80">
        <v>0</v>
      </c>
      <c r="AN24" s="80">
        <v>0</v>
      </c>
      <c r="AO24" s="80" t="b">
        <v>1</v>
      </c>
      <c r="AP24" s="80">
        <v>0</v>
      </c>
      <c r="AQ24" s="80"/>
      <c r="AR24" s="80"/>
      <c r="AS24" s="80" t="s">
        <v>2085</v>
      </c>
      <c r="AT24" s="85" t="str">
        <f>HYPERLINK("https://www.youtube.com/channel/UCZhjm8ANz5r1Had1Bs-vxOA")</f>
        <v>https://www.youtube.com/channel/UCZhjm8ANz5r1Had1Bs-vxOA</v>
      </c>
      <c r="AU24" s="80" t="str">
        <f>REPLACE(INDEX(GroupVertices[Group],MATCH(Vertices[[#This Row],[Vertex]],GroupVertices[Vertex],0)),1,1,"")</f>
        <v>1</v>
      </c>
      <c r="AV24" s="49">
        <v>3</v>
      </c>
      <c r="AW24" s="50">
        <v>4.918032786885246</v>
      </c>
      <c r="AX24" s="49">
        <v>5</v>
      </c>
      <c r="AY24" s="50">
        <v>8.19672131147541</v>
      </c>
      <c r="AZ24" s="49">
        <v>0</v>
      </c>
      <c r="BA24" s="50">
        <v>0</v>
      </c>
      <c r="BB24" s="49">
        <v>53</v>
      </c>
      <c r="BC24" s="50">
        <v>86.88524590163935</v>
      </c>
      <c r="BD24" s="49">
        <v>61</v>
      </c>
      <c r="BE24" s="49"/>
      <c r="BF24" s="49"/>
      <c r="BG24" s="49"/>
      <c r="BH24" s="49"/>
      <c r="BI24" s="49"/>
      <c r="BJ24" s="49"/>
      <c r="BK24" s="111" t="s">
        <v>3418</v>
      </c>
      <c r="BL24" s="111" t="s">
        <v>3811</v>
      </c>
      <c r="BM24" s="111" t="s">
        <v>3869</v>
      </c>
      <c r="BN24" s="111" t="s">
        <v>3869</v>
      </c>
      <c r="BO24" s="2"/>
      <c r="BP24" s="3"/>
      <c r="BQ24" s="3"/>
      <c r="BR24" s="3"/>
      <c r="BS24" s="3"/>
    </row>
    <row r="25" spans="1:71" ht="15">
      <c r="A25" s="65" t="s">
        <v>359</v>
      </c>
      <c r="B25" s="66"/>
      <c r="C25" s="66"/>
      <c r="D25" s="67">
        <v>150</v>
      </c>
      <c r="E25" s="69"/>
      <c r="F25" s="103" t="str">
        <f>HYPERLINK("https://yt3.ggpht.com/ytc/AKedOLRGb0OnAEGsmYKDXFZubGR9AprzpDsDvf9Mbvy0=s88-c-k-c0x00ffffff-no-rj")</f>
        <v>https://yt3.ggpht.com/ytc/AKedOLRGb0OnAEGsmYKDXFZubGR9AprzpDsDvf9Mbvy0=s88-c-k-c0x00ffffff-no-rj</v>
      </c>
      <c r="G25" s="66"/>
      <c r="H25" s="70" t="s">
        <v>1427</v>
      </c>
      <c r="I25" s="71"/>
      <c r="J25" s="71" t="s">
        <v>159</v>
      </c>
      <c r="K25" s="70" t="s">
        <v>1427</v>
      </c>
      <c r="L25" s="74">
        <v>1</v>
      </c>
      <c r="M25" s="75">
        <v>6464.54833984375</v>
      </c>
      <c r="N25" s="75">
        <v>7209.083984375</v>
      </c>
      <c r="O25" s="76"/>
      <c r="P25" s="77"/>
      <c r="Q25" s="77"/>
      <c r="R25" s="89"/>
      <c r="S25" s="49">
        <v>0</v>
      </c>
      <c r="T25" s="49">
        <v>1</v>
      </c>
      <c r="U25" s="50">
        <v>0</v>
      </c>
      <c r="V25" s="50">
        <v>0.478122</v>
      </c>
      <c r="W25" s="50">
        <v>0.03471</v>
      </c>
      <c r="X25" s="50">
        <v>0.001935</v>
      </c>
      <c r="Y25" s="50">
        <v>0</v>
      </c>
      <c r="Z25" s="50">
        <v>0</v>
      </c>
      <c r="AA25" s="72">
        <v>25</v>
      </c>
      <c r="AB25" s="72"/>
      <c r="AC25" s="73"/>
      <c r="AD25" s="80" t="s">
        <v>1427</v>
      </c>
      <c r="AE25" s="80" t="s">
        <v>1949</v>
      </c>
      <c r="AF25" s="80"/>
      <c r="AG25" s="80"/>
      <c r="AH25" s="80"/>
      <c r="AI25" s="80"/>
      <c r="AJ25" s="87">
        <v>38996.01060185185</v>
      </c>
      <c r="AK25" s="85" t="str">
        <f>HYPERLINK("https://yt3.ggpht.com/ytc/AKedOLRGb0OnAEGsmYKDXFZubGR9AprzpDsDvf9Mbvy0=s88-c-k-c0x00ffffff-no-rj")</f>
        <v>https://yt3.ggpht.com/ytc/AKedOLRGb0OnAEGsmYKDXFZubGR9AprzpDsDvf9Mbvy0=s88-c-k-c0x00ffffff-no-rj</v>
      </c>
      <c r="AL25" s="80">
        <v>1031232</v>
      </c>
      <c r="AM25" s="80">
        <v>0</v>
      </c>
      <c r="AN25" s="80">
        <v>623</v>
      </c>
      <c r="AO25" s="80" t="b">
        <v>0</v>
      </c>
      <c r="AP25" s="80">
        <v>331</v>
      </c>
      <c r="AQ25" s="80"/>
      <c r="AR25" s="80"/>
      <c r="AS25" s="80" t="s">
        <v>2085</v>
      </c>
      <c r="AT25" s="85" t="str">
        <f>HYPERLINK("https://www.youtube.com/channel/UCkAhBu07qkxhpop1KWT7LKQ")</f>
        <v>https://www.youtube.com/channel/UCkAhBu07qkxhpop1KWT7LKQ</v>
      </c>
      <c r="AU25" s="80" t="str">
        <f>REPLACE(INDEX(GroupVertices[Group],MATCH(Vertices[[#This Row],[Vertex]],GroupVertices[Vertex],0)),1,1,"")</f>
        <v>1</v>
      </c>
      <c r="AV25" s="49">
        <v>0</v>
      </c>
      <c r="AW25" s="50">
        <v>0</v>
      </c>
      <c r="AX25" s="49">
        <v>1</v>
      </c>
      <c r="AY25" s="50">
        <v>25</v>
      </c>
      <c r="AZ25" s="49">
        <v>0</v>
      </c>
      <c r="BA25" s="50">
        <v>0</v>
      </c>
      <c r="BB25" s="49">
        <v>3</v>
      </c>
      <c r="BC25" s="50">
        <v>75</v>
      </c>
      <c r="BD25" s="49">
        <v>4</v>
      </c>
      <c r="BE25" s="49"/>
      <c r="BF25" s="49"/>
      <c r="BG25" s="49"/>
      <c r="BH25" s="49"/>
      <c r="BI25" s="49"/>
      <c r="BJ25" s="49"/>
      <c r="BK25" s="111" t="s">
        <v>3419</v>
      </c>
      <c r="BL25" s="111" t="s">
        <v>3419</v>
      </c>
      <c r="BM25" s="111" t="s">
        <v>3870</v>
      </c>
      <c r="BN25" s="111" t="s">
        <v>3870</v>
      </c>
      <c r="BO25" s="2"/>
      <c r="BP25" s="3"/>
      <c r="BQ25" s="3"/>
      <c r="BR25" s="3"/>
      <c r="BS25" s="3"/>
    </row>
    <row r="26" spans="1:71" ht="15">
      <c r="A26" s="65" t="s">
        <v>360</v>
      </c>
      <c r="B26" s="66"/>
      <c r="C26" s="66"/>
      <c r="D26" s="67">
        <v>150</v>
      </c>
      <c r="E26" s="69"/>
      <c r="F26" s="103" t="str">
        <f>HYPERLINK("https://yt3.ggpht.com/ytc/AKedOLTfM0LzuZ8z_R02tWeuMaKmA4z7Jskvog_DkWZv=s88-c-k-c0x00ffffff-no-rj")</f>
        <v>https://yt3.ggpht.com/ytc/AKedOLTfM0LzuZ8z_R02tWeuMaKmA4z7Jskvog_DkWZv=s88-c-k-c0x00ffffff-no-rj</v>
      </c>
      <c r="G26" s="66"/>
      <c r="H26" s="70" t="s">
        <v>1428</v>
      </c>
      <c r="I26" s="71"/>
      <c r="J26" s="71" t="s">
        <v>159</v>
      </c>
      <c r="K26" s="70" t="s">
        <v>1428</v>
      </c>
      <c r="L26" s="74">
        <v>1</v>
      </c>
      <c r="M26" s="75">
        <v>7471.61572265625</v>
      </c>
      <c r="N26" s="75">
        <v>6926.42431640625</v>
      </c>
      <c r="O26" s="76"/>
      <c r="P26" s="77"/>
      <c r="Q26" s="77"/>
      <c r="R26" s="89"/>
      <c r="S26" s="49">
        <v>0</v>
      </c>
      <c r="T26" s="49">
        <v>1</v>
      </c>
      <c r="U26" s="50">
        <v>0</v>
      </c>
      <c r="V26" s="50">
        <v>0.478122</v>
      </c>
      <c r="W26" s="50">
        <v>0.03471</v>
      </c>
      <c r="X26" s="50">
        <v>0.001935</v>
      </c>
      <c r="Y26" s="50">
        <v>0</v>
      </c>
      <c r="Z26" s="50">
        <v>0</v>
      </c>
      <c r="AA26" s="72">
        <v>26</v>
      </c>
      <c r="AB26" s="72"/>
      <c r="AC26" s="73"/>
      <c r="AD26" s="80" t="s">
        <v>1428</v>
      </c>
      <c r="AE26" s="80"/>
      <c r="AF26" s="80"/>
      <c r="AG26" s="80"/>
      <c r="AH26" s="80"/>
      <c r="AI26" s="80"/>
      <c r="AJ26" s="87">
        <v>40811.644583333335</v>
      </c>
      <c r="AK26" s="85" t="str">
        <f>HYPERLINK("https://yt3.ggpht.com/ytc/AKedOLTfM0LzuZ8z_R02tWeuMaKmA4z7Jskvog_DkWZv=s88-c-k-c0x00ffffff-no-rj")</f>
        <v>https://yt3.ggpht.com/ytc/AKedOLTfM0LzuZ8z_R02tWeuMaKmA4z7Jskvog_DkWZv=s88-c-k-c0x00ffffff-no-rj</v>
      </c>
      <c r="AL26" s="80">
        <v>1844</v>
      </c>
      <c r="AM26" s="80">
        <v>0</v>
      </c>
      <c r="AN26" s="80">
        <v>22</v>
      </c>
      <c r="AO26" s="80" t="b">
        <v>0</v>
      </c>
      <c r="AP26" s="80">
        <v>30</v>
      </c>
      <c r="AQ26" s="80"/>
      <c r="AR26" s="80"/>
      <c r="AS26" s="80" t="s">
        <v>2085</v>
      </c>
      <c r="AT26" s="85" t="str">
        <f>HYPERLINK("https://www.youtube.com/channel/UCuFULeJfx--SkAE3EOYSHFg")</f>
        <v>https://www.youtube.com/channel/UCuFULeJfx--SkAE3EOYSHFg</v>
      </c>
      <c r="AU26" s="80" t="str">
        <f>REPLACE(INDEX(GroupVertices[Group],MATCH(Vertices[[#This Row],[Vertex]],GroupVertices[Vertex],0)),1,1,"")</f>
        <v>1</v>
      </c>
      <c r="AV26" s="49">
        <v>2</v>
      </c>
      <c r="AW26" s="50">
        <v>25</v>
      </c>
      <c r="AX26" s="49">
        <v>0</v>
      </c>
      <c r="AY26" s="50">
        <v>0</v>
      </c>
      <c r="AZ26" s="49">
        <v>0</v>
      </c>
      <c r="BA26" s="50">
        <v>0</v>
      </c>
      <c r="BB26" s="49">
        <v>6</v>
      </c>
      <c r="BC26" s="50">
        <v>75</v>
      </c>
      <c r="BD26" s="49">
        <v>8</v>
      </c>
      <c r="BE26" s="49"/>
      <c r="BF26" s="49"/>
      <c r="BG26" s="49"/>
      <c r="BH26" s="49"/>
      <c r="BI26" s="49"/>
      <c r="BJ26" s="49"/>
      <c r="BK26" s="111" t="s">
        <v>3420</v>
      </c>
      <c r="BL26" s="111" t="s">
        <v>3420</v>
      </c>
      <c r="BM26" s="111" t="s">
        <v>3871</v>
      </c>
      <c r="BN26" s="111" t="s">
        <v>3871</v>
      </c>
      <c r="BO26" s="2"/>
      <c r="BP26" s="3"/>
      <c r="BQ26" s="3"/>
      <c r="BR26" s="3"/>
      <c r="BS26" s="3"/>
    </row>
    <row r="27" spans="1:71" ht="15">
      <c r="A27" s="65" t="s">
        <v>361</v>
      </c>
      <c r="B27" s="66"/>
      <c r="C27" s="66"/>
      <c r="D27" s="67">
        <v>150</v>
      </c>
      <c r="E27" s="69"/>
      <c r="F27" s="103" t="str">
        <f>HYPERLINK("https://yt3.ggpht.com/e7HzXPL-wtMXS1TOdjqNDxrPq3_-20K5S7pv8uzafg5vf8_S7avrGmyfADdilSALGP12uE66Nw=s88-c-k-c0x00ffffff-no-rj")</f>
        <v>https://yt3.ggpht.com/e7HzXPL-wtMXS1TOdjqNDxrPq3_-20K5S7pv8uzafg5vf8_S7avrGmyfADdilSALGP12uE66Nw=s88-c-k-c0x00ffffff-no-rj</v>
      </c>
      <c r="G27" s="66"/>
      <c r="H27" s="70" t="s">
        <v>1429</v>
      </c>
      <c r="I27" s="71"/>
      <c r="J27" s="71" t="s">
        <v>159</v>
      </c>
      <c r="K27" s="70" t="s">
        <v>1429</v>
      </c>
      <c r="L27" s="74">
        <v>1</v>
      </c>
      <c r="M27" s="75">
        <v>905.6878051757812</v>
      </c>
      <c r="N27" s="75">
        <v>7432.91455078125</v>
      </c>
      <c r="O27" s="76"/>
      <c r="P27" s="77"/>
      <c r="Q27" s="77"/>
      <c r="R27" s="89"/>
      <c r="S27" s="49">
        <v>0</v>
      </c>
      <c r="T27" s="49">
        <v>1</v>
      </c>
      <c r="U27" s="50">
        <v>0</v>
      </c>
      <c r="V27" s="50">
        <v>0.478122</v>
      </c>
      <c r="W27" s="50">
        <v>0.03471</v>
      </c>
      <c r="X27" s="50">
        <v>0.001935</v>
      </c>
      <c r="Y27" s="50">
        <v>0</v>
      </c>
      <c r="Z27" s="50">
        <v>0</v>
      </c>
      <c r="AA27" s="72">
        <v>27</v>
      </c>
      <c r="AB27" s="72"/>
      <c r="AC27" s="73"/>
      <c r="AD27" s="80" t="s">
        <v>1429</v>
      </c>
      <c r="AE27" s="80" t="s">
        <v>1950</v>
      </c>
      <c r="AF27" s="80"/>
      <c r="AG27" s="80"/>
      <c r="AH27" s="80"/>
      <c r="AI27" s="80" t="s">
        <v>2055</v>
      </c>
      <c r="AJ27" s="87">
        <v>39136.05306712963</v>
      </c>
      <c r="AK27" s="85" t="str">
        <f>HYPERLINK("https://yt3.ggpht.com/e7HzXPL-wtMXS1TOdjqNDxrPq3_-20K5S7pv8uzafg5vf8_S7avrGmyfADdilSALGP12uE66Nw=s88-c-k-c0x00ffffff-no-rj")</f>
        <v>https://yt3.ggpht.com/e7HzXPL-wtMXS1TOdjqNDxrPq3_-20K5S7pv8uzafg5vf8_S7avrGmyfADdilSALGP12uE66Nw=s88-c-k-c0x00ffffff-no-rj</v>
      </c>
      <c r="AL27" s="80">
        <v>1186</v>
      </c>
      <c r="AM27" s="80">
        <v>0</v>
      </c>
      <c r="AN27" s="80">
        <v>157</v>
      </c>
      <c r="AO27" s="80" t="b">
        <v>0</v>
      </c>
      <c r="AP27" s="80">
        <v>25</v>
      </c>
      <c r="AQ27" s="80"/>
      <c r="AR27" s="80"/>
      <c r="AS27" s="80" t="s">
        <v>2085</v>
      </c>
      <c r="AT27" s="85" t="str">
        <f>HYPERLINK("https://www.youtube.com/channel/UCU9I36rHcxzA10I5uQCav7Q")</f>
        <v>https://www.youtube.com/channel/UCU9I36rHcxzA10I5uQCav7Q</v>
      </c>
      <c r="AU27" s="80" t="str">
        <f>REPLACE(INDEX(GroupVertices[Group],MATCH(Vertices[[#This Row],[Vertex]],GroupVertices[Vertex],0)),1,1,"")</f>
        <v>1</v>
      </c>
      <c r="AV27" s="49">
        <v>1</v>
      </c>
      <c r="AW27" s="50">
        <v>50</v>
      </c>
      <c r="AX27" s="49">
        <v>0</v>
      </c>
      <c r="AY27" s="50">
        <v>0</v>
      </c>
      <c r="AZ27" s="49">
        <v>0</v>
      </c>
      <c r="BA27" s="50">
        <v>0</v>
      </c>
      <c r="BB27" s="49">
        <v>1</v>
      </c>
      <c r="BC27" s="50">
        <v>50</v>
      </c>
      <c r="BD27" s="49">
        <v>2</v>
      </c>
      <c r="BE27" s="49"/>
      <c r="BF27" s="49"/>
      <c r="BG27" s="49"/>
      <c r="BH27" s="49"/>
      <c r="BI27" s="49"/>
      <c r="BJ27" s="49"/>
      <c r="BK27" s="111" t="s">
        <v>3421</v>
      </c>
      <c r="BL27" s="111" t="s">
        <v>3421</v>
      </c>
      <c r="BM27" s="111" t="s">
        <v>3872</v>
      </c>
      <c r="BN27" s="111" t="s">
        <v>3872</v>
      </c>
      <c r="BO27" s="2"/>
      <c r="BP27" s="3"/>
      <c r="BQ27" s="3"/>
      <c r="BR27" s="3"/>
      <c r="BS27" s="3"/>
    </row>
    <row r="28" spans="1:71" ht="15">
      <c r="A28" s="65" t="s">
        <v>362</v>
      </c>
      <c r="B28" s="66"/>
      <c r="C28" s="66"/>
      <c r="D28" s="67">
        <v>150</v>
      </c>
      <c r="E28" s="69"/>
      <c r="F28" s="103" t="str">
        <f>HYPERLINK("https://yt3.ggpht.com/ytc/AKedOLQePUT1r6mxxuJzvTMYGka0bPf4eDkymL3K0y2m=s88-c-k-c0x00ffffff-no-rj")</f>
        <v>https://yt3.ggpht.com/ytc/AKedOLQePUT1r6mxxuJzvTMYGka0bPf4eDkymL3K0y2m=s88-c-k-c0x00ffffff-no-rj</v>
      </c>
      <c r="G28" s="66"/>
      <c r="H28" s="70" t="s">
        <v>1430</v>
      </c>
      <c r="I28" s="71"/>
      <c r="J28" s="71" t="s">
        <v>159</v>
      </c>
      <c r="K28" s="70" t="s">
        <v>1430</v>
      </c>
      <c r="L28" s="74">
        <v>1</v>
      </c>
      <c r="M28" s="75">
        <v>7868.67724609375</v>
      </c>
      <c r="N28" s="75">
        <v>6252.2080078125</v>
      </c>
      <c r="O28" s="76"/>
      <c r="P28" s="77"/>
      <c r="Q28" s="77"/>
      <c r="R28" s="89"/>
      <c r="S28" s="49">
        <v>0</v>
      </c>
      <c r="T28" s="49">
        <v>1</v>
      </c>
      <c r="U28" s="50">
        <v>0</v>
      </c>
      <c r="V28" s="50">
        <v>0.478122</v>
      </c>
      <c r="W28" s="50">
        <v>0.03471</v>
      </c>
      <c r="X28" s="50">
        <v>0.001935</v>
      </c>
      <c r="Y28" s="50">
        <v>0</v>
      </c>
      <c r="Z28" s="50">
        <v>0</v>
      </c>
      <c r="AA28" s="72">
        <v>28</v>
      </c>
      <c r="AB28" s="72"/>
      <c r="AC28" s="73"/>
      <c r="AD28" s="80" t="s">
        <v>1430</v>
      </c>
      <c r="AE28" s="80"/>
      <c r="AF28" s="80"/>
      <c r="AG28" s="80"/>
      <c r="AH28" s="80"/>
      <c r="AI28" s="80"/>
      <c r="AJ28" s="87">
        <v>40798.35290509259</v>
      </c>
      <c r="AK28" s="85" t="str">
        <f>HYPERLINK("https://yt3.ggpht.com/ytc/AKedOLQePUT1r6mxxuJzvTMYGka0bPf4eDkymL3K0y2m=s88-c-k-c0x00ffffff-no-rj")</f>
        <v>https://yt3.ggpht.com/ytc/AKedOLQePUT1r6mxxuJzvTMYGka0bPf4eDkymL3K0y2m=s88-c-k-c0x00ffffff-no-rj</v>
      </c>
      <c r="AL28" s="80">
        <v>0</v>
      </c>
      <c r="AM28" s="80">
        <v>0</v>
      </c>
      <c r="AN28" s="80">
        <v>17</v>
      </c>
      <c r="AO28" s="80" t="b">
        <v>0</v>
      </c>
      <c r="AP28" s="80">
        <v>0</v>
      </c>
      <c r="AQ28" s="80"/>
      <c r="AR28" s="80"/>
      <c r="AS28" s="80" t="s">
        <v>2085</v>
      </c>
      <c r="AT28" s="85" t="str">
        <f>HYPERLINK("https://www.youtube.com/channel/UCAZ9QCr8x4tJzY28V3nNZPA")</f>
        <v>https://www.youtube.com/channel/UCAZ9QCr8x4tJzY28V3nNZPA</v>
      </c>
      <c r="AU28" s="80" t="str">
        <f>REPLACE(INDEX(GroupVertices[Group],MATCH(Vertices[[#This Row],[Vertex]],GroupVertices[Vertex],0)),1,1,"")</f>
        <v>1</v>
      </c>
      <c r="AV28" s="49">
        <v>0</v>
      </c>
      <c r="AW28" s="50">
        <v>0</v>
      </c>
      <c r="AX28" s="49">
        <v>1</v>
      </c>
      <c r="AY28" s="50">
        <v>4.3478260869565215</v>
      </c>
      <c r="AZ28" s="49">
        <v>0</v>
      </c>
      <c r="BA28" s="50">
        <v>0</v>
      </c>
      <c r="BB28" s="49">
        <v>22</v>
      </c>
      <c r="BC28" s="50">
        <v>95.65217391304348</v>
      </c>
      <c r="BD28" s="49">
        <v>23</v>
      </c>
      <c r="BE28" s="49"/>
      <c r="BF28" s="49"/>
      <c r="BG28" s="49"/>
      <c r="BH28" s="49"/>
      <c r="BI28" s="49"/>
      <c r="BJ28" s="49"/>
      <c r="BK28" s="111" t="s">
        <v>3422</v>
      </c>
      <c r="BL28" s="111" t="s">
        <v>3422</v>
      </c>
      <c r="BM28" s="111" t="s">
        <v>3873</v>
      </c>
      <c r="BN28" s="111" t="s">
        <v>3873</v>
      </c>
      <c r="BO28" s="2"/>
      <c r="BP28" s="3"/>
      <c r="BQ28" s="3"/>
      <c r="BR28" s="3"/>
      <c r="BS28" s="3"/>
    </row>
    <row r="29" spans="1:71" ht="15">
      <c r="A29" s="65" t="s">
        <v>363</v>
      </c>
      <c r="B29" s="66"/>
      <c r="C29" s="66"/>
      <c r="D29" s="67">
        <v>150</v>
      </c>
      <c r="E29" s="69"/>
      <c r="F29" s="103" t="str">
        <f>HYPERLINK("https://yt3.ggpht.com/ytc/AKedOLRV7PVVsps26xDfqWRkAPaKSeUNwTtzDerhbWfJUQ=s88-c-k-c0x00ffffff-no-rj")</f>
        <v>https://yt3.ggpht.com/ytc/AKedOLRV7PVVsps26xDfqWRkAPaKSeUNwTtzDerhbWfJUQ=s88-c-k-c0x00ffffff-no-rj</v>
      </c>
      <c r="G29" s="66"/>
      <c r="H29" s="70" t="s">
        <v>1431</v>
      </c>
      <c r="I29" s="71"/>
      <c r="J29" s="71" t="s">
        <v>159</v>
      </c>
      <c r="K29" s="70" t="s">
        <v>1431</v>
      </c>
      <c r="L29" s="74">
        <v>1</v>
      </c>
      <c r="M29" s="75">
        <v>3167.99560546875</v>
      </c>
      <c r="N29" s="75">
        <v>9544.0869140625</v>
      </c>
      <c r="O29" s="76"/>
      <c r="P29" s="77"/>
      <c r="Q29" s="77"/>
      <c r="R29" s="89"/>
      <c r="S29" s="49">
        <v>0</v>
      </c>
      <c r="T29" s="49">
        <v>1</v>
      </c>
      <c r="U29" s="50">
        <v>0</v>
      </c>
      <c r="V29" s="50">
        <v>0.478122</v>
      </c>
      <c r="W29" s="50">
        <v>0.03471</v>
      </c>
      <c r="X29" s="50">
        <v>0.001935</v>
      </c>
      <c r="Y29" s="50">
        <v>0</v>
      </c>
      <c r="Z29" s="50">
        <v>0</v>
      </c>
      <c r="AA29" s="72">
        <v>29</v>
      </c>
      <c r="AB29" s="72"/>
      <c r="AC29" s="73"/>
      <c r="AD29" s="80" t="s">
        <v>1431</v>
      </c>
      <c r="AE29" s="80"/>
      <c r="AF29" s="80"/>
      <c r="AG29" s="80"/>
      <c r="AH29" s="80"/>
      <c r="AI29" s="80"/>
      <c r="AJ29" s="87">
        <v>40343.93849537037</v>
      </c>
      <c r="AK29" s="85" t="str">
        <f>HYPERLINK("https://yt3.ggpht.com/ytc/AKedOLRV7PVVsps26xDfqWRkAPaKSeUNwTtzDerhbWfJUQ=s88-c-k-c0x00ffffff-no-rj")</f>
        <v>https://yt3.ggpht.com/ytc/AKedOLRV7PVVsps26xDfqWRkAPaKSeUNwTtzDerhbWfJUQ=s88-c-k-c0x00ffffff-no-rj</v>
      </c>
      <c r="AL29" s="80">
        <v>0</v>
      </c>
      <c r="AM29" s="80">
        <v>0</v>
      </c>
      <c r="AN29" s="80">
        <v>5</v>
      </c>
      <c r="AO29" s="80" t="b">
        <v>0</v>
      </c>
      <c r="AP29" s="80">
        <v>0</v>
      </c>
      <c r="AQ29" s="80"/>
      <c r="AR29" s="80"/>
      <c r="AS29" s="80" t="s">
        <v>2085</v>
      </c>
      <c r="AT29" s="85" t="str">
        <f>HYPERLINK("https://www.youtube.com/channel/UCY6KIyubYVIouNRwwHzJsoA")</f>
        <v>https://www.youtube.com/channel/UCY6KIyubYVIouNRwwHzJsoA</v>
      </c>
      <c r="AU29" s="80" t="str">
        <f>REPLACE(INDEX(GroupVertices[Group],MATCH(Vertices[[#This Row],[Vertex]],GroupVertices[Vertex],0)),1,1,"")</f>
        <v>1</v>
      </c>
      <c r="AV29" s="49">
        <v>1</v>
      </c>
      <c r="AW29" s="50">
        <v>5</v>
      </c>
      <c r="AX29" s="49">
        <v>0</v>
      </c>
      <c r="AY29" s="50">
        <v>0</v>
      </c>
      <c r="AZ29" s="49">
        <v>0</v>
      </c>
      <c r="BA29" s="50">
        <v>0</v>
      </c>
      <c r="BB29" s="49">
        <v>19</v>
      </c>
      <c r="BC29" s="50">
        <v>95</v>
      </c>
      <c r="BD29" s="49">
        <v>20</v>
      </c>
      <c r="BE29" s="49"/>
      <c r="BF29" s="49"/>
      <c r="BG29" s="49"/>
      <c r="BH29" s="49"/>
      <c r="BI29" s="49"/>
      <c r="BJ29" s="49"/>
      <c r="BK29" s="111" t="s">
        <v>3423</v>
      </c>
      <c r="BL29" s="111" t="s">
        <v>3423</v>
      </c>
      <c r="BM29" s="111" t="s">
        <v>3874</v>
      </c>
      <c r="BN29" s="111" t="s">
        <v>3874</v>
      </c>
      <c r="BO29" s="2"/>
      <c r="BP29" s="3"/>
      <c r="BQ29" s="3"/>
      <c r="BR29" s="3"/>
      <c r="BS29" s="3"/>
    </row>
    <row r="30" spans="1:71" ht="15">
      <c r="A30" s="65" t="s">
        <v>364</v>
      </c>
      <c r="B30" s="66"/>
      <c r="C30" s="66"/>
      <c r="D30" s="67">
        <v>150</v>
      </c>
      <c r="E30" s="69"/>
      <c r="F30" s="103" t="str">
        <f>HYPERLINK("https://yt3.ggpht.com/ytc/AKedOLS73BsCgcip85_hAK2aOPD5d4ZVULYaVB2N_w=s88-c-k-c0x00ffffff-no-rj")</f>
        <v>https://yt3.ggpht.com/ytc/AKedOLS73BsCgcip85_hAK2aOPD5d4ZVULYaVB2N_w=s88-c-k-c0x00ffffff-no-rj</v>
      </c>
      <c r="G30" s="66"/>
      <c r="H30" s="70" t="s">
        <v>1432</v>
      </c>
      <c r="I30" s="71"/>
      <c r="J30" s="71" t="s">
        <v>159</v>
      </c>
      <c r="K30" s="70" t="s">
        <v>1432</v>
      </c>
      <c r="L30" s="74">
        <v>1</v>
      </c>
      <c r="M30" s="75">
        <v>9181.671875</v>
      </c>
      <c r="N30" s="75">
        <v>1529.2587890625</v>
      </c>
      <c r="O30" s="76"/>
      <c r="P30" s="77"/>
      <c r="Q30" s="77"/>
      <c r="R30" s="89"/>
      <c r="S30" s="49">
        <v>0</v>
      </c>
      <c r="T30" s="49">
        <v>1</v>
      </c>
      <c r="U30" s="50">
        <v>0</v>
      </c>
      <c r="V30" s="50">
        <v>0.324168</v>
      </c>
      <c r="W30" s="50">
        <v>0.001665</v>
      </c>
      <c r="X30" s="50">
        <v>0.002061</v>
      </c>
      <c r="Y30" s="50">
        <v>0</v>
      </c>
      <c r="Z30" s="50">
        <v>0</v>
      </c>
      <c r="AA30" s="72">
        <v>30</v>
      </c>
      <c r="AB30" s="72"/>
      <c r="AC30" s="73"/>
      <c r="AD30" s="80" t="s">
        <v>1432</v>
      </c>
      <c r="AE30" s="80"/>
      <c r="AF30" s="80"/>
      <c r="AG30" s="80"/>
      <c r="AH30" s="80"/>
      <c r="AI30" s="80"/>
      <c r="AJ30" s="87">
        <v>41210.88322916667</v>
      </c>
      <c r="AK30" s="85" t="str">
        <f>HYPERLINK("https://yt3.ggpht.com/ytc/AKedOLS73BsCgcip85_hAK2aOPD5d4ZVULYaVB2N_w=s88-c-k-c0x00ffffff-no-rj")</f>
        <v>https://yt3.ggpht.com/ytc/AKedOLS73BsCgcip85_hAK2aOPD5d4ZVULYaVB2N_w=s88-c-k-c0x00ffffff-no-rj</v>
      </c>
      <c r="AL30" s="80">
        <v>81</v>
      </c>
      <c r="AM30" s="80">
        <v>0</v>
      </c>
      <c r="AN30" s="80">
        <v>3</v>
      </c>
      <c r="AO30" s="80" t="b">
        <v>0</v>
      </c>
      <c r="AP30" s="80">
        <v>4</v>
      </c>
      <c r="AQ30" s="80"/>
      <c r="AR30" s="80"/>
      <c r="AS30" s="80" t="s">
        <v>2085</v>
      </c>
      <c r="AT30" s="85" t="str">
        <f>HYPERLINK("https://www.youtube.com/channel/UC7TxlHY96CVsqbnjVYqOAuQ")</f>
        <v>https://www.youtube.com/channel/UC7TxlHY96CVsqbnjVYqOAuQ</v>
      </c>
      <c r="AU30" s="80" t="str">
        <f>REPLACE(INDEX(GroupVertices[Group],MATCH(Vertices[[#This Row],[Vertex]],GroupVertices[Vertex],0)),1,1,"")</f>
        <v>18</v>
      </c>
      <c r="AV30" s="49">
        <v>0</v>
      </c>
      <c r="AW30" s="50">
        <v>0</v>
      </c>
      <c r="AX30" s="49">
        <v>0</v>
      </c>
      <c r="AY30" s="50">
        <v>0</v>
      </c>
      <c r="AZ30" s="49">
        <v>0</v>
      </c>
      <c r="BA30" s="50">
        <v>0</v>
      </c>
      <c r="BB30" s="49">
        <v>4</v>
      </c>
      <c r="BC30" s="50">
        <v>100</v>
      </c>
      <c r="BD30" s="49">
        <v>4</v>
      </c>
      <c r="BE30" s="49"/>
      <c r="BF30" s="49"/>
      <c r="BG30" s="49"/>
      <c r="BH30" s="49"/>
      <c r="BI30" s="49"/>
      <c r="BJ30" s="49"/>
      <c r="BK30" s="111" t="s">
        <v>1927</v>
      </c>
      <c r="BL30" s="111" t="s">
        <v>1927</v>
      </c>
      <c r="BM30" s="111" t="s">
        <v>1927</v>
      </c>
      <c r="BN30" s="111" t="s">
        <v>1927</v>
      </c>
      <c r="BO30" s="2"/>
      <c r="BP30" s="3"/>
      <c r="BQ30" s="3"/>
      <c r="BR30" s="3"/>
      <c r="BS30" s="3"/>
    </row>
    <row r="31" spans="1:71" ht="15">
      <c r="A31" s="65" t="s">
        <v>365</v>
      </c>
      <c r="B31" s="66"/>
      <c r="C31" s="66"/>
      <c r="D31" s="67">
        <v>257.08850056369783</v>
      </c>
      <c r="E31" s="69"/>
      <c r="F31" s="103" t="str">
        <f>HYPERLINK("https://yt3.ggpht.com/ytc/AKedOLTn5c9wQs0G5NSTi7F6dkXHbn26QJ3EGuOcfg=s88-c-k-c0x00ffffff-no-rj")</f>
        <v>https://yt3.ggpht.com/ytc/AKedOLTn5c9wQs0G5NSTi7F6dkXHbn26QJ3EGuOcfg=s88-c-k-c0x00ffffff-no-rj</v>
      </c>
      <c r="G31" s="66"/>
      <c r="H31" s="70" t="s">
        <v>1433</v>
      </c>
      <c r="I31" s="71"/>
      <c r="J31" s="71" t="s">
        <v>75</v>
      </c>
      <c r="K31" s="70" t="s">
        <v>1433</v>
      </c>
      <c r="L31" s="74">
        <v>45.70324163334509</v>
      </c>
      <c r="M31" s="75">
        <v>9181.671875</v>
      </c>
      <c r="N31" s="75">
        <v>1176.3529052734375</v>
      </c>
      <c r="O31" s="76"/>
      <c r="P31" s="77"/>
      <c r="Q31" s="77"/>
      <c r="R31" s="89"/>
      <c r="S31" s="49">
        <v>1</v>
      </c>
      <c r="T31" s="49">
        <v>1</v>
      </c>
      <c r="U31" s="50">
        <v>894</v>
      </c>
      <c r="V31" s="50">
        <v>0.479144</v>
      </c>
      <c r="W31" s="50">
        <v>0.034791</v>
      </c>
      <c r="X31" s="50">
        <v>0.002244</v>
      </c>
      <c r="Y31" s="50">
        <v>0</v>
      </c>
      <c r="Z31" s="50">
        <v>0</v>
      </c>
      <c r="AA31" s="72">
        <v>31</v>
      </c>
      <c r="AB31" s="72"/>
      <c r="AC31" s="73"/>
      <c r="AD31" s="80" t="s">
        <v>1433</v>
      </c>
      <c r="AE31" s="80"/>
      <c r="AF31" s="80"/>
      <c r="AG31" s="80"/>
      <c r="AH31" s="80"/>
      <c r="AI31" s="80"/>
      <c r="AJ31" s="87">
        <v>39179.52302083333</v>
      </c>
      <c r="AK31" s="85" t="str">
        <f>HYPERLINK("https://yt3.ggpht.com/ytc/AKedOLTn5c9wQs0G5NSTi7F6dkXHbn26QJ3EGuOcfg=s88-c-k-c0x00ffffff-no-rj")</f>
        <v>https://yt3.ggpht.com/ytc/AKedOLTn5c9wQs0G5NSTi7F6dkXHbn26QJ3EGuOcfg=s88-c-k-c0x00ffffff-no-rj</v>
      </c>
      <c r="AL31" s="80">
        <v>484343</v>
      </c>
      <c r="AM31" s="80">
        <v>0</v>
      </c>
      <c r="AN31" s="80">
        <v>94</v>
      </c>
      <c r="AO31" s="80" t="b">
        <v>0</v>
      </c>
      <c r="AP31" s="80">
        <v>4</v>
      </c>
      <c r="AQ31" s="80"/>
      <c r="AR31" s="80"/>
      <c r="AS31" s="80" t="s">
        <v>2085</v>
      </c>
      <c r="AT31" s="85" t="str">
        <f>HYPERLINK("https://www.youtube.com/channel/UCVLKCfdA9325eztCzgg7vlg")</f>
        <v>https://www.youtube.com/channel/UCVLKCfdA9325eztCzgg7vlg</v>
      </c>
      <c r="AU31" s="80" t="str">
        <f>REPLACE(INDEX(GroupVertices[Group],MATCH(Vertices[[#This Row],[Vertex]],GroupVertices[Vertex],0)),1,1,"")</f>
        <v>18</v>
      </c>
      <c r="AV31" s="49">
        <v>1</v>
      </c>
      <c r="AW31" s="50">
        <v>4.545454545454546</v>
      </c>
      <c r="AX31" s="49">
        <v>0</v>
      </c>
      <c r="AY31" s="50">
        <v>0</v>
      </c>
      <c r="AZ31" s="49">
        <v>0</v>
      </c>
      <c r="BA31" s="50">
        <v>0</v>
      </c>
      <c r="BB31" s="49">
        <v>21</v>
      </c>
      <c r="BC31" s="50">
        <v>95.45454545454545</v>
      </c>
      <c r="BD31" s="49">
        <v>22</v>
      </c>
      <c r="BE31" s="49"/>
      <c r="BF31" s="49"/>
      <c r="BG31" s="49"/>
      <c r="BH31" s="49"/>
      <c r="BI31" s="49"/>
      <c r="BJ31" s="49"/>
      <c r="BK31" s="111" t="s">
        <v>3424</v>
      </c>
      <c r="BL31" s="111" t="s">
        <v>3424</v>
      </c>
      <c r="BM31" s="111" t="s">
        <v>3875</v>
      </c>
      <c r="BN31" s="111" t="s">
        <v>3875</v>
      </c>
      <c r="BO31" s="2"/>
      <c r="BP31" s="3"/>
      <c r="BQ31" s="3"/>
      <c r="BR31" s="3"/>
      <c r="BS31" s="3"/>
    </row>
    <row r="32" spans="1:71" ht="15">
      <c r="A32" s="65" t="s">
        <v>366</v>
      </c>
      <c r="B32" s="66"/>
      <c r="C32" s="66"/>
      <c r="D32" s="67">
        <v>150</v>
      </c>
      <c r="E32" s="69"/>
      <c r="F32" s="103" t="str">
        <f>HYPERLINK("https://yt3.ggpht.com/ytc/AKedOLSmd3F6LNyop0XgC_tEEEymunXouk8_qo3sefu5WA=s88-c-k-c0x00ffffff-no-rj")</f>
        <v>https://yt3.ggpht.com/ytc/AKedOLSmd3F6LNyop0XgC_tEEEymunXouk8_qo3sefu5WA=s88-c-k-c0x00ffffff-no-rj</v>
      </c>
      <c r="G32" s="66"/>
      <c r="H32" s="70" t="s">
        <v>1434</v>
      </c>
      <c r="I32" s="71"/>
      <c r="J32" s="71" t="s">
        <v>159</v>
      </c>
      <c r="K32" s="70" t="s">
        <v>1434</v>
      </c>
      <c r="L32" s="74">
        <v>1</v>
      </c>
      <c r="M32" s="75">
        <v>7061.6416015625</v>
      </c>
      <c r="N32" s="75">
        <v>8180.2802734375</v>
      </c>
      <c r="O32" s="76"/>
      <c r="P32" s="77"/>
      <c r="Q32" s="77"/>
      <c r="R32" s="89"/>
      <c r="S32" s="49">
        <v>0</v>
      </c>
      <c r="T32" s="49">
        <v>1</v>
      </c>
      <c r="U32" s="50">
        <v>0</v>
      </c>
      <c r="V32" s="50">
        <v>0.478122</v>
      </c>
      <c r="W32" s="50">
        <v>0.03471</v>
      </c>
      <c r="X32" s="50">
        <v>0.001935</v>
      </c>
      <c r="Y32" s="50">
        <v>0</v>
      </c>
      <c r="Z32" s="50">
        <v>0</v>
      </c>
      <c r="AA32" s="72">
        <v>32</v>
      </c>
      <c r="AB32" s="72"/>
      <c r="AC32" s="73"/>
      <c r="AD32" s="80" t="s">
        <v>1434</v>
      </c>
      <c r="AE32" s="80"/>
      <c r="AF32" s="80"/>
      <c r="AG32" s="80"/>
      <c r="AH32" s="80"/>
      <c r="AI32" s="80" t="s">
        <v>2056</v>
      </c>
      <c r="AJ32" s="87">
        <v>39713.579618055555</v>
      </c>
      <c r="AK32" s="85" t="str">
        <f>HYPERLINK("https://yt3.ggpht.com/ytc/AKedOLSmd3F6LNyop0XgC_tEEEymunXouk8_qo3sefu5WA=s88-c-k-c0x00ffffff-no-rj")</f>
        <v>https://yt3.ggpht.com/ytc/AKedOLSmd3F6LNyop0XgC_tEEEymunXouk8_qo3sefu5WA=s88-c-k-c0x00ffffff-no-rj</v>
      </c>
      <c r="AL32" s="80">
        <v>79112</v>
      </c>
      <c r="AM32" s="80">
        <v>0</v>
      </c>
      <c r="AN32" s="80">
        <v>73</v>
      </c>
      <c r="AO32" s="80" t="b">
        <v>0</v>
      </c>
      <c r="AP32" s="80">
        <v>163</v>
      </c>
      <c r="AQ32" s="80"/>
      <c r="AR32" s="80"/>
      <c r="AS32" s="80" t="s">
        <v>2085</v>
      </c>
      <c r="AT32" s="85" t="str">
        <f>HYPERLINK("https://www.youtube.com/channel/UCyVhBPlAU2vPVMwyy24fU1g")</f>
        <v>https://www.youtube.com/channel/UCyVhBPlAU2vPVMwyy24fU1g</v>
      </c>
      <c r="AU32" s="80" t="str">
        <f>REPLACE(INDEX(GroupVertices[Group],MATCH(Vertices[[#This Row],[Vertex]],GroupVertices[Vertex],0)),1,1,"")</f>
        <v>1</v>
      </c>
      <c r="AV32" s="49">
        <v>1</v>
      </c>
      <c r="AW32" s="50">
        <v>7.6923076923076925</v>
      </c>
      <c r="AX32" s="49">
        <v>0</v>
      </c>
      <c r="AY32" s="50">
        <v>0</v>
      </c>
      <c r="AZ32" s="49">
        <v>0</v>
      </c>
      <c r="BA32" s="50">
        <v>0</v>
      </c>
      <c r="BB32" s="49">
        <v>12</v>
      </c>
      <c r="BC32" s="50">
        <v>92.3076923076923</v>
      </c>
      <c r="BD32" s="49">
        <v>13</v>
      </c>
      <c r="BE32" s="49"/>
      <c r="BF32" s="49"/>
      <c r="BG32" s="49"/>
      <c r="BH32" s="49"/>
      <c r="BI32" s="49"/>
      <c r="BJ32" s="49"/>
      <c r="BK32" s="111" t="s">
        <v>3425</v>
      </c>
      <c r="BL32" s="111" t="s">
        <v>3425</v>
      </c>
      <c r="BM32" s="111" t="s">
        <v>3876</v>
      </c>
      <c r="BN32" s="111" t="s">
        <v>3876</v>
      </c>
      <c r="BO32" s="2"/>
      <c r="BP32" s="3"/>
      <c r="BQ32" s="3"/>
      <c r="BR32" s="3"/>
      <c r="BS32" s="3"/>
    </row>
    <row r="33" spans="1:71" ht="15">
      <c r="A33" s="65" t="s">
        <v>367</v>
      </c>
      <c r="B33" s="66"/>
      <c r="C33" s="66"/>
      <c r="D33" s="67">
        <v>150</v>
      </c>
      <c r="E33" s="69"/>
      <c r="F33" s="103" t="str">
        <f>HYPERLINK("https://yt3.ggpht.com/ytc/AKedOLQ5TMlYE51GR4gkq9xOmm3O9IPAkMiFEy36biEB=s88-c-k-c0x00ffffff-no-rj")</f>
        <v>https://yt3.ggpht.com/ytc/AKedOLQ5TMlYE51GR4gkq9xOmm3O9IPAkMiFEy36biEB=s88-c-k-c0x00ffffff-no-rj</v>
      </c>
      <c r="G33" s="66"/>
      <c r="H33" s="70" t="s">
        <v>1435</v>
      </c>
      <c r="I33" s="71"/>
      <c r="J33" s="71" t="s">
        <v>159</v>
      </c>
      <c r="K33" s="70" t="s">
        <v>1435</v>
      </c>
      <c r="L33" s="74">
        <v>1</v>
      </c>
      <c r="M33" s="75">
        <v>163.74691772460938</v>
      </c>
      <c r="N33" s="75">
        <v>4568.4677734375</v>
      </c>
      <c r="O33" s="76"/>
      <c r="P33" s="77"/>
      <c r="Q33" s="77"/>
      <c r="R33" s="89"/>
      <c r="S33" s="49">
        <v>0</v>
      </c>
      <c r="T33" s="49">
        <v>1</v>
      </c>
      <c r="U33" s="50">
        <v>0</v>
      </c>
      <c r="V33" s="50">
        <v>0.478122</v>
      </c>
      <c r="W33" s="50">
        <v>0.03471</v>
      </c>
      <c r="X33" s="50">
        <v>0.001935</v>
      </c>
      <c r="Y33" s="50">
        <v>0</v>
      </c>
      <c r="Z33" s="50">
        <v>0</v>
      </c>
      <c r="AA33" s="72">
        <v>33</v>
      </c>
      <c r="AB33" s="72"/>
      <c r="AC33" s="73"/>
      <c r="AD33" s="80" t="s">
        <v>1435</v>
      </c>
      <c r="AE33" s="80"/>
      <c r="AF33" s="80"/>
      <c r="AG33" s="80"/>
      <c r="AH33" s="80"/>
      <c r="AI33" s="80"/>
      <c r="AJ33" s="87">
        <v>39645.29592592592</v>
      </c>
      <c r="AK33" s="85" t="str">
        <f>HYPERLINK("https://yt3.ggpht.com/ytc/AKedOLQ5TMlYE51GR4gkq9xOmm3O9IPAkMiFEy36biEB=s88-c-k-c0x00ffffff-no-rj")</f>
        <v>https://yt3.ggpht.com/ytc/AKedOLQ5TMlYE51GR4gkq9xOmm3O9IPAkMiFEy36biEB=s88-c-k-c0x00ffffff-no-rj</v>
      </c>
      <c r="AL33" s="80">
        <v>2207</v>
      </c>
      <c r="AM33" s="80">
        <v>0</v>
      </c>
      <c r="AN33" s="80">
        <v>40</v>
      </c>
      <c r="AO33" s="80" t="b">
        <v>0</v>
      </c>
      <c r="AP33" s="80">
        <v>12</v>
      </c>
      <c r="AQ33" s="80"/>
      <c r="AR33" s="80"/>
      <c r="AS33" s="80" t="s">
        <v>2085</v>
      </c>
      <c r="AT33" s="85" t="str">
        <f>HYPERLINK("https://www.youtube.com/channel/UCF2xX0Jt59iinCHRA0lsU6Q")</f>
        <v>https://www.youtube.com/channel/UCF2xX0Jt59iinCHRA0lsU6Q</v>
      </c>
      <c r="AU33" s="80" t="str">
        <f>REPLACE(INDEX(GroupVertices[Group],MATCH(Vertices[[#This Row],[Vertex]],GroupVertices[Vertex],0)),1,1,"")</f>
        <v>1</v>
      </c>
      <c r="AV33" s="49">
        <v>0</v>
      </c>
      <c r="AW33" s="50">
        <v>0</v>
      </c>
      <c r="AX33" s="49">
        <v>1</v>
      </c>
      <c r="AY33" s="50">
        <v>5.2631578947368425</v>
      </c>
      <c r="AZ33" s="49">
        <v>0</v>
      </c>
      <c r="BA33" s="50">
        <v>0</v>
      </c>
      <c r="BB33" s="49">
        <v>18</v>
      </c>
      <c r="BC33" s="50">
        <v>94.73684210526316</v>
      </c>
      <c r="BD33" s="49">
        <v>19</v>
      </c>
      <c r="BE33" s="49"/>
      <c r="BF33" s="49"/>
      <c r="BG33" s="49"/>
      <c r="BH33" s="49"/>
      <c r="BI33" s="49"/>
      <c r="BJ33" s="49"/>
      <c r="BK33" s="111" t="s">
        <v>3426</v>
      </c>
      <c r="BL33" s="111" t="s">
        <v>3426</v>
      </c>
      <c r="BM33" s="111" t="s">
        <v>3877</v>
      </c>
      <c r="BN33" s="111" t="s">
        <v>3877</v>
      </c>
      <c r="BO33" s="2"/>
      <c r="BP33" s="3"/>
      <c r="BQ33" s="3"/>
      <c r="BR33" s="3"/>
      <c r="BS33" s="3"/>
    </row>
    <row r="34" spans="1:71" ht="15">
      <c r="A34" s="65" t="s">
        <v>368</v>
      </c>
      <c r="B34" s="66"/>
      <c r="C34" s="66"/>
      <c r="D34" s="67">
        <v>150</v>
      </c>
      <c r="E34" s="69"/>
      <c r="F34" s="103" t="str">
        <f>HYPERLINK("https://yt3.ggpht.com/ytc/AKedOLSi-xxZzslIkmlovUdvm0Q0rhhvnFmeTyoXpRWQ=s88-c-k-c0x00ffffff-no-rj")</f>
        <v>https://yt3.ggpht.com/ytc/AKedOLSi-xxZzslIkmlovUdvm0Q0rhhvnFmeTyoXpRWQ=s88-c-k-c0x00ffffff-no-rj</v>
      </c>
      <c r="G34" s="66"/>
      <c r="H34" s="70" t="s">
        <v>1436</v>
      </c>
      <c r="I34" s="71"/>
      <c r="J34" s="71" t="s">
        <v>159</v>
      </c>
      <c r="K34" s="70" t="s">
        <v>1436</v>
      </c>
      <c r="L34" s="74">
        <v>1</v>
      </c>
      <c r="M34" s="75">
        <v>397.2394104003906</v>
      </c>
      <c r="N34" s="75">
        <v>6325.57275390625</v>
      </c>
      <c r="O34" s="76"/>
      <c r="P34" s="77"/>
      <c r="Q34" s="77"/>
      <c r="R34" s="89"/>
      <c r="S34" s="49">
        <v>0</v>
      </c>
      <c r="T34" s="49">
        <v>1</v>
      </c>
      <c r="U34" s="50">
        <v>0</v>
      </c>
      <c r="V34" s="50">
        <v>0.478122</v>
      </c>
      <c r="W34" s="50">
        <v>0.03471</v>
      </c>
      <c r="X34" s="50">
        <v>0.001935</v>
      </c>
      <c r="Y34" s="50">
        <v>0</v>
      </c>
      <c r="Z34" s="50">
        <v>0</v>
      </c>
      <c r="AA34" s="72">
        <v>34</v>
      </c>
      <c r="AB34" s="72"/>
      <c r="AC34" s="73"/>
      <c r="AD34" s="80" t="s">
        <v>1436</v>
      </c>
      <c r="AE34" s="80" t="s">
        <v>1951</v>
      </c>
      <c r="AF34" s="80"/>
      <c r="AG34" s="80"/>
      <c r="AH34" s="80"/>
      <c r="AI34" s="80"/>
      <c r="AJ34" s="87">
        <v>39834.92422453704</v>
      </c>
      <c r="AK34" s="85" t="str">
        <f>HYPERLINK("https://yt3.ggpht.com/ytc/AKedOLSi-xxZzslIkmlovUdvm0Q0rhhvnFmeTyoXpRWQ=s88-c-k-c0x00ffffff-no-rj")</f>
        <v>https://yt3.ggpht.com/ytc/AKedOLSi-xxZzslIkmlovUdvm0Q0rhhvnFmeTyoXpRWQ=s88-c-k-c0x00ffffff-no-rj</v>
      </c>
      <c r="AL34" s="80">
        <v>154831</v>
      </c>
      <c r="AM34" s="80">
        <v>0</v>
      </c>
      <c r="AN34" s="80">
        <v>92</v>
      </c>
      <c r="AO34" s="80" t="b">
        <v>0</v>
      </c>
      <c r="AP34" s="80">
        <v>5</v>
      </c>
      <c r="AQ34" s="80"/>
      <c r="AR34" s="80"/>
      <c r="AS34" s="80" t="s">
        <v>2085</v>
      </c>
      <c r="AT34" s="85" t="str">
        <f>HYPERLINK("https://www.youtube.com/channel/UCKhhUAyaQUs5enJktUrcR-A")</f>
        <v>https://www.youtube.com/channel/UCKhhUAyaQUs5enJktUrcR-A</v>
      </c>
      <c r="AU34" s="80" t="str">
        <f>REPLACE(INDEX(GroupVertices[Group],MATCH(Vertices[[#This Row],[Vertex]],GroupVertices[Vertex],0)),1,1,"")</f>
        <v>1</v>
      </c>
      <c r="AV34" s="49">
        <v>0</v>
      </c>
      <c r="AW34" s="50">
        <v>0</v>
      </c>
      <c r="AX34" s="49">
        <v>0</v>
      </c>
      <c r="AY34" s="50">
        <v>0</v>
      </c>
      <c r="AZ34" s="49">
        <v>0</v>
      </c>
      <c r="BA34" s="50">
        <v>0</v>
      </c>
      <c r="BB34" s="49">
        <v>3</v>
      </c>
      <c r="BC34" s="50">
        <v>100</v>
      </c>
      <c r="BD34" s="49">
        <v>3</v>
      </c>
      <c r="BE34" s="49"/>
      <c r="BF34" s="49"/>
      <c r="BG34" s="49"/>
      <c r="BH34" s="49"/>
      <c r="BI34" s="49"/>
      <c r="BJ34" s="49"/>
      <c r="BK34" s="111" t="s">
        <v>3427</v>
      </c>
      <c r="BL34" s="111" t="s">
        <v>3427</v>
      </c>
      <c r="BM34" s="111" t="s">
        <v>3878</v>
      </c>
      <c r="BN34" s="111" t="s">
        <v>3878</v>
      </c>
      <c r="BO34" s="2"/>
      <c r="BP34" s="3"/>
      <c r="BQ34" s="3"/>
      <c r="BR34" s="3"/>
      <c r="BS34" s="3"/>
    </row>
    <row r="35" spans="1:71" ht="15">
      <c r="A35" s="65" t="s">
        <v>369</v>
      </c>
      <c r="B35" s="66"/>
      <c r="C35" s="66"/>
      <c r="D35" s="67">
        <v>150</v>
      </c>
      <c r="E35" s="69"/>
      <c r="F35" s="103" t="str">
        <f>HYPERLINK("https://yt3.ggpht.com/ytc/AKedOLTvKX-FgUVKAAYKd-LJK9kHHSKnvvl-3Lrouz0wkyM=s88-c-k-c0x00ffffff-no-rj")</f>
        <v>https://yt3.ggpht.com/ytc/AKedOLTvKX-FgUVKAAYKd-LJK9kHHSKnvvl-3Lrouz0wkyM=s88-c-k-c0x00ffffff-no-rj</v>
      </c>
      <c r="G35" s="66"/>
      <c r="H35" s="70" t="s">
        <v>1437</v>
      </c>
      <c r="I35" s="71"/>
      <c r="J35" s="71" t="s">
        <v>159</v>
      </c>
      <c r="K35" s="70" t="s">
        <v>1437</v>
      </c>
      <c r="L35" s="74">
        <v>1</v>
      </c>
      <c r="M35" s="75">
        <v>5197.2109375</v>
      </c>
      <c r="N35" s="75">
        <v>7619.97802734375</v>
      </c>
      <c r="O35" s="76"/>
      <c r="P35" s="77"/>
      <c r="Q35" s="77"/>
      <c r="R35" s="89"/>
      <c r="S35" s="49">
        <v>0</v>
      </c>
      <c r="T35" s="49">
        <v>1</v>
      </c>
      <c r="U35" s="50">
        <v>0</v>
      </c>
      <c r="V35" s="50">
        <v>0.478122</v>
      </c>
      <c r="W35" s="50">
        <v>0.03471</v>
      </c>
      <c r="X35" s="50">
        <v>0.001935</v>
      </c>
      <c r="Y35" s="50">
        <v>0</v>
      </c>
      <c r="Z35" s="50">
        <v>0</v>
      </c>
      <c r="AA35" s="72">
        <v>35</v>
      </c>
      <c r="AB35" s="72"/>
      <c r="AC35" s="73"/>
      <c r="AD35" s="80" t="s">
        <v>1437</v>
      </c>
      <c r="AE35" s="80"/>
      <c r="AF35" s="80"/>
      <c r="AG35" s="80"/>
      <c r="AH35" s="80"/>
      <c r="AI35" s="80"/>
      <c r="AJ35" s="87">
        <v>41060.35303240741</v>
      </c>
      <c r="AK35" s="85" t="str">
        <f>HYPERLINK("https://yt3.ggpht.com/ytc/AKedOLTvKX-FgUVKAAYKd-LJK9kHHSKnvvl-3Lrouz0wkyM=s88-c-k-c0x00ffffff-no-rj")</f>
        <v>https://yt3.ggpht.com/ytc/AKedOLTvKX-FgUVKAAYKd-LJK9kHHSKnvvl-3Lrouz0wkyM=s88-c-k-c0x00ffffff-no-rj</v>
      </c>
      <c r="AL35" s="80">
        <v>15402</v>
      </c>
      <c r="AM35" s="80">
        <v>0</v>
      </c>
      <c r="AN35" s="80">
        <v>15</v>
      </c>
      <c r="AO35" s="80" t="b">
        <v>0</v>
      </c>
      <c r="AP35" s="80">
        <v>43</v>
      </c>
      <c r="AQ35" s="80"/>
      <c r="AR35" s="80"/>
      <c r="AS35" s="80" t="s">
        <v>2085</v>
      </c>
      <c r="AT35" s="85" t="str">
        <f>HYPERLINK("https://www.youtube.com/channel/UC8SEr2exDhoViCH1TOcGTnw")</f>
        <v>https://www.youtube.com/channel/UC8SEr2exDhoViCH1TOcGTnw</v>
      </c>
      <c r="AU35" s="80" t="str">
        <f>REPLACE(INDEX(GroupVertices[Group],MATCH(Vertices[[#This Row],[Vertex]],GroupVertices[Vertex],0)),1,1,"")</f>
        <v>1</v>
      </c>
      <c r="AV35" s="49">
        <v>1</v>
      </c>
      <c r="AW35" s="50">
        <v>5.882352941176471</v>
      </c>
      <c r="AX35" s="49">
        <v>2</v>
      </c>
      <c r="AY35" s="50">
        <v>11.764705882352942</v>
      </c>
      <c r="AZ35" s="49">
        <v>0</v>
      </c>
      <c r="BA35" s="50">
        <v>0</v>
      </c>
      <c r="BB35" s="49">
        <v>14</v>
      </c>
      <c r="BC35" s="50">
        <v>82.3529411764706</v>
      </c>
      <c r="BD35" s="49">
        <v>17</v>
      </c>
      <c r="BE35" s="49"/>
      <c r="BF35" s="49"/>
      <c r="BG35" s="49"/>
      <c r="BH35" s="49"/>
      <c r="BI35" s="49"/>
      <c r="BJ35" s="49"/>
      <c r="BK35" s="111" t="s">
        <v>3428</v>
      </c>
      <c r="BL35" s="111" t="s">
        <v>3428</v>
      </c>
      <c r="BM35" s="111" t="s">
        <v>3879</v>
      </c>
      <c r="BN35" s="111" t="s">
        <v>3879</v>
      </c>
      <c r="BO35" s="2"/>
      <c r="BP35" s="3"/>
      <c r="BQ35" s="3"/>
      <c r="BR35" s="3"/>
      <c r="BS35" s="3"/>
    </row>
    <row r="36" spans="1:71" ht="15">
      <c r="A36" s="65" t="s">
        <v>370</v>
      </c>
      <c r="B36" s="66"/>
      <c r="C36" s="66"/>
      <c r="D36" s="67">
        <v>150</v>
      </c>
      <c r="E36" s="69"/>
      <c r="F36" s="103" t="str">
        <f>HYPERLINK("https://yt3.ggpht.com/ytc/AKedOLREt59jrkWSt9_etyq_qMQYHGDQ6_oX4eHKyg=s88-c-k-c0x00ffffff-no-rj")</f>
        <v>https://yt3.ggpht.com/ytc/AKedOLREt59jrkWSt9_etyq_qMQYHGDQ6_oX4eHKyg=s88-c-k-c0x00ffffff-no-rj</v>
      </c>
      <c r="G36" s="66"/>
      <c r="H36" s="70" t="s">
        <v>1438</v>
      </c>
      <c r="I36" s="71"/>
      <c r="J36" s="71" t="s">
        <v>159</v>
      </c>
      <c r="K36" s="70" t="s">
        <v>1438</v>
      </c>
      <c r="L36" s="74">
        <v>1</v>
      </c>
      <c r="M36" s="75">
        <v>2126.031494140625</v>
      </c>
      <c r="N36" s="75">
        <v>8049.18310546875</v>
      </c>
      <c r="O36" s="76"/>
      <c r="P36" s="77"/>
      <c r="Q36" s="77"/>
      <c r="R36" s="89"/>
      <c r="S36" s="49">
        <v>0</v>
      </c>
      <c r="T36" s="49">
        <v>1</v>
      </c>
      <c r="U36" s="50">
        <v>0</v>
      </c>
      <c r="V36" s="50">
        <v>0.478122</v>
      </c>
      <c r="W36" s="50">
        <v>0.03471</v>
      </c>
      <c r="X36" s="50">
        <v>0.001935</v>
      </c>
      <c r="Y36" s="50">
        <v>0</v>
      </c>
      <c r="Z36" s="50">
        <v>0</v>
      </c>
      <c r="AA36" s="72">
        <v>36</v>
      </c>
      <c r="AB36" s="72"/>
      <c r="AC36" s="73"/>
      <c r="AD36" s="80" t="s">
        <v>1438</v>
      </c>
      <c r="AE36" s="80" t="s">
        <v>1952</v>
      </c>
      <c r="AF36" s="80"/>
      <c r="AG36" s="80"/>
      <c r="AH36" s="80"/>
      <c r="AI36" s="80"/>
      <c r="AJ36" s="87">
        <v>39444.58392361111</v>
      </c>
      <c r="AK36" s="85" t="str">
        <f>HYPERLINK("https://yt3.ggpht.com/ytc/AKedOLREt59jrkWSt9_etyq_qMQYHGDQ6_oX4eHKyg=s88-c-k-c0x00ffffff-no-rj")</f>
        <v>https://yt3.ggpht.com/ytc/AKedOLREt59jrkWSt9_etyq_qMQYHGDQ6_oX4eHKyg=s88-c-k-c0x00ffffff-no-rj</v>
      </c>
      <c r="AL36" s="80">
        <v>0</v>
      </c>
      <c r="AM36" s="80">
        <v>0</v>
      </c>
      <c r="AN36" s="80">
        <v>29</v>
      </c>
      <c r="AO36" s="80" t="b">
        <v>0</v>
      </c>
      <c r="AP36" s="80">
        <v>0</v>
      </c>
      <c r="AQ36" s="80"/>
      <c r="AR36" s="80"/>
      <c r="AS36" s="80" t="s">
        <v>2085</v>
      </c>
      <c r="AT36" s="85" t="str">
        <f>HYPERLINK("https://www.youtube.com/channel/UCnxrG1IqO0A_g3W00m__S0A")</f>
        <v>https://www.youtube.com/channel/UCnxrG1IqO0A_g3W00m__S0A</v>
      </c>
      <c r="AU36" s="80" t="str">
        <f>REPLACE(INDEX(GroupVertices[Group],MATCH(Vertices[[#This Row],[Vertex]],GroupVertices[Vertex],0)),1,1,"")</f>
        <v>1</v>
      </c>
      <c r="AV36" s="49">
        <v>2</v>
      </c>
      <c r="AW36" s="50">
        <v>10.526315789473685</v>
      </c>
      <c r="AX36" s="49">
        <v>0</v>
      </c>
      <c r="AY36" s="50">
        <v>0</v>
      </c>
      <c r="AZ36" s="49">
        <v>0</v>
      </c>
      <c r="BA36" s="50">
        <v>0</v>
      </c>
      <c r="BB36" s="49">
        <v>17</v>
      </c>
      <c r="BC36" s="50">
        <v>89.47368421052632</v>
      </c>
      <c r="BD36" s="49">
        <v>19</v>
      </c>
      <c r="BE36" s="49"/>
      <c r="BF36" s="49"/>
      <c r="BG36" s="49"/>
      <c r="BH36" s="49"/>
      <c r="BI36" s="49"/>
      <c r="BJ36" s="49"/>
      <c r="BK36" s="111" t="s">
        <v>3429</v>
      </c>
      <c r="BL36" s="111" t="s">
        <v>3429</v>
      </c>
      <c r="BM36" s="111" t="s">
        <v>3880</v>
      </c>
      <c r="BN36" s="111" t="s">
        <v>3880</v>
      </c>
      <c r="BO36" s="2"/>
      <c r="BP36" s="3"/>
      <c r="BQ36" s="3"/>
      <c r="BR36" s="3"/>
      <c r="BS36" s="3"/>
    </row>
    <row r="37" spans="1:71" ht="15">
      <c r="A37" s="65" t="s">
        <v>371</v>
      </c>
      <c r="B37" s="66"/>
      <c r="C37" s="66"/>
      <c r="D37" s="67">
        <v>150</v>
      </c>
      <c r="E37" s="69"/>
      <c r="F37" s="103" t="str">
        <f>HYPERLINK("https://yt3.ggpht.com/ytc/AKedOLRrU40_tZ_P2ifqisDLdJ71llkxXJO02Py_KX8QRA=s88-c-k-c0x00ffffff-no-rj")</f>
        <v>https://yt3.ggpht.com/ytc/AKedOLRrU40_tZ_P2ifqisDLdJ71llkxXJO02Py_KX8QRA=s88-c-k-c0x00ffffff-no-rj</v>
      </c>
      <c r="G37" s="66"/>
      <c r="H37" s="70" t="s">
        <v>1439</v>
      </c>
      <c r="I37" s="71"/>
      <c r="J37" s="71" t="s">
        <v>159</v>
      </c>
      <c r="K37" s="70" t="s">
        <v>1439</v>
      </c>
      <c r="L37" s="74">
        <v>1</v>
      </c>
      <c r="M37" s="75">
        <v>2651.81982421875</v>
      </c>
      <c r="N37" s="75">
        <v>5732.54248046875</v>
      </c>
      <c r="O37" s="76"/>
      <c r="P37" s="77"/>
      <c r="Q37" s="77"/>
      <c r="R37" s="89"/>
      <c r="S37" s="49">
        <v>0</v>
      </c>
      <c r="T37" s="49">
        <v>1</v>
      </c>
      <c r="U37" s="50">
        <v>0</v>
      </c>
      <c r="V37" s="50">
        <v>0.478122</v>
      </c>
      <c r="W37" s="50">
        <v>0.03471</v>
      </c>
      <c r="X37" s="50">
        <v>0.001935</v>
      </c>
      <c r="Y37" s="50">
        <v>0</v>
      </c>
      <c r="Z37" s="50">
        <v>0</v>
      </c>
      <c r="AA37" s="72">
        <v>37</v>
      </c>
      <c r="AB37" s="72"/>
      <c r="AC37" s="73"/>
      <c r="AD37" s="80" t="s">
        <v>1439</v>
      </c>
      <c r="AE37" s="80"/>
      <c r="AF37" s="80"/>
      <c r="AG37" s="80"/>
      <c r="AH37" s="80"/>
      <c r="AI37" s="80"/>
      <c r="AJ37" s="87">
        <v>39703.03710648148</v>
      </c>
      <c r="AK37" s="85" t="str">
        <f>HYPERLINK("https://yt3.ggpht.com/ytc/AKedOLRrU40_tZ_P2ifqisDLdJ71llkxXJO02Py_KX8QRA=s88-c-k-c0x00ffffff-no-rj")</f>
        <v>https://yt3.ggpht.com/ytc/AKedOLRrU40_tZ_P2ifqisDLdJ71llkxXJO02Py_KX8QRA=s88-c-k-c0x00ffffff-no-rj</v>
      </c>
      <c r="AL37" s="80">
        <v>89906</v>
      </c>
      <c r="AM37" s="80">
        <v>0</v>
      </c>
      <c r="AN37" s="80">
        <v>22</v>
      </c>
      <c r="AO37" s="80" t="b">
        <v>0</v>
      </c>
      <c r="AP37" s="80">
        <v>27</v>
      </c>
      <c r="AQ37" s="80"/>
      <c r="AR37" s="80"/>
      <c r="AS37" s="80" t="s">
        <v>2085</v>
      </c>
      <c r="AT37" s="85" t="str">
        <f>HYPERLINK("https://www.youtube.com/channel/UC71GWfHLygA6wfNmJWrxBLw")</f>
        <v>https://www.youtube.com/channel/UC71GWfHLygA6wfNmJWrxBLw</v>
      </c>
      <c r="AU37" s="80" t="str">
        <f>REPLACE(INDEX(GroupVertices[Group],MATCH(Vertices[[#This Row],[Vertex]],GroupVertices[Vertex],0)),1,1,"")</f>
        <v>1</v>
      </c>
      <c r="AV37" s="49">
        <v>0</v>
      </c>
      <c r="AW37" s="50">
        <v>0</v>
      </c>
      <c r="AX37" s="49">
        <v>2</v>
      </c>
      <c r="AY37" s="50">
        <v>11.11111111111111</v>
      </c>
      <c r="AZ37" s="49">
        <v>0</v>
      </c>
      <c r="BA37" s="50">
        <v>0</v>
      </c>
      <c r="BB37" s="49">
        <v>16</v>
      </c>
      <c r="BC37" s="50">
        <v>88.88888888888889</v>
      </c>
      <c r="BD37" s="49">
        <v>18</v>
      </c>
      <c r="BE37" s="49"/>
      <c r="BF37" s="49"/>
      <c r="BG37" s="49"/>
      <c r="BH37" s="49"/>
      <c r="BI37" s="49"/>
      <c r="BJ37" s="49"/>
      <c r="BK37" s="111" t="s">
        <v>3430</v>
      </c>
      <c r="BL37" s="111" t="s">
        <v>3430</v>
      </c>
      <c r="BM37" s="111" t="s">
        <v>3881</v>
      </c>
      <c r="BN37" s="111" t="s">
        <v>3881</v>
      </c>
      <c r="BO37" s="2"/>
      <c r="BP37" s="3"/>
      <c r="BQ37" s="3"/>
      <c r="BR37" s="3"/>
      <c r="BS37" s="3"/>
    </row>
    <row r="38" spans="1:71" ht="15">
      <c r="A38" s="65" t="s">
        <v>372</v>
      </c>
      <c r="B38" s="66"/>
      <c r="C38" s="66"/>
      <c r="D38" s="67">
        <v>150</v>
      </c>
      <c r="E38" s="69"/>
      <c r="F38" s="103" t="str">
        <f>HYPERLINK("https://yt3.ggpht.com/ytc/AKedOLS2MKQCll303akDU3FdpP-MNL5CciBS2gwxoi8a8Q=s88-c-k-c0x00ffffff-no-rj")</f>
        <v>https://yt3.ggpht.com/ytc/AKedOLS2MKQCll303akDU3FdpP-MNL5CciBS2gwxoi8a8Q=s88-c-k-c0x00ffffff-no-rj</v>
      </c>
      <c r="G38" s="66"/>
      <c r="H38" s="70" t="s">
        <v>1440</v>
      </c>
      <c r="I38" s="71"/>
      <c r="J38" s="71" t="s">
        <v>159</v>
      </c>
      <c r="K38" s="70" t="s">
        <v>1440</v>
      </c>
      <c r="L38" s="74">
        <v>1</v>
      </c>
      <c r="M38" s="75">
        <v>5543.6748046875</v>
      </c>
      <c r="N38" s="75">
        <v>594.6248779296875</v>
      </c>
      <c r="O38" s="76"/>
      <c r="P38" s="77"/>
      <c r="Q38" s="77"/>
      <c r="R38" s="89"/>
      <c r="S38" s="49">
        <v>0</v>
      </c>
      <c r="T38" s="49">
        <v>1</v>
      </c>
      <c r="U38" s="50">
        <v>0</v>
      </c>
      <c r="V38" s="50">
        <v>0.478122</v>
      </c>
      <c r="W38" s="50">
        <v>0.03471</v>
      </c>
      <c r="X38" s="50">
        <v>0.001935</v>
      </c>
      <c r="Y38" s="50">
        <v>0</v>
      </c>
      <c r="Z38" s="50">
        <v>0</v>
      </c>
      <c r="AA38" s="72">
        <v>38</v>
      </c>
      <c r="AB38" s="72"/>
      <c r="AC38" s="73"/>
      <c r="AD38" s="80" t="s">
        <v>1440</v>
      </c>
      <c r="AE38" s="80"/>
      <c r="AF38" s="80"/>
      <c r="AG38" s="80"/>
      <c r="AH38" s="80"/>
      <c r="AI38" s="80" t="s">
        <v>2057</v>
      </c>
      <c r="AJ38" s="87">
        <v>40817.97756944445</v>
      </c>
      <c r="AK38" s="85" t="str">
        <f>HYPERLINK("https://yt3.ggpht.com/ytc/AKedOLS2MKQCll303akDU3FdpP-MNL5CciBS2gwxoi8a8Q=s88-c-k-c0x00ffffff-no-rj")</f>
        <v>https://yt3.ggpht.com/ytc/AKedOLS2MKQCll303akDU3FdpP-MNL5CciBS2gwxoi8a8Q=s88-c-k-c0x00ffffff-no-rj</v>
      </c>
      <c r="AL38" s="80">
        <v>946433</v>
      </c>
      <c r="AM38" s="80">
        <v>0</v>
      </c>
      <c r="AN38" s="80">
        <v>6520</v>
      </c>
      <c r="AO38" s="80" t="b">
        <v>0</v>
      </c>
      <c r="AP38" s="80">
        <v>36</v>
      </c>
      <c r="AQ38" s="80"/>
      <c r="AR38" s="80"/>
      <c r="AS38" s="80" t="s">
        <v>2085</v>
      </c>
      <c r="AT38" s="85" t="str">
        <f>HYPERLINK("https://www.youtube.com/channel/UC6H8xYRD5QuQNcGkobR1K6A")</f>
        <v>https://www.youtube.com/channel/UC6H8xYRD5QuQNcGkobR1K6A</v>
      </c>
      <c r="AU38" s="80" t="str">
        <f>REPLACE(INDEX(GroupVertices[Group],MATCH(Vertices[[#This Row],[Vertex]],GroupVertices[Vertex],0)),1,1,"")</f>
        <v>1</v>
      </c>
      <c r="AV38" s="49">
        <v>6</v>
      </c>
      <c r="AW38" s="50">
        <v>5.714285714285714</v>
      </c>
      <c r="AX38" s="49">
        <v>6</v>
      </c>
      <c r="AY38" s="50">
        <v>5.714285714285714</v>
      </c>
      <c r="AZ38" s="49">
        <v>0</v>
      </c>
      <c r="BA38" s="50">
        <v>0</v>
      </c>
      <c r="BB38" s="49">
        <v>93</v>
      </c>
      <c r="BC38" s="50">
        <v>88.57142857142857</v>
      </c>
      <c r="BD38" s="49">
        <v>105</v>
      </c>
      <c r="BE38" s="49"/>
      <c r="BF38" s="49"/>
      <c r="BG38" s="49"/>
      <c r="BH38" s="49"/>
      <c r="BI38" s="49"/>
      <c r="BJ38" s="49"/>
      <c r="BK38" s="111" t="s">
        <v>3431</v>
      </c>
      <c r="BL38" s="111" t="s">
        <v>3812</v>
      </c>
      <c r="BM38" s="111" t="s">
        <v>3882</v>
      </c>
      <c r="BN38" s="111" t="s">
        <v>3882</v>
      </c>
      <c r="BO38" s="2"/>
      <c r="BP38" s="3"/>
      <c r="BQ38" s="3"/>
      <c r="BR38" s="3"/>
      <c r="BS38" s="3"/>
    </row>
    <row r="39" spans="1:71" ht="15">
      <c r="A39" s="65" t="s">
        <v>373</v>
      </c>
      <c r="B39" s="66"/>
      <c r="C39" s="66"/>
      <c r="D39" s="67">
        <v>150</v>
      </c>
      <c r="E39" s="69"/>
      <c r="F39" s="103" t="str">
        <f>HYPERLINK("https://yt3.ggpht.com/ytc/AKedOLRVAOKbxxotGc9EjV_KLA4nyMigcmjN1_dOWnL0kw=s88-c-k-c0x00ffffff-no-rj")</f>
        <v>https://yt3.ggpht.com/ytc/AKedOLRVAOKbxxotGc9EjV_KLA4nyMigcmjN1_dOWnL0kw=s88-c-k-c0x00ffffff-no-rj</v>
      </c>
      <c r="G39" s="66"/>
      <c r="H39" s="70" t="s">
        <v>1441</v>
      </c>
      <c r="I39" s="71"/>
      <c r="J39" s="71" t="s">
        <v>159</v>
      </c>
      <c r="K39" s="70" t="s">
        <v>1441</v>
      </c>
      <c r="L39" s="74">
        <v>1</v>
      </c>
      <c r="M39" s="75">
        <v>1764.748046875</v>
      </c>
      <c r="N39" s="75">
        <v>6508.42724609375</v>
      </c>
      <c r="O39" s="76"/>
      <c r="P39" s="77"/>
      <c r="Q39" s="77"/>
      <c r="R39" s="89"/>
      <c r="S39" s="49">
        <v>0</v>
      </c>
      <c r="T39" s="49">
        <v>1</v>
      </c>
      <c r="U39" s="50">
        <v>0</v>
      </c>
      <c r="V39" s="50">
        <v>0.478122</v>
      </c>
      <c r="W39" s="50">
        <v>0.03471</v>
      </c>
      <c r="X39" s="50">
        <v>0.001935</v>
      </c>
      <c r="Y39" s="50">
        <v>0</v>
      </c>
      <c r="Z39" s="50">
        <v>0</v>
      </c>
      <c r="AA39" s="72">
        <v>39</v>
      </c>
      <c r="AB39" s="72"/>
      <c r="AC39" s="73"/>
      <c r="AD39" s="80" t="s">
        <v>1441</v>
      </c>
      <c r="AE39" s="80"/>
      <c r="AF39" s="80"/>
      <c r="AG39" s="80"/>
      <c r="AH39" s="80"/>
      <c r="AI39" s="80"/>
      <c r="AJ39" s="87">
        <v>39358.770787037036</v>
      </c>
      <c r="AK39" s="85" t="str">
        <f>HYPERLINK("https://yt3.ggpht.com/ytc/AKedOLRVAOKbxxotGc9EjV_KLA4nyMigcmjN1_dOWnL0kw=s88-c-k-c0x00ffffff-no-rj")</f>
        <v>https://yt3.ggpht.com/ytc/AKedOLRVAOKbxxotGc9EjV_KLA4nyMigcmjN1_dOWnL0kw=s88-c-k-c0x00ffffff-no-rj</v>
      </c>
      <c r="AL39" s="80">
        <v>0</v>
      </c>
      <c r="AM39" s="80">
        <v>0</v>
      </c>
      <c r="AN39" s="80">
        <v>15</v>
      </c>
      <c r="AO39" s="80" t="b">
        <v>0</v>
      </c>
      <c r="AP39" s="80">
        <v>0</v>
      </c>
      <c r="AQ39" s="80"/>
      <c r="AR39" s="80"/>
      <c r="AS39" s="80" t="s">
        <v>2085</v>
      </c>
      <c r="AT39" s="85" t="str">
        <f>HYPERLINK("https://www.youtube.com/channel/UCB4qx6aknMONopsjwL6W38Q")</f>
        <v>https://www.youtube.com/channel/UCB4qx6aknMONopsjwL6W38Q</v>
      </c>
      <c r="AU39" s="80" t="str">
        <f>REPLACE(INDEX(GroupVertices[Group],MATCH(Vertices[[#This Row],[Vertex]],GroupVertices[Vertex],0)),1,1,"")</f>
        <v>1</v>
      </c>
      <c r="AV39" s="49">
        <v>0</v>
      </c>
      <c r="AW39" s="50">
        <v>0</v>
      </c>
      <c r="AX39" s="49">
        <v>0</v>
      </c>
      <c r="AY39" s="50">
        <v>0</v>
      </c>
      <c r="AZ39" s="49">
        <v>0</v>
      </c>
      <c r="BA39" s="50">
        <v>0</v>
      </c>
      <c r="BB39" s="49">
        <v>13</v>
      </c>
      <c r="BC39" s="50">
        <v>100</v>
      </c>
      <c r="BD39" s="49">
        <v>13</v>
      </c>
      <c r="BE39" s="49"/>
      <c r="BF39" s="49"/>
      <c r="BG39" s="49"/>
      <c r="BH39" s="49"/>
      <c r="BI39" s="49"/>
      <c r="BJ39" s="49"/>
      <c r="BK39" s="111" t="s">
        <v>3432</v>
      </c>
      <c r="BL39" s="111" t="s">
        <v>3432</v>
      </c>
      <c r="BM39" s="111" t="s">
        <v>3883</v>
      </c>
      <c r="BN39" s="111" t="s">
        <v>3883</v>
      </c>
      <c r="BO39" s="2"/>
      <c r="BP39" s="3"/>
      <c r="BQ39" s="3"/>
      <c r="BR39" s="3"/>
      <c r="BS39" s="3"/>
    </row>
    <row r="40" spans="1:71" ht="15">
      <c r="A40" s="65" t="s">
        <v>374</v>
      </c>
      <c r="B40" s="66"/>
      <c r="C40" s="66"/>
      <c r="D40" s="67">
        <v>150</v>
      </c>
      <c r="E40" s="69"/>
      <c r="F40" s="103" t="str">
        <f>HYPERLINK("https://yt3.ggpht.com/ytc/AKedOLRplLGyr0sLnOkBMY3nsQf97eylQ6cku7RDRHnWxw=s88-c-k-c0x00ffffff-no-rj")</f>
        <v>https://yt3.ggpht.com/ytc/AKedOLRplLGyr0sLnOkBMY3nsQf97eylQ6cku7RDRHnWxw=s88-c-k-c0x00ffffff-no-rj</v>
      </c>
      <c r="G40" s="66"/>
      <c r="H40" s="70" t="s">
        <v>1442</v>
      </c>
      <c r="I40" s="71"/>
      <c r="J40" s="71" t="s">
        <v>159</v>
      </c>
      <c r="K40" s="70" t="s">
        <v>1442</v>
      </c>
      <c r="L40" s="74">
        <v>1</v>
      </c>
      <c r="M40" s="75">
        <v>6985.1650390625</v>
      </c>
      <c r="N40" s="75">
        <v>5910.31640625</v>
      </c>
      <c r="O40" s="76"/>
      <c r="P40" s="77"/>
      <c r="Q40" s="77"/>
      <c r="R40" s="89"/>
      <c r="S40" s="49">
        <v>0</v>
      </c>
      <c r="T40" s="49">
        <v>1</v>
      </c>
      <c r="U40" s="50">
        <v>0</v>
      </c>
      <c r="V40" s="50">
        <v>0.478122</v>
      </c>
      <c r="W40" s="50">
        <v>0.03471</v>
      </c>
      <c r="X40" s="50">
        <v>0.001935</v>
      </c>
      <c r="Y40" s="50">
        <v>0</v>
      </c>
      <c r="Z40" s="50">
        <v>0</v>
      </c>
      <c r="AA40" s="72">
        <v>40</v>
      </c>
      <c r="AB40" s="72"/>
      <c r="AC40" s="73"/>
      <c r="AD40" s="80" t="s">
        <v>1442</v>
      </c>
      <c r="AE40" s="80"/>
      <c r="AF40" s="80"/>
      <c r="AG40" s="80"/>
      <c r="AH40" s="80"/>
      <c r="AI40" s="80"/>
      <c r="AJ40" s="87">
        <v>40777.74491898148</v>
      </c>
      <c r="AK40" s="85" t="str">
        <f>HYPERLINK("https://yt3.ggpht.com/ytc/AKedOLRplLGyr0sLnOkBMY3nsQf97eylQ6cku7RDRHnWxw=s88-c-k-c0x00ffffff-no-rj")</f>
        <v>https://yt3.ggpht.com/ytc/AKedOLRplLGyr0sLnOkBMY3nsQf97eylQ6cku7RDRHnWxw=s88-c-k-c0x00ffffff-no-rj</v>
      </c>
      <c r="AL40" s="80">
        <v>0</v>
      </c>
      <c r="AM40" s="80">
        <v>0</v>
      </c>
      <c r="AN40" s="80">
        <v>1</v>
      </c>
      <c r="AO40" s="80" t="b">
        <v>0</v>
      </c>
      <c r="AP40" s="80">
        <v>0</v>
      </c>
      <c r="AQ40" s="80"/>
      <c r="AR40" s="80"/>
      <c r="AS40" s="80" t="s">
        <v>2085</v>
      </c>
      <c r="AT40" s="85" t="str">
        <f>HYPERLINK("https://www.youtube.com/channel/UCpqqRVKt-ZVet0_yyj-66rQ")</f>
        <v>https://www.youtube.com/channel/UCpqqRVKt-ZVet0_yyj-66rQ</v>
      </c>
      <c r="AU40" s="80" t="str">
        <f>REPLACE(INDEX(GroupVertices[Group],MATCH(Vertices[[#This Row],[Vertex]],GroupVertices[Vertex],0)),1,1,"")</f>
        <v>1</v>
      </c>
      <c r="AV40" s="49">
        <v>0</v>
      </c>
      <c r="AW40" s="50">
        <v>0</v>
      </c>
      <c r="AX40" s="49">
        <v>1</v>
      </c>
      <c r="AY40" s="50">
        <v>12.5</v>
      </c>
      <c r="AZ40" s="49">
        <v>0</v>
      </c>
      <c r="BA40" s="50">
        <v>0</v>
      </c>
      <c r="BB40" s="49">
        <v>7</v>
      </c>
      <c r="BC40" s="50">
        <v>87.5</v>
      </c>
      <c r="BD40" s="49">
        <v>8</v>
      </c>
      <c r="BE40" s="49"/>
      <c r="BF40" s="49"/>
      <c r="BG40" s="49"/>
      <c r="BH40" s="49"/>
      <c r="BI40" s="49"/>
      <c r="BJ40" s="49"/>
      <c r="BK40" s="111" t="s">
        <v>3433</v>
      </c>
      <c r="BL40" s="111" t="s">
        <v>3433</v>
      </c>
      <c r="BM40" s="111" t="s">
        <v>3884</v>
      </c>
      <c r="BN40" s="111" t="s">
        <v>3884</v>
      </c>
      <c r="BO40" s="2"/>
      <c r="BP40" s="3"/>
      <c r="BQ40" s="3"/>
      <c r="BR40" s="3"/>
      <c r="BS40" s="3"/>
    </row>
    <row r="41" spans="1:71" ht="15">
      <c r="A41" s="65" t="s">
        <v>375</v>
      </c>
      <c r="B41" s="66"/>
      <c r="C41" s="66"/>
      <c r="D41" s="67">
        <v>150</v>
      </c>
      <c r="E41" s="69"/>
      <c r="F41" s="103" t="str">
        <f>HYPERLINK("https://yt3.ggpht.com/ytc/AKedOLSuDb5X4AcEzpUoXjp_iuVeVUP4LTsyG9EkRQ=s88-c-k-c0x00ffffff-no-rj")</f>
        <v>https://yt3.ggpht.com/ytc/AKedOLSuDb5X4AcEzpUoXjp_iuVeVUP4LTsyG9EkRQ=s88-c-k-c0x00ffffff-no-rj</v>
      </c>
      <c r="G41" s="66"/>
      <c r="H41" s="70" t="s">
        <v>1443</v>
      </c>
      <c r="I41" s="71"/>
      <c r="J41" s="71" t="s">
        <v>159</v>
      </c>
      <c r="K41" s="70" t="s">
        <v>1443</v>
      </c>
      <c r="L41" s="74">
        <v>1</v>
      </c>
      <c r="M41" s="75">
        <v>5626.42626953125</v>
      </c>
      <c r="N41" s="75">
        <v>8558.1845703125</v>
      </c>
      <c r="O41" s="76"/>
      <c r="P41" s="77"/>
      <c r="Q41" s="77"/>
      <c r="R41" s="89"/>
      <c r="S41" s="49">
        <v>0</v>
      </c>
      <c r="T41" s="49">
        <v>1</v>
      </c>
      <c r="U41" s="50">
        <v>0</v>
      </c>
      <c r="V41" s="50">
        <v>0.478122</v>
      </c>
      <c r="W41" s="50">
        <v>0.03471</v>
      </c>
      <c r="X41" s="50">
        <v>0.001935</v>
      </c>
      <c r="Y41" s="50">
        <v>0</v>
      </c>
      <c r="Z41" s="50">
        <v>0</v>
      </c>
      <c r="AA41" s="72">
        <v>41</v>
      </c>
      <c r="AB41" s="72"/>
      <c r="AC41" s="73"/>
      <c r="AD41" s="80" t="s">
        <v>1443</v>
      </c>
      <c r="AE41" s="80"/>
      <c r="AF41" s="80"/>
      <c r="AG41" s="80"/>
      <c r="AH41" s="80"/>
      <c r="AI41" s="80"/>
      <c r="AJ41" s="87">
        <v>39709.673101851855</v>
      </c>
      <c r="AK41" s="85" t="str">
        <f>HYPERLINK("https://yt3.ggpht.com/ytc/AKedOLSuDb5X4AcEzpUoXjp_iuVeVUP4LTsyG9EkRQ=s88-c-k-c0x00ffffff-no-rj")</f>
        <v>https://yt3.ggpht.com/ytc/AKedOLSuDb5X4AcEzpUoXjp_iuVeVUP4LTsyG9EkRQ=s88-c-k-c0x00ffffff-no-rj</v>
      </c>
      <c r="AL41" s="80">
        <v>1387</v>
      </c>
      <c r="AM41" s="80">
        <v>0</v>
      </c>
      <c r="AN41" s="80">
        <v>0</v>
      </c>
      <c r="AO41" s="80" t="b">
        <v>1</v>
      </c>
      <c r="AP41" s="80">
        <v>1</v>
      </c>
      <c r="AQ41" s="80"/>
      <c r="AR41" s="80"/>
      <c r="AS41" s="80" t="s">
        <v>2085</v>
      </c>
      <c r="AT41" s="85" t="str">
        <f>HYPERLINK("https://www.youtube.com/channel/UCZVQBF2Qb6o_nY6lK7x3HOA")</f>
        <v>https://www.youtube.com/channel/UCZVQBF2Qb6o_nY6lK7x3HOA</v>
      </c>
      <c r="AU41" s="80" t="str">
        <f>REPLACE(INDEX(GroupVertices[Group],MATCH(Vertices[[#This Row],[Vertex]],GroupVertices[Vertex],0)),1,1,"")</f>
        <v>1</v>
      </c>
      <c r="AV41" s="49">
        <v>0</v>
      </c>
      <c r="AW41" s="50">
        <v>0</v>
      </c>
      <c r="AX41" s="49">
        <v>0</v>
      </c>
      <c r="AY41" s="50">
        <v>0</v>
      </c>
      <c r="AZ41" s="49">
        <v>0</v>
      </c>
      <c r="BA41" s="50">
        <v>0</v>
      </c>
      <c r="BB41" s="49">
        <v>12</v>
      </c>
      <c r="BC41" s="50">
        <v>100</v>
      </c>
      <c r="BD41" s="49">
        <v>12</v>
      </c>
      <c r="BE41" s="49"/>
      <c r="BF41" s="49"/>
      <c r="BG41" s="49"/>
      <c r="BH41" s="49"/>
      <c r="BI41" s="49"/>
      <c r="BJ41" s="49"/>
      <c r="BK41" s="111" t="s">
        <v>3434</v>
      </c>
      <c r="BL41" s="111" t="s">
        <v>3434</v>
      </c>
      <c r="BM41" s="111" t="s">
        <v>3885</v>
      </c>
      <c r="BN41" s="111" t="s">
        <v>3885</v>
      </c>
      <c r="BO41" s="2"/>
      <c r="BP41" s="3"/>
      <c r="BQ41" s="3"/>
      <c r="BR41" s="3"/>
      <c r="BS41" s="3"/>
    </row>
    <row r="42" spans="1:71" ht="15">
      <c r="A42" s="65" t="s">
        <v>376</v>
      </c>
      <c r="B42" s="66"/>
      <c r="C42" s="66"/>
      <c r="D42" s="67">
        <v>150</v>
      </c>
      <c r="E42" s="69"/>
      <c r="F42" s="103" t="str">
        <f>HYPERLINK("https://yt3.ggpht.com/ytc/AKedOLRiQSo6apGyEtAUgDddtEtJfNFPAPCuMfD0zw08=s88-c-k-c0x00ffffff-no-rj")</f>
        <v>https://yt3.ggpht.com/ytc/AKedOLRiQSo6apGyEtAUgDddtEtJfNFPAPCuMfD0zw08=s88-c-k-c0x00ffffff-no-rj</v>
      </c>
      <c r="G42" s="66"/>
      <c r="H42" s="70" t="s">
        <v>1444</v>
      </c>
      <c r="I42" s="71"/>
      <c r="J42" s="71" t="s">
        <v>159</v>
      </c>
      <c r="K42" s="70" t="s">
        <v>1444</v>
      </c>
      <c r="L42" s="74">
        <v>1</v>
      </c>
      <c r="M42" s="75">
        <v>5121.19775390625</v>
      </c>
      <c r="N42" s="75">
        <v>5788.525390625</v>
      </c>
      <c r="O42" s="76"/>
      <c r="P42" s="77"/>
      <c r="Q42" s="77"/>
      <c r="R42" s="89"/>
      <c r="S42" s="49">
        <v>0</v>
      </c>
      <c r="T42" s="49">
        <v>1</v>
      </c>
      <c r="U42" s="50">
        <v>0</v>
      </c>
      <c r="V42" s="50">
        <v>0.478122</v>
      </c>
      <c r="W42" s="50">
        <v>0.03471</v>
      </c>
      <c r="X42" s="50">
        <v>0.001935</v>
      </c>
      <c r="Y42" s="50">
        <v>0</v>
      </c>
      <c r="Z42" s="50">
        <v>0</v>
      </c>
      <c r="AA42" s="72">
        <v>42</v>
      </c>
      <c r="AB42" s="72"/>
      <c r="AC42" s="73"/>
      <c r="AD42" s="80" t="s">
        <v>1444</v>
      </c>
      <c r="AE42" s="80" t="s">
        <v>1953</v>
      </c>
      <c r="AF42" s="80"/>
      <c r="AG42" s="80"/>
      <c r="AH42" s="80"/>
      <c r="AI42" s="80"/>
      <c r="AJ42" s="87">
        <v>38998.645625</v>
      </c>
      <c r="AK42" s="85" t="str">
        <f>HYPERLINK("https://yt3.ggpht.com/ytc/AKedOLRiQSo6apGyEtAUgDddtEtJfNFPAPCuMfD0zw08=s88-c-k-c0x00ffffff-no-rj")</f>
        <v>https://yt3.ggpht.com/ytc/AKedOLRiQSo6apGyEtAUgDddtEtJfNFPAPCuMfD0zw08=s88-c-k-c0x00ffffff-no-rj</v>
      </c>
      <c r="AL42" s="80">
        <v>11865</v>
      </c>
      <c r="AM42" s="80">
        <v>0</v>
      </c>
      <c r="AN42" s="80">
        <v>64</v>
      </c>
      <c r="AO42" s="80" t="b">
        <v>0</v>
      </c>
      <c r="AP42" s="80">
        <v>202</v>
      </c>
      <c r="AQ42" s="80"/>
      <c r="AR42" s="80"/>
      <c r="AS42" s="80" t="s">
        <v>2085</v>
      </c>
      <c r="AT42" s="85" t="str">
        <f>HYPERLINK("https://www.youtube.com/channel/UCA3yny9R2owA5nfWuzi0oXw")</f>
        <v>https://www.youtube.com/channel/UCA3yny9R2owA5nfWuzi0oXw</v>
      </c>
      <c r="AU42" s="80" t="str">
        <f>REPLACE(INDEX(GroupVertices[Group],MATCH(Vertices[[#This Row],[Vertex]],GroupVertices[Vertex],0)),1,1,"")</f>
        <v>1</v>
      </c>
      <c r="AV42" s="49">
        <v>0</v>
      </c>
      <c r="AW42" s="50">
        <v>0</v>
      </c>
      <c r="AX42" s="49">
        <v>1</v>
      </c>
      <c r="AY42" s="50">
        <v>8.333333333333334</v>
      </c>
      <c r="AZ42" s="49">
        <v>0</v>
      </c>
      <c r="BA42" s="50">
        <v>0</v>
      </c>
      <c r="BB42" s="49">
        <v>11</v>
      </c>
      <c r="BC42" s="50">
        <v>91.66666666666667</v>
      </c>
      <c r="BD42" s="49">
        <v>12</v>
      </c>
      <c r="BE42" s="49"/>
      <c r="BF42" s="49"/>
      <c r="BG42" s="49"/>
      <c r="BH42" s="49"/>
      <c r="BI42" s="49"/>
      <c r="BJ42" s="49"/>
      <c r="BK42" s="111" t="s">
        <v>3435</v>
      </c>
      <c r="BL42" s="111" t="s">
        <v>3435</v>
      </c>
      <c r="BM42" s="111" t="s">
        <v>3886</v>
      </c>
      <c r="BN42" s="111" t="s">
        <v>3886</v>
      </c>
      <c r="BO42" s="2"/>
      <c r="BP42" s="3"/>
      <c r="BQ42" s="3"/>
      <c r="BR42" s="3"/>
      <c r="BS42" s="3"/>
    </row>
    <row r="43" spans="1:71" ht="15">
      <c r="A43" s="65" t="s">
        <v>377</v>
      </c>
      <c r="B43" s="66"/>
      <c r="C43" s="66"/>
      <c r="D43" s="67">
        <v>150</v>
      </c>
      <c r="E43" s="69"/>
      <c r="F43" s="103" t="str">
        <f>HYPERLINK("https://yt3.ggpht.com/ytc/AKedOLTBicn6FMTQIKZcXDLO_GAqMYHrfP8sXnT7Xow3=s88-c-k-c0x00ffffff-no-rj")</f>
        <v>https://yt3.ggpht.com/ytc/AKedOLTBicn6FMTQIKZcXDLO_GAqMYHrfP8sXnT7Xow3=s88-c-k-c0x00ffffff-no-rj</v>
      </c>
      <c r="G43" s="66"/>
      <c r="H43" s="70" t="s">
        <v>1445</v>
      </c>
      <c r="I43" s="71"/>
      <c r="J43" s="71" t="s">
        <v>159</v>
      </c>
      <c r="K43" s="70" t="s">
        <v>1445</v>
      </c>
      <c r="L43" s="74">
        <v>1</v>
      </c>
      <c r="M43" s="75">
        <v>7853.51708984375</v>
      </c>
      <c r="N43" s="75">
        <v>6449.0146484375</v>
      </c>
      <c r="O43" s="76"/>
      <c r="P43" s="77"/>
      <c r="Q43" s="77"/>
      <c r="R43" s="89"/>
      <c r="S43" s="49">
        <v>0</v>
      </c>
      <c r="T43" s="49">
        <v>1</v>
      </c>
      <c r="U43" s="50">
        <v>0</v>
      </c>
      <c r="V43" s="50">
        <v>0.478122</v>
      </c>
      <c r="W43" s="50">
        <v>0.03471</v>
      </c>
      <c r="X43" s="50">
        <v>0.001935</v>
      </c>
      <c r="Y43" s="50">
        <v>0</v>
      </c>
      <c r="Z43" s="50">
        <v>0</v>
      </c>
      <c r="AA43" s="72">
        <v>43</v>
      </c>
      <c r="AB43" s="72"/>
      <c r="AC43" s="73"/>
      <c r="AD43" s="80" t="s">
        <v>1445</v>
      </c>
      <c r="AE43" s="80"/>
      <c r="AF43" s="80"/>
      <c r="AG43" s="80"/>
      <c r="AH43" s="80"/>
      <c r="AI43" s="80"/>
      <c r="AJ43" s="87">
        <v>39422.69609953704</v>
      </c>
      <c r="AK43" s="85" t="str">
        <f>HYPERLINK("https://yt3.ggpht.com/ytc/AKedOLTBicn6FMTQIKZcXDLO_GAqMYHrfP8sXnT7Xow3=s88-c-k-c0x00ffffff-no-rj")</f>
        <v>https://yt3.ggpht.com/ytc/AKedOLTBicn6FMTQIKZcXDLO_GAqMYHrfP8sXnT7Xow3=s88-c-k-c0x00ffffff-no-rj</v>
      </c>
      <c r="AL43" s="80">
        <v>0</v>
      </c>
      <c r="AM43" s="80">
        <v>0</v>
      </c>
      <c r="AN43" s="80">
        <v>6</v>
      </c>
      <c r="AO43" s="80" t="b">
        <v>0</v>
      </c>
      <c r="AP43" s="80">
        <v>0</v>
      </c>
      <c r="AQ43" s="80"/>
      <c r="AR43" s="80"/>
      <c r="AS43" s="80" t="s">
        <v>2085</v>
      </c>
      <c r="AT43" s="85" t="str">
        <f>HYPERLINK("https://www.youtube.com/channel/UC1gn0WQ7hdUVoSvG2xnINEQ")</f>
        <v>https://www.youtube.com/channel/UC1gn0WQ7hdUVoSvG2xnINEQ</v>
      </c>
      <c r="AU43" s="80" t="str">
        <f>REPLACE(INDEX(GroupVertices[Group],MATCH(Vertices[[#This Row],[Vertex]],GroupVertices[Vertex],0)),1,1,"")</f>
        <v>1</v>
      </c>
      <c r="AV43" s="49">
        <v>0</v>
      </c>
      <c r="AW43" s="50">
        <v>0</v>
      </c>
      <c r="AX43" s="49">
        <v>0</v>
      </c>
      <c r="AY43" s="50">
        <v>0</v>
      </c>
      <c r="AZ43" s="49">
        <v>0</v>
      </c>
      <c r="BA43" s="50">
        <v>0</v>
      </c>
      <c r="BB43" s="49">
        <v>3</v>
      </c>
      <c r="BC43" s="50">
        <v>100</v>
      </c>
      <c r="BD43" s="49">
        <v>3</v>
      </c>
      <c r="BE43" s="49"/>
      <c r="BF43" s="49"/>
      <c r="BG43" s="49"/>
      <c r="BH43" s="49"/>
      <c r="BI43" s="49"/>
      <c r="BJ43" s="49"/>
      <c r="BK43" s="111" t="s">
        <v>3436</v>
      </c>
      <c r="BL43" s="111" t="s">
        <v>3436</v>
      </c>
      <c r="BM43" s="111" t="s">
        <v>3887</v>
      </c>
      <c r="BN43" s="111" t="s">
        <v>3887</v>
      </c>
      <c r="BO43" s="2"/>
      <c r="BP43" s="3"/>
      <c r="BQ43" s="3"/>
      <c r="BR43" s="3"/>
      <c r="BS43" s="3"/>
    </row>
    <row r="44" spans="1:71" ht="15">
      <c r="A44" s="65" t="s">
        <v>378</v>
      </c>
      <c r="B44" s="66"/>
      <c r="C44" s="66"/>
      <c r="D44" s="67">
        <v>150</v>
      </c>
      <c r="E44" s="69"/>
      <c r="F44" s="103" t="str">
        <f>HYPERLINK("https://yt3.ggpht.com/ytc/AKedOLRVbLWjFGcXwmVvEF3iE7xyvuvkU9fFwWkPmQ=s88-c-k-c0x00ffffff-no-rj")</f>
        <v>https://yt3.ggpht.com/ytc/AKedOLRVbLWjFGcXwmVvEF3iE7xyvuvkU9fFwWkPmQ=s88-c-k-c0x00ffffff-no-rj</v>
      </c>
      <c r="G44" s="66"/>
      <c r="H44" s="70" t="s">
        <v>1446</v>
      </c>
      <c r="I44" s="71"/>
      <c r="J44" s="71" t="s">
        <v>159</v>
      </c>
      <c r="K44" s="70" t="s">
        <v>1446</v>
      </c>
      <c r="L44" s="74">
        <v>1</v>
      </c>
      <c r="M44" s="75">
        <v>8175.37744140625</v>
      </c>
      <c r="N44" s="75">
        <v>5128.306640625</v>
      </c>
      <c r="O44" s="76"/>
      <c r="P44" s="77"/>
      <c r="Q44" s="77"/>
      <c r="R44" s="89"/>
      <c r="S44" s="49">
        <v>0</v>
      </c>
      <c r="T44" s="49">
        <v>1</v>
      </c>
      <c r="U44" s="50">
        <v>0</v>
      </c>
      <c r="V44" s="50">
        <v>0.478122</v>
      </c>
      <c r="W44" s="50">
        <v>0.03471</v>
      </c>
      <c r="X44" s="50">
        <v>0.001935</v>
      </c>
      <c r="Y44" s="50">
        <v>0</v>
      </c>
      <c r="Z44" s="50">
        <v>0</v>
      </c>
      <c r="AA44" s="72">
        <v>44</v>
      </c>
      <c r="AB44" s="72"/>
      <c r="AC44" s="73"/>
      <c r="AD44" s="80" t="s">
        <v>1446</v>
      </c>
      <c r="AE44" s="80"/>
      <c r="AF44" s="80"/>
      <c r="AG44" s="80"/>
      <c r="AH44" s="80"/>
      <c r="AI44" s="80"/>
      <c r="AJ44" s="87">
        <v>39288.74523148148</v>
      </c>
      <c r="AK44" s="85" t="str">
        <f>HYPERLINK("https://yt3.ggpht.com/ytc/AKedOLRVbLWjFGcXwmVvEF3iE7xyvuvkU9fFwWkPmQ=s88-c-k-c0x00ffffff-no-rj")</f>
        <v>https://yt3.ggpht.com/ytc/AKedOLRVbLWjFGcXwmVvEF3iE7xyvuvkU9fFwWkPmQ=s88-c-k-c0x00ffffff-no-rj</v>
      </c>
      <c r="AL44" s="80">
        <v>0</v>
      </c>
      <c r="AM44" s="80">
        <v>0</v>
      </c>
      <c r="AN44" s="80">
        <v>0</v>
      </c>
      <c r="AO44" s="80" t="b">
        <v>0</v>
      </c>
      <c r="AP44" s="80">
        <v>0</v>
      </c>
      <c r="AQ44" s="80"/>
      <c r="AR44" s="80"/>
      <c r="AS44" s="80" t="s">
        <v>2085</v>
      </c>
      <c r="AT44" s="85" t="str">
        <f>HYPERLINK("https://www.youtube.com/channel/UCHbkFnLRFtHAo33c7BhmhsQ")</f>
        <v>https://www.youtube.com/channel/UCHbkFnLRFtHAo33c7BhmhsQ</v>
      </c>
      <c r="AU44" s="80" t="str">
        <f>REPLACE(INDEX(GroupVertices[Group],MATCH(Vertices[[#This Row],[Vertex]],GroupVertices[Vertex],0)),1,1,"")</f>
        <v>1</v>
      </c>
      <c r="AV44" s="49">
        <v>2</v>
      </c>
      <c r="AW44" s="50">
        <v>4.761904761904762</v>
      </c>
      <c r="AX44" s="49">
        <v>2</v>
      </c>
      <c r="AY44" s="50">
        <v>4.761904761904762</v>
      </c>
      <c r="AZ44" s="49">
        <v>0</v>
      </c>
      <c r="BA44" s="50">
        <v>0</v>
      </c>
      <c r="BB44" s="49">
        <v>38</v>
      </c>
      <c r="BC44" s="50">
        <v>90.47619047619048</v>
      </c>
      <c r="BD44" s="49">
        <v>42</v>
      </c>
      <c r="BE44" s="49"/>
      <c r="BF44" s="49"/>
      <c r="BG44" s="49"/>
      <c r="BH44" s="49"/>
      <c r="BI44" s="49"/>
      <c r="BJ44" s="49"/>
      <c r="BK44" s="111" t="s">
        <v>3437</v>
      </c>
      <c r="BL44" s="111" t="s">
        <v>3437</v>
      </c>
      <c r="BM44" s="111" t="s">
        <v>3888</v>
      </c>
      <c r="BN44" s="111" t="s">
        <v>3888</v>
      </c>
      <c r="BO44" s="2"/>
      <c r="BP44" s="3"/>
      <c r="BQ44" s="3"/>
      <c r="BR44" s="3"/>
      <c r="BS44" s="3"/>
    </row>
    <row r="45" spans="1:71" ht="15">
      <c r="A45" s="65" t="s">
        <v>379</v>
      </c>
      <c r="B45" s="66"/>
      <c r="C45" s="66"/>
      <c r="D45" s="67">
        <v>150</v>
      </c>
      <c r="E45" s="69"/>
      <c r="F45" s="103" t="str">
        <f>HYPERLINK("https://yt3.ggpht.com/ytc/AKedOLSsvLUk7mjVYZbYHYYgzIo3uyuH6PO-Ov1UfYjY=s88-c-k-c0x00ffffff-no-rj")</f>
        <v>https://yt3.ggpht.com/ytc/AKedOLSsvLUk7mjVYZbYHYYgzIo3uyuH6PO-Ov1UfYjY=s88-c-k-c0x00ffffff-no-rj</v>
      </c>
      <c r="G45" s="66"/>
      <c r="H45" s="70" t="s">
        <v>1447</v>
      </c>
      <c r="I45" s="71"/>
      <c r="J45" s="71" t="s">
        <v>159</v>
      </c>
      <c r="K45" s="70" t="s">
        <v>1447</v>
      </c>
      <c r="L45" s="74">
        <v>1</v>
      </c>
      <c r="M45" s="75">
        <v>351.66796875</v>
      </c>
      <c r="N45" s="75">
        <v>5997.00732421875</v>
      </c>
      <c r="O45" s="76"/>
      <c r="P45" s="77"/>
      <c r="Q45" s="77"/>
      <c r="R45" s="89"/>
      <c r="S45" s="49">
        <v>0</v>
      </c>
      <c r="T45" s="49">
        <v>1</v>
      </c>
      <c r="U45" s="50">
        <v>0</v>
      </c>
      <c r="V45" s="50">
        <v>0.478122</v>
      </c>
      <c r="W45" s="50">
        <v>0.03471</v>
      </c>
      <c r="X45" s="50">
        <v>0.001935</v>
      </c>
      <c r="Y45" s="50">
        <v>0</v>
      </c>
      <c r="Z45" s="50">
        <v>0</v>
      </c>
      <c r="AA45" s="72">
        <v>45</v>
      </c>
      <c r="AB45" s="72"/>
      <c r="AC45" s="73"/>
      <c r="AD45" s="80" t="s">
        <v>1447</v>
      </c>
      <c r="AE45" s="80" t="s">
        <v>1954</v>
      </c>
      <c r="AF45" s="80"/>
      <c r="AG45" s="80"/>
      <c r="AH45" s="80"/>
      <c r="AI45" s="80"/>
      <c r="AJ45" s="87">
        <v>39209.73836805556</v>
      </c>
      <c r="AK45" s="85" t="str">
        <f>HYPERLINK("https://yt3.ggpht.com/ytc/AKedOLSsvLUk7mjVYZbYHYYgzIo3uyuH6PO-Ov1UfYjY=s88-c-k-c0x00ffffff-no-rj")</f>
        <v>https://yt3.ggpht.com/ytc/AKedOLSsvLUk7mjVYZbYHYYgzIo3uyuH6PO-Ov1UfYjY=s88-c-k-c0x00ffffff-no-rj</v>
      </c>
      <c r="AL45" s="80">
        <v>244</v>
      </c>
      <c r="AM45" s="80">
        <v>0</v>
      </c>
      <c r="AN45" s="80">
        <v>14</v>
      </c>
      <c r="AO45" s="80" t="b">
        <v>0</v>
      </c>
      <c r="AP45" s="80">
        <v>6</v>
      </c>
      <c r="AQ45" s="80"/>
      <c r="AR45" s="80"/>
      <c r="AS45" s="80" t="s">
        <v>2085</v>
      </c>
      <c r="AT45" s="85" t="str">
        <f>HYPERLINK("https://www.youtube.com/channel/UCBL1yXa-8Q3PVpNyS80DkeQ")</f>
        <v>https://www.youtube.com/channel/UCBL1yXa-8Q3PVpNyS80DkeQ</v>
      </c>
      <c r="AU45" s="80" t="str">
        <f>REPLACE(INDEX(GroupVertices[Group],MATCH(Vertices[[#This Row],[Vertex]],GroupVertices[Vertex],0)),1,1,"")</f>
        <v>1</v>
      </c>
      <c r="AV45" s="49">
        <v>0</v>
      </c>
      <c r="AW45" s="50">
        <v>0</v>
      </c>
      <c r="AX45" s="49">
        <v>0</v>
      </c>
      <c r="AY45" s="50">
        <v>0</v>
      </c>
      <c r="AZ45" s="49">
        <v>0</v>
      </c>
      <c r="BA45" s="50">
        <v>0</v>
      </c>
      <c r="BB45" s="49">
        <v>7</v>
      </c>
      <c r="BC45" s="50">
        <v>100</v>
      </c>
      <c r="BD45" s="49">
        <v>7</v>
      </c>
      <c r="BE45" s="49"/>
      <c r="BF45" s="49"/>
      <c r="BG45" s="49"/>
      <c r="BH45" s="49"/>
      <c r="BI45" s="49"/>
      <c r="BJ45" s="49"/>
      <c r="BK45" s="111" t="s">
        <v>3438</v>
      </c>
      <c r="BL45" s="111" t="s">
        <v>3438</v>
      </c>
      <c r="BM45" s="111" t="s">
        <v>3889</v>
      </c>
      <c r="BN45" s="111" t="s">
        <v>3889</v>
      </c>
      <c r="BO45" s="2"/>
      <c r="BP45" s="3"/>
      <c r="BQ45" s="3"/>
      <c r="BR45" s="3"/>
      <c r="BS45" s="3"/>
    </row>
    <row r="46" spans="1:71" ht="15">
      <c r="A46" s="65" t="s">
        <v>380</v>
      </c>
      <c r="B46" s="66"/>
      <c r="C46" s="66"/>
      <c r="D46" s="67">
        <v>150</v>
      </c>
      <c r="E46" s="69"/>
      <c r="F46" s="103" t="str">
        <f>HYPERLINK("https://yt3.ggpht.com/ytc/AKedOLR7j6-x2FfN5qPNqp2BmP2qHHZxBAEe131G6qTR=s88-c-k-c0x00ffffff-no-rj")</f>
        <v>https://yt3.ggpht.com/ytc/AKedOLR7j6-x2FfN5qPNqp2BmP2qHHZxBAEe131G6qTR=s88-c-k-c0x00ffffff-no-rj</v>
      </c>
      <c r="G46" s="66"/>
      <c r="H46" s="70" t="s">
        <v>1448</v>
      </c>
      <c r="I46" s="71"/>
      <c r="J46" s="71" t="s">
        <v>159</v>
      </c>
      <c r="K46" s="70" t="s">
        <v>1448</v>
      </c>
      <c r="L46" s="74">
        <v>1</v>
      </c>
      <c r="M46" s="75">
        <v>1479.3089599609375</v>
      </c>
      <c r="N46" s="75">
        <v>8577.28515625</v>
      </c>
      <c r="O46" s="76"/>
      <c r="P46" s="77"/>
      <c r="Q46" s="77"/>
      <c r="R46" s="89"/>
      <c r="S46" s="49">
        <v>0</v>
      </c>
      <c r="T46" s="49">
        <v>1</v>
      </c>
      <c r="U46" s="50">
        <v>0</v>
      </c>
      <c r="V46" s="50">
        <v>0.478122</v>
      </c>
      <c r="W46" s="50">
        <v>0.03471</v>
      </c>
      <c r="X46" s="50">
        <v>0.001935</v>
      </c>
      <c r="Y46" s="50">
        <v>0</v>
      </c>
      <c r="Z46" s="50">
        <v>0</v>
      </c>
      <c r="AA46" s="72">
        <v>46</v>
      </c>
      <c r="AB46" s="72"/>
      <c r="AC46" s="73"/>
      <c r="AD46" s="80" t="s">
        <v>1448</v>
      </c>
      <c r="AE46" s="80" t="s">
        <v>1955</v>
      </c>
      <c r="AF46" s="80"/>
      <c r="AG46" s="80"/>
      <c r="AH46" s="80"/>
      <c r="AI46" s="80" t="s">
        <v>2058</v>
      </c>
      <c r="AJ46" s="87">
        <v>39590.869375</v>
      </c>
      <c r="AK46" s="85" t="str">
        <f>HYPERLINK("https://yt3.ggpht.com/ytc/AKedOLR7j6-x2FfN5qPNqp2BmP2qHHZxBAEe131G6qTR=s88-c-k-c0x00ffffff-no-rj")</f>
        <v>https://yt3.ggpht.com/ytc/AKedOLR7j6-x2FfN5qPNqp2BmP2qHHZxBAEe131G6qTR=s88-c-k-c0x00ffffff-no-rj</v>
      </c>
      <c r="AL46" s="80">
        <v>14785</v>
      </c>
      <c r="AM46" s="80">
        <v>0</v>
      </c>
      <c r="AN46" s="80">
        <v>239</v>
      </c>
      <c r="AO46" s="80" t="b">
        <v>0</v>
      </c>
      <c r="AP46" s="80">
        <v>11</v>
      </c>
      <c r="AQ46" s="80"/>
      <c r="AR46" s="80"/>
      <c r="AS46" s="80" t="s">
        <v>2085</v>
      </c>
      <c r="AT46" s="85" t="str">
        <f>HYPERLINK("https://www.youtube.com/channel/UCOnHdFlBWvRl_o-sgFXVYOw")</f>
        <v>https://www.youtube.com/channel/UCOnHdFlBWvRl_o-sgFXVYOw</v>
      </c>
      <c r="AU46" s="80" t="str">
        <f>REPLACE(INDEX(GroupVertices[Group],MATCH(Vertices[[#This Row],[Vertex]],GroupVertices[Vertex],0)),1,1,"")</f>
        <v>1</v>
      </c>
      <c r="AV46" s="49">
        <v>1</v>
      </c>
      <c r="AW46" s="50">
        <v>5</v>
      </c>
      <c r="AX46" s="49">
        <v>0</v>
      </c>
      <c r="AY46" s="50">
        <v>0</v>
      </c>
      <c r="AZ46" s="49">
        <v>0</v>
      </c>
      <c r="BA46" s="50">
        <v>0</v>
      </c>
      <c r="BB46" s="49">
        <v>19</v>
      </c>
      <c r="BC46" s="50">
        <v>95</v>
      </c>
      <c r="BD46" s="49">
        <v>20</v>
      </c>
      <c r="BE46" s="49"/>
      <c r="BF46" s="49"/>
      <c r="BG46" s="49"/>
      <c r="BH46" s="49"/>
      <c r="BI46" s="49"/>
      <c r="BJ46" s="49"/>
      <c r="BK46" s="111" t="s">
        <v>3439</v>
      </c>
      <c r="BL46" s="111" t="s">
        <v>3439</v>
      </c>
      <c r="BM46" s="111" t="s">
        <v>3890</v>
      </c>
      <c r="BN46" s="111" t="s">
        <v>3890</v>
      </c>
      <c r="BO46" s="2"/>
      <c r="BP46" s="3"/>
      <c r="BQ46" s="3"/>
      <c r="BR46" s="3"/>
      <c r="BS46" s="3"/>
    </row>
    <row r="47" spans="1:71" ht="15">
      <c r="A47" s="65" t="s">
        <v>381</v>
      </c>
      <c r="B47" s="66"/>
      <c r="C47" s="66"/>
      <c r="D47" s="67">
        <v>150</v>
      </c>
      <c r="E47" s="69"/>
      <c r="F47" s="103" t="str">
        <f>HYPERLINK("https://yt3.ggpht.com/ytc/AKedOLTqD_0PzTlxP15P49UXouHqulrLn8d4Ev2b_w=s88-c-k-c0x00ffffff-no-rj")</f>
        <v>https://yt3.ggpht.com/ytc/AKedOLTqD_0PzTlxP15P49UXouHqulrLn8d4Ev2b_w=s88-c-k-c0x00ffffff-no-rj</v>
      </c>
      <c r="G47" s="66"/>
      <c r="H47" s="70" t="s">
        <v>1449</v>
      </c>
      <c r="I47" s="71"/>
      <c r="J47" s="71" t="s">
        <v>159</v>
      </c>
      <c r="K47" s="70" t="s">
        <v>1449</v>
      </c>
      <c r="L47" s="74">
        <v>1</v>
      </c>
      <c r="M47" s="75">
        <v>6382.3564453125</v>
      </c>
      <c r="N47" s="75">
        <v>1055.9434814453125</v>
      </c>
      <c r="O47" s="76"/>
      <c r="P47" s="77"/>
      <c r="Q47" s="77"/>
      <c r="R47" s="89"/>
      <c r="S47" s="49">
        <v>0</v>
      </c>
      <c r="T47" s="49">
        <v>1</v>
      </c>
      <c r="U47" s="50">
        <v>0</v>
      </c>
      <c r="V47" s="50">
        <v>0.478122</v>
      </c>
      <c r="W47" s="50">
        <v>0.03471</v>
      </c>
      <c r="X47" s="50">
        <v>0.001935</v>
      </c>
      <c r="Y47" s="50">
        <v>0</v>
      </c>
      <c r="Z47" s="50">
        <v>0</v>
      </c>
      <c r="AA47" s="72">
        <v>47</v>
      </c>
      <c r="AB47" s="72"/>
      <c r="AC47" s="73"/>
      <c r="AD47" s="80" t="s">
        <v>1449</v>
      </c>
      <c r="AE47" s="80"/>
      <c r="AF47" s="80"/>
      <c r="AG47" s="80"/>
      <c r="AH47" s="80"/>
      <c r="AI47" s="80"/>
      <c r="AJ47" s="87">
        <v>38979.19881944444</v>
      </c>
      <c r="AK47" s="85" t="str">
        <f>HYPERLINK("https://yt3.ggpht.com/ytc/AKedOLTqD_0PzTlxP15P49UXouHqulrLn8d4Ev2b_w=s88-c-k-c0x00ffffff-no-rj")</f>
        <v>https://yt3.ggpht.com/ytc/AKedOLTqD_0PzTlxP15P49UXouHqulrLn8d4Ev2b_w=s88-c-k-c0x00ffffff-no-rj</v>
      </c>
      <c r="AL47" s="80">
        <v>221329</v>
      </c>
      <c r="AM47" s="80">
        <v>0</v>
      </c>
      <c r="AN47" s="80">
        <v>55</v>
      </c>
      <c r="AO47" s="80" t="b">
        <v>0</v>
      </c>
      <c r="AP47" s="80">
        <v>2</v>
      </c>
      <c r="AQ47" s="80"/>
      <c r="AR47" s="80"/>
      <c r="AS47" s="80" t="s">
        <v>2085</v>
      </c>
      <c r="AT47" s="85" t="str">
        <f>HYPERLINK("https://www.youtube.com/channel/UCZUOkn4H_cviVOtuzw10PpA")</f>
        <v>https://www.youtube.com/channel/UCZUOkn4H_cviVOtuzw10PpA</v>
      </c>
      <c r="AU47" s="80" t="str">
        <f>REPLACE(INDEX(GroupVertices[Group],MATCH(Vertices[[#This Row],[Vertex]],GroupVertices[Vertex],0)),1,1,"")</f>
        <v>1</v>
      </c>
      <c r="AV47" s="49">
        <v>1</v>
      </c>
      <c r="AW47" s="50">
        <v>100</v>
      </c>
      <c r="AX47" s="49">
        <v>0</v>
      </c>
      <c r="AY47" s="50">
        <v>0</v>
      </c>
      <c r="AZ47" s="49">
        <v>0</v>
      </c>
      <c r="BA47" s="50">
        <v>0</v>
      </c>
      <c r="BB47" s="49">
        <v>0</v>
      </c>
      <c r="BC47" s="50">
        <v>0</v>
      </c>
      <c r="BD47" s="49">
        <v>1</v>
      </c>
      <c r="BE47" s="49"/>
      <c r="BF47" s="49"/>
      <c r="BG47" s="49"/>
      <c r="BH47" s="49"/>
      <c r="BI47" s="49"/>
      <c r="BJ47" s="49"/>
      <c r="BK47" s="111" t="s">
        <v>844</v>
      </c>
      <c r="BL47" s="111" t="s">
        <v>844</v>
      </c>
      <c r="BM47" s="111" t="s">
        <v>1927</v>
      </c>
      <c r="BN47" s="111" t="s">
        <v>1927</v>
      </c>
      <c r="BO47" s="2"/>
      <c r="BP47" s="3"/>
      <c r="BQ47" s="3"/>
      <c r="BR47" s="3"/>
      <c r="BS47" s="3"/>
    </row>
    <row r="48" spans="1:71" ht="15">
      <c r="A48" s="65" t="s">
        <v>382</v>
      </c>
      <c r="B48" s="66"/>
      <c r="C48" s="66"/>
      <c r="D48" s="67">
        <v>150</v>
      </c>
      <c r="E48" s="69"/>
      <c r="F48" s="103" t="str">
        <f>HYPERLINK("https://yt3.ggpht.com/ytc/AKedOLRkP0jzH5cn6IRw9T8-ONZ_5b5Y9ptBehUdSw=s88-c-k-c0x00ffffff-no-rj")</f>
        <v>https://yt3.ggpht.com/ytc/AKedOLRkP0jzH5cn6IRw9T8-ONZ_5b5Y9ptBehUdSw=s88-c-k-c0x00ffffff-no-rj</v>
      </c>
      <c r="G48" s="66"/>
      <c r="H48" s="70" t="s">
        <v>1450</v>
      </c>
      <c r="I48" s="71"/>
      <c r="J48" s="71" t="s">
        <v>159</v>
      </c>
      <c r="K48" s="70" t="s">
        <v>1450</v>
      </c>
      <c r="L48" s="74">
        <v>1</v>
      </c>
      <c r="M48" s="75">
        <v>4229.39794921875</v>
      </c>
      <c r="N48" s="75">
        <v>7311.88818359375</v>
      </c>
      <c r="O48" s="76"/>
      <c r="P48" s="77"/>
      <c r="Q48" s="77"/>
      <c r="R48" s="89"/>
      <c r="S48" s="49">
        <v>0</v>
      </c>
      <c r="T48" s="49">
        <v>1</v>
      </c>
      <c r="U48" s="50">
        <v>0</v>
      </c>
      <c r="V48" s="50">
        <v>0.478122</v>
      </c>
      <c r="W48" s="50">
        <v>0.03471</v>
      </c>
      <c r="X48" s="50">
        <v>0.001935</v>
      </c>
      <c r="Y48" s="50">
        <v>0</v>
      </c>
      <c r="Z48" s="50">
        <v>0</v>
      </c>
      <c r="AA48" s="72">
        <v>48</v>
      </c>
      <c r="AB48" s="72"/>
      <c r="AC48" s="73"/>
      <c r="AD48" s="80" t="s">
        <v>1450</v>
      </c>
      <c r="AE48" s="80"/>
      <c r="AF48" s="80"/>
      <c r="AG48" s="80"/>
      <c r="AH48" s="80"/>
      <c r="AI48" s="80"/>
      <c r="AJ48" s="87">
        <v>39371.056909722225</v>
      </c>
      <c r="AK48" s="85" t="str">
        <f>HYPERLINK("https://yt3.ggpht.com/ytc/AKedOLRkP0jzH5cn6IRw9T8-ONZ_5b5Y9ptBehUdSw=s88-c-k-c0x00ffffff-no-rj")</f>
        <v>https://yt3.ggpht.com/ytc/AKedOLRkP0jzH5cn6IRw9T8-ONZ_5b5Y9ptBehUdSw=s88-c-k-c0x00ffffff-no-rj</v>
      </c>
      <c r="AL48" s="80">
        <v>0</v>
      </c>
      <c r="AM48" s="80">
        <v>0</v>
      </c>
      <c r="AN48" s="80">
        <v>2</v>
      </c>
      <c r="AO48" s="80" t="b">
        <v>0</v>
      </c>
      <c r="AP48" s="80">
        <v>0</v>
      </c>
      <c r="AQ48" s="80"/>
      <c r="AR48" s="80"/>
      <c r="AS48" s="80" t="s">
        <v>2085</v>
      </c>
      <c r="AT48" s="85" t="str">
        <f>HYPERLINK("https://www.youtube.com/channel/UCXTQpyzqA75bmnmNcnRdA1Q")</f>
        <v>https://www.youtube.com/channel/UCXTQpyzqA75bmnmNcnRdA1Q</v>
      </c>
      <c r="AU48" s="80" t="str">
        <f>REPLACE(INDEX(GroupVertices[Group],MATCH(Vertices[[#This Row],[Vertex]],GroupVertices[Vertex],0)),1,1,"")</f>
        <v>1</v>
      </c>
      <c r="AV48" s="49">
        <v>3</v>
      </c>
      <c r="AW48" s="50">
        <v>16.666666666666668</v>
      </c>
      <c r="AX48" s="49">
        <v>0</v>
      </c>
      <c r="AY48" s="50">
        <v>0</v>
      </c>
      <c r="AZ48" s="49">
        <v>0</v>
      </c>
      <c r="BA48" s="50">
        <v>0</v>
      </c>
      <c r="BB48" s="49">
        <v>15</v>
      </c>
      <c r="BC48" s="50">
        <v>83.33333333333333</v>
      </c>
      <c r="BD48" s="49">
        <v>18</v>
      </c>
      <c r="BE48" s="49"/>
      <c r="BF48" s="49"/>
      <c r="BG48" s="49"/>
      <c r="BH48" s="49"/>
      <c r="BI48" s="49"/>
      <c r="BJ48" s="49"/>
      <c r="BK48" s="111" t="s">
        <v>3440</v>
      </c>
      <c r="BL48" s="111" t="s">
        <v>3440</v>
      </c>
      <c r="BM48" s="111" t="s">
        <v>3891</v>
      </c>
      <c r="BN48" s="111" t="s">
        <v>3891</v>
      </c>
      <c r="BO48" s="2"/>
      <c r="BP48" s="3"/>
      <c r="BQ48" s="3"/>
      <c r="BR48" s="3"/>
      <c r="BS48" s="3"/>
    </row>
    <row r="49" spans="1:71" ht="15">
      <c r="A49" s="65" t="s">
        <v>383</v>
      </c>
      <c r="B49" s="66"/>
      <c r="C49" s="66"/>
      <c r="D49" s="67">
        <v>150</v>
      </c>
      <c r="E49" s="69"/>
      <c r="F49" s="103" t="str">
        <f>HYPERLINK("https://yt3.ggpht.com/ytc/AKedOLTo_oNmzGSz754FnwTvplaeQu51WsH6MLFh7NI1=s88-c-k-c0x00ffffff-no-rj")</f>
        <v>https://yt3.ggpht.com/ytc/AKedOLTo_oNmzGSz754FnwTvplaeQu51WsH6MLFh7NI1=s88-c-k-c0x00ffffff-no-rj</v>
      </c>
      <c r="G49" s="66"/>
      <c r="H49" s="70" t="s">
        <v>1451</v>
      </c>
      <c r="I49" s="71"/>
      <c r="J49" s="71" t="s">
        <v>159</v>
      </c>
      <c r="K49" s="70" t="s">
        <v>1451</v>
      </c>
      <c r="L49" s="74">
        <v>1</v>
      </c>
      <c r="M49" s="75">
        <v>3347.95458984375</v>
      </c>
      <c r="N49" s="75">
        <v>4079.049560546875</v>
      </c>
      <c r="O49" s="76"/>
      <c r="P49" s="77"/>
      <c r="Q49" s="77"/>
      <c r="R49" s="89"/>
      <c r="S49" s="49">
        <v>0</v>
      </c>
      <c r="T49" s="49">
        <v>1</v>
      </c>
      <c r="U49" s="50">
        <v>0</v>
      </c>
      <c r="V49" s="50">
        <v>0.478122</v>
      </c>
      <c r="W49" s="50">
        <v>0.03471</v>
      </c>
      <c r="X49" s="50">
        <v>0.001935</v>
      </c>
      <c r="Y49" s="50">
        <v>0</v>
      </c>
      <c r="Z49" s="50">
        <v>0</v>
      </c>
      <c r="AA49" s="72">
        <v>49</v>
      </c>
      <c r="AB49" s="72"/>
      <c r="AC49" s="73"/>
      <c r="AD49" s="80" t="s">
        <v>1451</v>
      </c>
      <c r="AE49" s="80" t="s">
        <v>1956</v>
      </c>
      <c r="AF49" s="80"/>
      <c r="AG49" s="80"/>
      <c r="AH49" s="80"/>
      <c r="AI49" s="80"/>
      <c r="AJ49" s="87">
        <v>40448.94121527778</v>
      </c>
      <c r="AK49" s="85" t="str">
        <f>HYPERLINK("https://yt3.ggpht.com/ytc/AKedOLTo_oNmzGSz754FnwTvplaeQu51WsH6MLFh7NI1=s88-c-k-c0x00ffffff-no-rj")</f>
        <v>https://yt3.ggpht.com/ytc/AKedOLTo_oNmzGSz754FnwTvplaeQu51WsH6MLFh7NI1=s88-c-k-c0x00ffffff-no-rj</v>
      </c>
      <c r="AL49" s="80">
        <v>0</v>
      </c>
      <c r="AM49" s="80">
        <v>0</v>
      </c>
      <c r="AN49" s="80">
        <v>13</v>
      </c>
      <c r="AO49" s="80" t="b">
        <v>0</v>
      </c>
      <c r="AP49" s="80">
        <v>0</v>
      </c>
      <c r="AQ49" s="80"/>
      <c r="AR49" s="80"/>
      <c r="AS49" s="80" t="s">
        <v>2085</v>
      </c>
      <c r="AT49" s="85" t="str">
        <f>HYPERLINK("https://www.youtube.com/channel/UCtIqDrquj5kLCIwxV9702dQ")</f>
        <v>https://www.youtube.com/channel/UCtIqDrquj5kLCIwxV9702dQ</v>
      </c>
      <c r="AU49" s="80" t="str">
        <f>REPLACE(INDEX(GroupVertices[Group],MATCH(Vertices[[#This Row],[Vertex]],GroupVertices[Vertex],0)),1,1,"")</f>
        <v>1</v>
      </c>
      <c r="AV49" s="49">
        <v>3</v>
      </c>
      <c r="AW49" s="50">
        <v>8.333333333333334</v>
      </c>
      <c r="AX49" s="49">
        <v>0</v>
      </c>
      <c r="AY49" s="50">
        <v>0</v>
      </c>
      <c r="AZ49" s="49">
        <v>0</v>
      </c>
      <c r="BA49" s="50">
        <v>0</v>
      </c>
      <c r="BB49" s="49">
        <v>33</v>
      </c>
      <c r="BC49" s="50">
        <v>91.66666666666667</v>
      </c>
      <c r="BD49" s="49">
        <v>36</v>
      </c>
      <c r="BE49" s="49"/>
      <c r="BF49" s="49"/>
      <c r="BG49" s="49"/>
      <c r="BH49" s="49"/>
      <c r="BI49" s="49"/>
      <c r="BJ49" s="49"/>
      <c r="BK49" s="111" t="s">
        <v>3441</v>
      </c>
      <c r="BL49" s="111" t="s">
        <v>3441</v>
      </c>
      <c r="BM49" s="111" t="s">
        <v>3892</v>
      </c>
      <c r="BN49" s="111" t="s">
        <v>3892</v>
      </c>
      <c r="BO49" s="2"/>
      <c r="BP49" s="3"/>
      <c r="BQ49" s="3"/>
      <c r="BR49" s="3"/>
      <c r="BS49" s="3"/>
    </row>
    <row r="50" spans="1:71" ht="15">
      <c r="A50" s="65" t="s">
        <v>384</v>
      </c>
      <c r="B50" s="66"/>
      <c r="C50" s="66"/>
      <c r="D50" s="67">
        <v>150</v>
      </c>
      <c r="E50" s="69"/>
      <c r="F50" s="103" t="str">
        <f>HYPERLINK("https://yt3.ggpht.com/ytc/AKedOLTvPgyCJIbTkBXooy8cOXNSD3ahZXcCtH4nQ0jT=s88-c-k-c0x00ffffff-no-rj")</f>
        <v>https://yt3.ggpht.com/ytc/AKedOLTvPgyCJIbTkBXooy8cOXNSD3ahZXcCtH4nQ0jT=s88-c-k-c0x00ffffff-no-rj</v>
      </c>
      <c r="G50" s="66"/>
      <c r="H50" s="70" t="s">
        <v>1452</v>
      </c>
      <c r="I50" s="71"/>
      <c r="J50" s="71" t="s">
        <v>159</v>
      </c>
      <c r="K50" s="70" t="s">
        <v>1452</v>
      </c>
      <c r="L50" s="74">
        <v>1</v>
      </c>
      <c r="M50" s="75">
        <v>6317.9423828125</v>
      </c>
      <c r="N50" s="75">
        <v>1332.6043701171875</v>
      </c>
      <c r="O50" s="76"/>
      <c r="P50" s="77"/>
      <c r="Q50" s="77"/>
      <c r="R50" s="89"/>
      <c r="S50" s="49">
        <v>0</v>
      </c>
      <c r="T50" s="49">
        <v>1</v>
      </c>
      <c r="U50" s="50">
        <v>0</v>
      </c>
      <c r="V50" s="50">
        <v>0.478122</v>
      </c>
      <c r="W50" s="50">
        <v>0.03471</v>
      </c>
      <c r="X50" s="50">
        <v>0.001935</v>
      </c>
      <c r="Y50" s="50">
        <v>0</v>
      </c>
      <c r="Z50" s="50">
        <v>0</v>
      </c>
      <c r="AA50" s="72">
        <v>50</v>
      </c>
      <c r="AB50" s="72"/>
      <c r="AC50" s="73"/>
      <c r="AD50" s="80" t="s">
        <v>1452</v>
      </c>
      <c r="AE50" s="80" t="s">
        <v>1957</v>
      </c>
      <c r="AF50" s="80"/>
      <c r="AG50" s="80"/>
      <c r="AH50" s="80"/>
      <c r="AI50" s="80"/>
      <c r="AJ50" s="87">
        <v>38752.36953703704</v>
      </c>
      <c r="AK50" s="85" t="str">
        <f>HYPERLINK("https://yt3.ggpht.com/ytc/AKedOLTvPgyCJIbTkBXooy8cOXNSD3ahZXcCtH4nQ0jT=s88-c-k-c0x00ffffff-no-rj")</f>
        <v>https://yt3.ggpht.com/ytc/AKedOLTvPgyCJIbTkBXooy8cOXNSD3ahZXcCtH4nQ0jT=s88-c-k-c0x00ffffff-no-rj</v>
      </c>
      <c r="AL50" s="80">
        <v>0</v>
      </c>
      <c r="AM50" s="80">
        <v>0</v>
      </c>
      <c r="AN50" s="80">
        <v>16</v>
      </c>
      <c r="AO50" s="80" t="b">
        <v>0</v>
      </c>
      <c r="AP50" s="80">
        <v>0</v>
      </c>
      <c r="AQ50" s="80"/>
      <c r="AR50" s="80"/>
      <c r="AS50" s="80" t="s">
        <v>2085</v>
      </c>
      <c r="AT50" s="85" t="str">
        <f>HYPERLINK("https://www.youtube.com/channel/UCTXeu2cDZUoKtMW7DNfS8-g")</f>
        <v>https://www.youtube.com/channel/UCTXeu2cDZUoKtMW7DNfS8-g</v>
      </c>
      <c r="AU50" s="80" t="str">
        <f>REPLACE(INDEX(GroupVertices[Group],MATCH(Vertices[[#This Row],[Vertex]],GroupVertices[Vertex],0)),1,1,"")</f>
        <v>1</v>
      </c>
      <c r="AV50" s="49">
        <v>8</v>
      </c>
      <c r="AW50" s="50">
        <v>3.902439024390244</v>
      </c>
      <c r="AX50" s="49">
        <v>7</v>
      </c>
      <c r="AY50" s="50">
        <v>3.4146341463414633</v>
      </c>
      <c r="AZ50" s="49">
        <v>0</v>
      </c>
      <c r="BA50" s="50">
        <v>0</v>
      </c>
      <c r="BB50" s="49">
        <v>190</v>
      </c>
      <c r="BC50" s="50">
        <v>92.6829268292683</v>
      </c>
      <c r="BD50" s="49">
        <v>205</v>
      </c>
      <c r="BE50" s="49"/>
      <c r="BF50" s="49"/>
      <c r="BG50" s="49"/>
      <c r="BH50" s="49"/>
      <c r="BI50" s="49"/>
      <c r="BJ50" s="49"/>
      <c r="BK50" s="111" t="s">
        <v>3442</v>
      </c>
      <c r="BL50" s="111" t="s">
        <v>3813</v>
      </c>
      <c r="BM50" s="111" t="s">
        <v>3893</v>
      </c>
      <c r="BN50" s="111" t="s">
        <v>3893</v>
      </c>
      <c r="BO50" s="2"/>
      <c r="BP50" s="3"/>
      <c r="BQ50" s="3"/>
      <c r="BR50" s="3"/>
      <c r="BS50" s="3"/>
    </row>
    <row r="51" spans="1:71" ht="15">
      <c r="A51" s="65" t="s">
        <v>385</v>
      </c>
      <c r="B51" s="66"/>
      <c r="C51" s="66"/>
      <c r="D51" s="67">
        <v>150</v>
      </c>
      <c r="E51" s="69"/>
      <c r="F51" s="103" t="str">
        <f>HYPERLINK("https://yt3.ggpht.com/ytc/AKedOLRMrP9WakT_A1lS0KWWDg-c2o-5VYR1kkLAgBI6=s88-c-k-c0x00ffffff-no-rj")</f>
        <v>https://yt3.ggpht.com/ytc/AKedOLRMrP9WakT_A1lS0KWWDg-c2o-5VYR1kkLAgBI6=s88-c-k-c0x00ffffff-no-rj</v>
      </c>
      <c r="G51" s="66"/>
      <c r="H51" s="70" t="s">
        <v>1453</v>
      </c>
      <c r="I51" s="71"/>
      <c r="J51" s="71" t="s">
        <v>159</v>
      </c>
      <c r="K51" s="70" t="s">
        <v>1453</v>
      </c>
      <c r="L51" s="74">
        <v>1</v>
      </c>
      <c r="M51" s="75">
        <v>6761.10498046875</v>
      </c>
      <c r="N51" s="75">
        <v>1412.4716796875</v>
      </c>
      <c r="O51" s="76"/>
      <c r="P51" s="77"/>
      <c r="Q51" s="77"/>
      <c r="R51" s="89"/>
      <c r="S51" s="49">
        <v>0</v>
      </c>
      <c r="T51" s="49">
        <v>1</v>
      </c>
      <c r="U51" s="50">
        <v>0</v>
      </c>
      <c r="V51" s="50">
        <v>0.478122</v>
      </c>
      <c r="W51" s="50">
        <v>0.03471</v>
      </c>
      <c r="X51" s="50">
        <v>0.001935</v>
      </c>
      <c r="Y51" s="50">
        <v>0</v>
      </c>
      <c r="Z51" s="50">
        <v>0</v>
      </c>
      <c r="AA51" s="72">
        <v>51</v>
      </c>
      <c r="AB51" s="72"/>
      <c r="AC51" s="73"/>
      <c r="AD51" s="80" t="s">
        <v>1453</v>
      </c>
      <c r="AE51" s="80"/>
      <c r="AF51" s="80"/>
      <c r="AG51" s="80"/>
      <c r="AH51" s="80"/>
      <c r="AI51" s="80"/>
      <c r="AJ51" s="87">
        <v>39274.914351851854</v>
      </c>
      <c r="AK51" s="85" t="str">
        <f>HYPERLINK("https://yt3.ggpht.com/ytc/AKedOLRMrP9WakT_A1lS0KWWDg-c2o-5VYR1kkLAgBI6=s88-c-k-c0x00ffffff-no-rj")</f>
        <v>https://yt3.ggpht.com/ytc/AKedOLRMrP9WakT_A1lS0KWWDg-c2o-5VYR1kkLAgBI6=s88-c-k-c0x00ffffff-no-rj</v>
      </c>
      <c r="AL51" s="80">
        <v>224</v>
      </c>
      <c r="AM51" s="80">
        <v>0</v>
      </c>
      <c r="AN51" s="80">
        <v>1</v>
      </c>
      <c r="AO51" s="80" t="b">
        <v>0</v>
      </c>
      <c r="AP51" s="80">
        <v>1</v>
      </c>
      <c r="AQ51" s="80"/>
      <c r="AR51" s="80"/>
      <c r="AS51" s="80" t="s">
        <v>2085</v>
      </c>
      <c r="AT51" s="85" t="str">
        <f>HYPERLINK("https://www.youtube.com/channel/UCjzooJF75PHimiQo2pxwkVw")</f>
        <v>https://www.youtube.com/channel/UCjzooJF75PHimiQo2pxwkVw</v>
      </c>
      <c r="AU51" s="80" t="str">
        <f>REPLACE(INDEX(GroupVertices[Group],MATCH(Vertices[[#This Row],[Vertex]],GroupVertices[Vertex],0)),1,1,"")</f>
        <v>1</v>
      </c>
      <c r="AV51" s="49">
        <v>0</v>
      </c>
      <c r="AW51" s="50">
        <v>0</v>
      </c>
      <c r="AX51" s="49">
        <v>0</v>
      </c>
      <c r="AY51" s="50">
        <v>0</v>
      </c>
      <c r="AZ51" s="49">
        <v>0</v>
      </c>
      <c r="BA51" s="50">
        <v>0</v>
      </c>
      <c r="BB51" s="49">
        <v>15</v>
      </c>
      <c r="BC51" s="50">
        <v>100</v>
      </c>
      <c r="BD51" s="49">
        <v>15</v>
      </c>
      <c r="BE51" s="49"/>
      <c r="BF51" s="49"/>
      <c r="BG51" s="49"/>
      <c r="BH51" s="49"/>
      <c r="BI51" s="49"/>
      <c r="BJ51" s="49"/>
      <c r="BK51" s="111" t="s">
        <v>3443</v>
      </c>
      <c r="BL51" s="111" t="s">
        <v>3443</v>
      </c>
      <c r="BM51" s="111" t="s">
        <v>3894</v>
      </c>
      <c r="BN51" s="111" t="s">
        <v>3894</v>
      </c>
      <c r="BO51" s="2"/>
      <c r="BP51" s="3"/>
      <c r="BQ51" s="3"/>
      <c r="BR51" s="3"/>
      <c r="BS51" s="3"/>
    </row>
    <row r="52" spans="1:71" ht="15">
      <c r="A52" s="65" t="s">
        <v>386</v>
      </c>
      <c r="B52" s="66"/>
      <c r="C52" s="66"/>
      <c r="D52" s="67">
        <v>150</v>
      </c>
      <c r="E52" s="69"/>
      <c r="F52" s="103" t="str">
        <f>HYPERLINK("https://yt3.ggpht.com/ytc/AKedOLQNnSqIzDjEVnP1upZAYa55g0Z59R0lkrP8Fg=s88-c-k-c0x00ffffff-no-rj")</f>
        <v>https://yt3.ggpht.com/ytc/AKedOLQNnSqIzDjEVnP1upZAYa55g0Z59R0lkrP8Fg=s88-c-k-c0x00ffffff-no-rj</v>
      </c>
      <c r="G52" s="66"/>
      <c r="H52" s="70" t="s">
        <v>1454</v>
      </c>
      <c r="I52" s="71"/>
      <c r="J52" s="71" t="s">
        <v>159</v>
      </c>
      <c r="K52" s="70" t="s">
        <v>1454</v>
      </c>
      <c r="L52" s="74">
        <v>1</v>
      </c>
      <c r="M52" s="75">
        <v>5936.31787109375</v>
      </c>
      <c r="N52" s="75">
        <v>6615.07275390625</v>
      </c>
      <c r="O52" s="76"/>
      <c r="P52" s="77"/>
      <c r="Q52" s="77"/>
      <c r="R52" s="89"/>
      <c r="S52" s="49">
        <v>0</v>
      </c>
      <c r="T52" s="49">
        <v>1</v>
      </c>
      <c r="U52" s="50">
        <v>0</v>
      </c>
      <c r="V52" s="50">
        <v>0.478122</v>
      </c>
      <c r="W52" s="50">
        <v>0.03471</v>
      </c>
      <c r="X52" s="50">
        <v>0.001935</v>
      </c>
      <c r="Y52" s="50">
        <v>0</v>
      </c>
      <c r="Z52" s="50">
        <v>0</v>
      </c>
      <c r="AA52" s="72">
        <v>52</v>
      </c>
      <c r="AB52" s="72"/>
      <c r="AC52" s="73"/>
      <c r="AD52" s="80" t="s">
        <v>1454</v>
      </c>
      <c r="AE52" s="80"/>
      <c r="AF52" s="80"/>
      <c r="AG52" s="80"/>
      <c r="AH52" s="80"/>
      <c r="AI52" s="80"/>
      <c r="AJ52" s="87">
        <v>40430.08957175926</v>
      </c>
      <c r="AK52" s="85" t="str">
        <f>HYPERLINK("https://yt3.ggpht.com/ytc/AKedOLQNnSqIzDjEVnP1upZAYa55g0Z59R0lkrP8Fg=s88-c-k-c0x00ffffff-no-rj")</f>
        <v>https://yt3.ggpht.com/ytc/AKedOLQNnSqIzDjEVnP1upZAYa55g0Z59R0lkrP8Fg=s88-c-k-c0x00ffffff-no-rj</v>
      </c>
      <c r="AL52" s="80">
        <v>0</v>
      </c>
      <c r="AM52" s="80">
        <v>0</v>
      </c>
      <c r="AN52" s="80">
        <v>1</v>
      </c>
      <c r="AO52" s="80" t="b">
        <v>0</v>
      </c>
      <c r="AP52" s="80">
        <v>0</v>
      </c>
      <c r="AQ52" s="80"/>
      <c r="AR52" s="80"/>
      <c r="AS52" s="80" t="s">
        <v>2085</v>
      </c>
      <c r="AT52" s="85" t="str">
        <f>HYPERLINK("https://www.youtube.com/channel/UCMMcwauwTAQyw0GUUhLBqSg")</f>
        <v>https://www.youtube.com/channel/UCMMcwauwTAQyw0GUUhLBqSg</v>
      </c>
      <c r="AU52" s="80" t="str">
        <f>REPLACE(INDEX(GroupVertices[Group],MATCH(Vertices[[#This Row],[Vertex]],GroupVertices[Vertex],0)),1,1,"")</f>
        <v>1</v>
      </c>
      <c r="AV52" s="49">
        <v>1</v>
      </c>
      <c r="AW52" s="50">
        <v>10</v>
      </c>
      <c r="AX52" s="49">
        <v>0</v>
      </c>
      <c r="AY52" s="50">
        <v>0</v>
      </c>
      <c r="AZ52" s="49">
        <v>0</v>
      </c>
      <c r="BA52" s="50">
        <v>0</v>
      </c>
      <c r="BB52" s="49">
        <v>9</v>
      </c>
      <c r="BC52" s="50">
        <v>90</v>
      </c>
      <c r="BD52" s="49">
        <v>10</v>
      </c>
      <c r="BE52" s="49"/>
      <c r="BF52" s="49"/>
      <c r="BG52" s="49"/>
      <c r="BH52" s="49"/>
      <c r="BI52" s="49"/>
      <c r="BJ52" s="49"/>
      <c r="BK52" s="111" t="s">
        <v>3444</v>
      </c>
      <c r="BL52" s="111" t="s">
        <v>3444</v>
      </c>
      <c r="BM52" s="111" t="s">
        <v>3895</v>
      </c>
      <c r="BN52" s="111" t="s">
        <v>3895</v>
      </c>
      <c r="BO52" s="2"/>
      <c r="BP52" s="3"/>
      <c r="BQ52" s="3"/>
      <c r="BR52" s="3"/>
      <c r="BS52" s="3"/>
    </row>
    <row r="53" spans="1:71" ht="15">
      <c r="A53" s="65" t="s">
        <v>387</v>
      </c>
      <c r="B53" s="66"/>
      <c r="C53" s="66"/>
      <c r="D53" s="67">
        <v>150</v>
      </c>
      <c r="E53" s="69"/>
      <c r="F53" s="103" t="str">
        <f>HYPERLINK("https://yt3.ggpht.com/ytc/AKedOLSxUPrnSR1sZDMWKT3AFdJy50NLJKWxuC1fQ-g0Ognr7OCxM5L5uspuWX0FIQ-y=s88-c-k-c0x00ffffff-no-rj")</f>
        <v>https://yt3.ggpht.com/ytc/AKedOLSxUPrnSR1sZDMWKT3AFdJy50NLJKWxuC1fQ-g0Ognr7OCxM5L5uspuWX0FIQ-y=s88-c-k-c0x00ffffff-no-rj</v>
      </c>
      <c r="G53" s="66"/>
      <c r="H53" s="70" t="s">
        <v>1455</v>
      </c>
      <c r="I53" s="71"/>
      <c r="J53" s="71" t="s">
        <v>159</v>
      </c>
      <c r="K53" s="70" t="s">
        <v>1455</v>
      </c>
      <c r="L53" s="74">
        <v>1</v>
      </c>
      <c r="M53" s="75">
        <v>8212.166015625</v>
      </c>
      <c r="N53" s="75">
        <v>5207.5908203125</v>
      </c>
      <c r="O53" s="76"/>
      <c r="P53" s="77"/>
      <c r="Q53" s="77"/>
      <c r="R53" s="89"/>
      <c r="S53" s="49">
        <v>0</v>
      </c>
      <c r="T53" s="49">
        <v>1</v>
      </c>
      <c r="U53" s="50">
        <v>0</v>
      </c>
      <c r="V53" s="50">
        <v>0.478122</v>
      </c>
      <c r="W53" s="50">
        <v>0.03471</v>
      </c>
      <c r="X53" s="50">
        <v>0.001935</v>
      </c>
      <c r="Y53" s="50">
        <v>0</v>
      </c>
      <c r="Z53" s="50">
        <v>0</v>
      </c>
      <c r="AA53" s="72">
        <v>53</v>
      </c>
      <c r="AB53" s="72"/>
      <c r="AC53" s="73"/>
      <c r="AD53" s="80" t="s">
        <v>1455</v>
      </c>
      <c r="AE53" s="80"/>
      <c r="AF53" s="80"/>
      <c r="AG53" s="80"/>
      <c r="AH53" s="80"/>
      <c r="AI53" s="80"/>
      <c r="AJ53" s="87">
        <v>38973.23771990741</v>
      </c>
      <c r="AK53" s="85" t="str">
        <f>HYPERLINK("https://yt3.ggpht.com/ytc/AKedOLSxUPrnSR1sZDMWKT3AFdJy50NLJKWxuC1fQ-g0Ognr7OCxM5L5uspuWX0FIQ-y=s88-c-k-c0x00ffffff-no-rj")</f>
        <v>https://yt3.ggpht.com/ytc/AKedOLSxUPrnSR1sZDMWKT3AFdJy50NLJKWxuC1fQ-g0Ognr7OCxM5L5uspuWX0FIQ-y=s88-c-k-c0x00ffffff-no-rj</v>
      </c>
      <c r="AL53" s="80">
        <v>0</v>
      </c>
      <c r="AM53" s="80">
        <v>0</v>
      </c>
      <c r="AN53" s="80">
        <v>6</v>
      </c>
      <c r="AO53" s="80" t="b">
        <v>0</v>
      </c>
      <c r="AP53" s="80">
        <v>0</v>
      </c>
      <c r="AQ53" s="80"/>
      <c r="AR53" s="80"/>
      <c r="AS53" s="80" t="s">
        <v>2085</v>
      </c>
      <c r="AT53" s="85" t="str">
        <f>HYPERLINK("https://www.youtube.com/channel/UCycWPjDGZnt381HX5ghKYFQ")</f>
        <v>https://www.youtube.com/channel/UCycWPjDGZnt381HX5ghKYFQ</v>
      </c>
      <c r="AU53" s="80" t="str">
        <f>REPLACE(INDEX(GroupVertices[Group],MATCH(Vertices[[#This Row],[Vertex]],GroupVertices[Vertex],0)),1,1,"")</f>
        <v>1</v>
      </c>
      <c r="AV53" s="49">
        <v>0</v>
      </c>
      <c r="AW53" s="50">
        <v>0</v>
      </c>
      <c r="AX53" s="49">
        <v>0</v>
      </c>
      <c r="AY53" s="50">
        <v>0</v>
      </c>
      <c r="AZ53" s="49">
        <v>0</v>
      </c>
      <c r="BA53" s="50">
        <v>0</v>
      </c>
      <c r="BB53" s="49">
        <v>12</v>
      </c>
      <c r="BC53" s="50">
        <v>100</v>
      </c>
      <c r="BD53" s="49">
        <v>12</v>
      </c>
      <c r="BE53" s="49"/>
      <c r="BF53" s="49"/>
      <c r="BG53" s="49"/>
      <c r="BH53" s="49"/>
      <c r="BI53" s="49"/>
      <c r="BJ53" s="49"/>
      <c r="BK53" s="111" t="s">
        <v>3445</v>
      </c>
      <c r="BL53" s="111" t="s">
        <v>3445</v>
      </c>
      <c r="BM53" s="111" t="s">
        <v>3896</v>
      </c>
      <c r="BN53" s="111" t="s">
        <v>3896</v>
      </c>
      <c r="BO53" s="2"/>
      <c r="BP53" s="3"/>
      <c r="BQ53" s="3"/>
      <c r="BR53" s="3"/>
      <c r="BS53" s="3"/>
    </row>
    <row r="54" spans="1:71" ht="15">
      <c r="A54" s="65" t="s">
        <v>388</v>
      </c>
      <c r="B54" s="66"/>
      <c r="C54" s="66"/>
      <c r="D54" s="67">
        <v>150</v>
      </c>
      <c r="E54" s="69"/>
      <c r="F54" s="103" t="str">
        <f>HYPERLINK("https://yt3.ggpht.com/ytc/AKedOLTzmEAjoBHExkxmq1fkPO1l9hxFChw5hDisOXAqNA=s88-c-k-c0x00ffffff-no-rj")</f>
        <v>https://yt3.ggpht.com/ytc/AKedOLTzmEAjoBHExkxmq1fkPO1l9hxFChw5hDisOXAqNA=s88-c-k-c0x00ffffff-no-rj</v>
      </c>
      <c r="G54" s="66"/>
      <c r="H54" s="70" t="s">
        <v>1456</v>
      </c>
      <c r="I54" s="71"/>
      <c r="J54" s="71" t="s">
        <v>159</v>
      </c>
      <c r="K54" s="70" t="s">
        <v>1456</v>
      </c>
      <c r="L54" s="74">
        <v>1</v>
      </c>
      <c r="M54" s="75">
        <v>3884.26318359375</v>
      </c>
      <c r="N54" s="75">
        <v>7871.10888671875</v>
      </c>
      <c r="O54" s="76"/>
      <c r="P54" s="77"/>
      <c r="Q54" s="77"/>
      <c r="R54" s="89"/>
      <c r="S54" s="49">
        <v>0</v>
      </c>
      <c r="T54" s="49">
        <v>1</v>
      </c>
      <c r="U54" s="50">
        <v>0</v>
      </c>
      <c r="V54" s="50">
        <v>0.478122</v>
      </c>
      <c r="W54" s="50">
        <v>0.03471</v>
      </c>
      <c r="X54" s="50">
        <v>0.001935</v>
      </c>
      <c r="Y54" s="50">
        <v>0</v>
      </c>
      <c r="Z54" s="50">
        <v>0</v>
      </c>
      <c r="AA54" s="72">
        <v>54</v>
      </c>
      <c r="AB54" s="72"/>
      <c r="AC54" s="73"/>
      <c r="AD54" s="80" t="s">
        <v>1456</v>
      </c>
      <c r="AE54" s="80"/>
      <c r="AF54" s="80"/>
      <c r="AG54" s="80"/>
      <c r="AH54" s="80"/>
      <c r="AI54" s="80"/>
      <c r="AJ54" s="87">
        <v>38783.60024305555</v>
      </c>
      <c r="AK54" s="85" t="str">
        <f>HYPERLINK("https://yt3.ggpht.com/ytc/AKedOLTzmEAjoBHExkxmq1fkPO1l9hxFChw5hDisOXAqNA=s88-c-k-c0x00ffffff-no-rj")</f>
        <v>https://yt3.ggpht.com/ytc/AKedOLTzmEAjoBHExkxmq1fkPO1l9hxFChw5hDisOXAqNA=s88-c-k-c0x00ffffff-no-rj</v>
      </c>
      <c r="AL54" s="80">
        <v>0</v>
      </c>
      <c r="AM54" s="80">
        <v>0</v>
      </c>
      <c r="AN54" s="80">
        <v>29</v>
      </c>
      <c r="AO54" s="80" t="b">
        <v>0</v>
      </c>
      <c r="AP54" s="80">
        <v>0</v>
      </c>
      <c r="AQ54" s="80"/>
      <c r="AR54" s="80"/>
      <c r="AS54" s="80" t="s">
        <v>2085</v>
      </c>
      <c r="AT54" s="85" t="str">
        <f>HYPERLINK("https://www.youtube.com/channel/UCd6VYGFkZ3mFLPAyJwwTjMg")</f>
        <v>https://www.youtube.com/channel/UCd6VYGFkZ3mFLPAyJwwTjMg</v>
      </c>
      <c r="AU54" s="80" t="str">
        <f>REPLACE(INDEX(GroupVertices[Group],MATCH(Vertices[[#This Row],[Vertex]],GroupVertices[Vertex],0)),1,1,"")</f>
        <v>1</v>
      </c>
      <c r="AV54" s="49">
        <v>1</v>
      </c>
      <c r="AW54" s="50">
        <v>25</v>
      </c>
      <c r="AX54" s="49">
        <v>0</v>
      </c>
      <c r="AY54" s="50">
        <v>0</v>
      </c>
      <c r="AZ54" s="49">
        <v>0</v>
      </c>
      <c r="BA54" s="50">
        <v>0</v>
      </c>
      <c r="BB54" s="49">
        <v>3</v>
      </c>
      <c r="BC54" s="50">
        <v>75</v>
      </c>
      <c r="BD54" s="49">
        <v>4</v>
      </c>
      <c r="BE54" s="49"/>
      <c r="BF54" s="49"/>
      <c r="BG54" s="49"/>
      <c r="BH54" s="49"/>
      <c r="BI54" s="49"/>
      <c r="BJ54" s="49"/>
      <c r="BK54" s="111" t="s">
        <v>3446</v>
      </c>
      <c r="BL54" s="111" t="s">
        <v>3446</v>
      </c>
      <c r="BM54" s="111" t="s">
        <v>3897</v>
      </c>
      <c r="BN54" s="111" t="s">
        <v>3897</v>
      </c>
      <c r="BO54" s="2"/>
      <c r="BP54" s="3"/>
      <c r="BQ54" s="3"/>
      <c r="BR54" s="3"/>
      <c r="BS54" s="3"/>
    </row>
    <row r="55" spans="1:71" ht="15">
      <c r="A55" s="65" t="s">
        <v>389</v>
      </c>
      <c r="B55" s="66"/>
      <c r="C55" s="66"/>
      <c r="D55" s="67">
        <v>150</v>
      </c>
      <c r="E55" s="69"/>
      <c r="F55" s="103" t="str">
        <f>HYPERLINK("https://yt3.ggpht.com/iHLl_eAeEpSl1DRUWCwYKAbJXPklALfq2Z93CTPJNjTt0EKoxhLdXFnhZMaoNX9QiJvEcYBEgA=s88-c-k-c0x00ffffff-no-rj")</f>
        <v>https://yt3.ggpht.com/iHLl_eAeEpSl1DRUWCwYKAbJXPklALfq2Z93CTPJNjTt0EKoxhLdXFnhZMaoNX9QiJvEcYBEgA=s88-c-k-c0x00ffffff-no-rj</v>
      </c>
      <c r="G55" s="66"/>
      <c r="H55" s="70" t="s">
        <v>1457</v>
      </c>
      <c r="I55" s="71"/>
      <c r="J55" s="71" t="s">
        <v>159</v>
      </c>
      <c r="K55" s="70" t="s">
        <v>1457</v>
      </c>
      <c r="L55" s="74">
        <v>1</v>
      </c>
      <c r="M55" s="75">
        <v>2190.074951171875</v>
      </c>
      <c r="N55" s="75">
        <v>8673.6201171875</v>
      </c>
      <c r="O55" s="76"/>
      <c r="P55" s="77"/>
      <c r="Q55" s="77"/>
      <c r="R55" s="89"/>
      <c r="S55" s="49">
        <v>0</v>
      </c>
      <c r="T55" s="49">
        <v>1</v>
      </c>
      <c r="U55" s="50">
        <v>0</v>
      </c>
      <c r="V55" s="50">
        <v>0.478122</v>
      </c>
      <c r="W55" s="50">
        <v>0.03471</v>
      </c>
      <c r="X55" s="50">
        <v>0.001935</v>
      </c>
      <c r="Y55" s="50">
        <v>0</v>
      </c>
      <c r="Z55" s="50">
        <v>0</v>
      </c>
      <c r="AA55" s="72">
        <v>55</v>
      </c>
      <c r="AB55" s="72"/>
      <c r="AC55" s="73"/>
      <c r="AD55" s="80" t="s">
        <v>1457</v>
      </c>
      <c r="AE55" s="80" t="s">
        <v>1958</v>
      </c>
      <c r="AF55" s="80"/>
      <c r="AG55" s="80"/>
      <c r="AH55" s="80"/>
      <c r="AI55" s="80" t="s">
        <v>2059</v>
      </c>
      <c r="AJ55" s="87">
        <v>40726.81873842593</v>
      </c>
      <c r="AK55" s="85" t="str">
        <f>HYPERLINK("https://yt3.ggpht.com/iHLl_eAeEpSl1DRUWCwYKAbJXPklALfq2Z93CTPJNjTt0EKoxhLdXFnhZMaoNX9QiJvEcYBEgA=s88-c-k-c0x00ffffff-no-rj")</f>
        <v>https://yt3.ggpht.com/iHLl_eAeEpSl1DRUWCwYKAbJXPklALfq2Z93CTPJNjTt0EKoxhLdXFnhZMaoNX9QiJvEcYBEgA=s88-c-k-c0x00ffffff-no-rj</v>
      </c>
      <c r="AL55" s="80">
        <v>661</v>
      </c>
      <c r="AM55" s="80">
        <v>0</v>
      </c>
      <c r="AN55" s="80">
        <v>15</v>
      </c>
      <c r="AO55" s="80" t="b">
        <v>0</v>
      </c>
      <c r="AP55" s="80">
        <v>4</v>
      </c>
      <c r="AQ55" s="80"/>
      <c r="AR55" s="80"/>
      <c r="AS55" s="80" t="s">
        <v>2085</v>
      </c>
      <c r="AT55" s="85" t="str">
        <f>HYPERLINK("https://www.youtube.com/channel/UCpBKCnFHDMEB_LLau0fxjKg")</f>
        <v>https://www.youtube.com/channel/UCpBKCnFHDMEB_LLau0fxjKg</v>
      </c>
      <c r="AU55" s="80" t="str">
        <f>REPLACE(INDEX(GroupVertices[Group],MATCH(Vertices[[#This Row],[Vertex]],GroupVertices[Vertex],0)),1,1,"")</f>
        <v>1</v>
      </c>
      <c r="AV55" s="49">
        <v>0</v>
      </c>
      <c r="AW55" s="50">
        <v>0</v>
      </c>
      <c r="AX55" s="49">
        <v>0</v>
      </c>
      <c r="AY55" s="50">
        <v>0</v>
      </c>
      <c r="AZ55" s="49">
        <v>0</v>
      </c>
      <c r="BA55" s="50">
        <v>0</v>
      </c>
      <c r="BB55" s="49">
        <v>7</v>
      </c>
      <c r="BC55" s="50">
        <v>100</v>
      </c>
      <c r="BD55" s="49">
        <v>7</v>
      </c>
      <c r="BE55" s="49"/>
      <c r="BF55" s="49"/>
      <c r="BG55" s="49"/>
      <c r="BH55" s="49"/>
      <c r="BI55" s="49"/>
      <c r="BJ55" s="49"/>
      <c r="BK55" s="111" t="s">
        <v>3447</v>
      </c>
      <c r="BL55" s="111" t="s">
        <v>3447</v>
      </c>
      <c r="BM55" s="111" t="s">
        <v>3898</v>
      </c>
      <c r="BN55" s="111" t="s">
        <v>3898</v>
      </c>
      <c r="BO55" s="2"/>
      <c r="BP55" s="3"/>
      <c r="BQ55" s="3"/>
      <c r="BR55" s="3"/>
      <c r="BS55" s="3"/>
    </row>
    <row r="56" spans="1:71" ht="15">
      <c r="A56" s="65" t="s">
        <v>390</v>
      </c>
      <c r="B56" s="66"/>
      <c r="C56" s="66"/>
      <c r="D56" s="67">
        <v>150</v>
      </c>
      <c r="E56" s="69"/>
      <c r="F56" s="103" t="str">
        <f>HYPERLINK("https://yt3.ggpht.com/ytc/AKedOLRFX77-vf36F3VnzjU88fQbrkPmzgFyBEs5oAM7=s88-c-k-c0x00ffffff-no-rj")</f>
        <v>https://yt3.ggpht.com/ytc/AKedOLRFX77-vf36F3VnzjU88fQbrkPmzgFyBEs5oAM7=s88-c-k-c0x00ffffff-no-rj</v>
      </c>
      <c r="G56" s="66"/>
      <c r="H56" s="70" t="s">
        <v>1458</v>
      </c>
      <c r="I56" s="71"/>
      <c r="J56" s="71" t="s">
        <v>159</v>
      </c>
      <c r="K56" s="70" t="s">
        <v>1458</v>
      </c>
      <c r="L56" s="74">
        <v>1</v>
      </c>
      <c r="M56" s="75">
        <v>7742.70068359375</v>
      </c>
      <c r="N56" s="75">
        <v>3189.81201171875</v>
      </c>
      <c r="O56" s="76"/>
      <c r="P56" s="77"/>
      <c r="Q56" s="77"/>
      <c r="R56" s="89"/>
      <c r="S56" s="49">
        <v>0</v>
      </c>
      <c r="T56" s="49">
        <v>1</v>
      </c>
      <c r="U56" s="50">
        <v>0</v>
      </c>
      <c r="V56" s="50">
        <v>0.478122</v>
      </c>
      <c r="W56" s="50">
        <v>0.03471</v>
      </c>
      <c r="X56" s="50">
        <v>0.001935</v>
      </c>
      <c r="Y56" s="50">
        <v>0</v>
      </c>
      <c r="Z56" s="50">
        <v>0</v>
      </c>
      <c r="AA56" s="72">
        <v>56</v>
      </c>
      <c r="AB56" s="72"/>
      <c r="AC56" s="73"/>
      <c r="AD56" s="80" t="s">
        <v>1458</v>
      </c>
      <c r="AE56" s="80" t="s">
        <v>1959</v>
      </c>
      <c r="AF56" s="80"/>
      <c r="AG56" s="80"/>
      <c r="AH56" s="80"/>
      <c r="AI56" s="80"/>
      <c r="AJ56" s="87">
        <v>40917.840625</v>
      </c>
      <c r="AK56" s="85" t="str">
        <f>HYPERLINK("https://yt3.ggpht.com/ytc/AKedOLRFX77-vf36F3VnzjU88fQbrkPmzgFyBEs5oAM7=s88-c-k-c0x00ffffff-no-rj")</f>
        <v>https://yt3.ggpht.com/ytc/AKedOLRFX77-vf36F3VnzjU88fQbrkPmzgFyBEs5oAM7=s88-c-k-c0x00ffffff-no-rj</v>
      </c>
      <c r="AL56" s="80">
        <v>4158</v>
      </c>
      <c r="AM56" s="80">
        <v>0</v>
      </c>
      <c r="AN56" s="80">
        <v>14</v>
      </c>
      <c r="AO56" s="80" t="b">
        <v>0</v>
      </c>
      <c r="AP56" s="80">
        <v>16</v>
      </c>
      <c r="AQ56" s="80"/>
      <c r="AR56" s="80"/>
      <c r="AS56" s="80" t="s">
        <v>2085</v>
      </c>
      <c r="AT56" s="85" t="str">
        <f>HYPERLINK("https://www.youtube.com/channel/UCRpamvKjfym8ETggyULC6Jw")</f>
        <v>https://www.youtube.com/channel/UCRpamvKjfym8ETggyULC6Jw</v>
      </c>
      <c r="AU56" s="80" t="str">
        <f>REPLACE(INDEX(GroupVertices[Group],MATCH(Vertices[[#This Row],[Vertex]],GroupVertices[Vertex],0)),1,1,"")</f>
        <v>1</v>
      </c>
      <c r="AV56" s="49">
        <v>1</v>
      </c>
      <c r="AW56" s="50">
        <v>11.11111111111111</v>
      </c>
      <c r="AX56" s="49">
        <v>0</v>
      </c>
      <c r="AY56" s="50">
        <v>0</v>
      </c>
      <c r="AZ56" s="49">
        <v>0</v>
      </c>
      <c r="BA56" s="50">
        <v>0</v>
      </c>
      <c r="BB56" s="49">
        <v>8</v>
      </c>
      <c r="BC56" s="50">
        <v>88.88888888888889</v>
      </c>
      <c r="BD56" s="49">
        <v>9</v>
      </c>
      <c r="BE56" s="49"/>
      <c r="BF56" s="49"/>
      <c r="BG56" s="49"/>
      <c r="BH56" s="49"/>
      <c r="BI56" s="49"/>
      <c r="BJ56" s="49"/>
      <c r="BK56" s="111" t="s">
        <v>3448</v>
      </c>
      <c r="BL56" s="111" t="s">
        <v>3448</v>
      </c>
      <c r="BM56" s="111" t="s">
        <v>3899</v>
      </c>
      <c r="BN56" s="111" t="s">
        <v>3899</v>
      </c>
      <c r="BO56" s="2"/>
      <c r="BP56" s="3"/>
      <c r="BQ56" s="3"/>
      <c r="BR56" s="3"/>
      <c r="BS56" s="3"/>
    </row>
    <row r="57" spans="1:71" ht="15">
      <c r="A57" s="65" t="s">
        <v>391</v>
      </c>
      <c r="B57" s="66"/>
      <c r="C57" s="66"/>
      <c r="D57" s="67">
        <v>150</v>
      </c>
      <c r="E57" s="69"/>
      <c r="F57" s="103" t="str">
        <f>HYPERLINK("https://yt3.ggpht.com/ytc/AKedOLR_EMR7EGO4YfXmuT1BbZ8OJap6UnEQqZD8tc4keg=s88-c-k-c0x00ffffff-no-rj")</f>
        <v>https://yt3.ggpht.com/ytc/AKedOLR_EMR7EGO4YfXmuT1BbZ8OJap6UnEQqZD8tc4keg=s88-c-k-c0x00ffffff-no-rj</v>
      </c>
      <c r="G57" s="66"/>
      <c r="H57" s="70" t="s">
        <v>1459</v>
      </c>
      <c r="I57" s="71"/>
      <c r="J57" s="71" t="s">
        <v>159</v>
      </c>
      <c r="K57" s="70" t="s">
        <v>1459</v>
      </c>
      <c r="L57" s="74">
        <v>1</v>
      </c>
      <c r="M57" s="75">
        <v>6580.65087890625</v>
      </c>
      <c r="N57" s="75">
        <v>8927.701171875</v>
      </c>
      <c r="O57" s="76"/>
      <c r="P57" s="77"/>
      <c r="Q57" s="77"/>
      <c r="R57" s="89"/>
      <c r="S57" s="49">
        <v>0</v>
      </c>
      <c r="T57" s="49">
        <v>1</v>
      </c>
      <c r="U57" s="50">
        <v>0</v>
      </c>
      <c r="V57" s="50">
        <v>0.478122</v>
      </c>
      <c r="W57" s="50">
        <v>0.03471</v>
      </c>
      <c r="X57" s="50">
        <v>0.001935</v>
      </c>
      <c r="Y57" s="50">
        <v>0</v>
      </c>
      <c r="Z57" s="50">
        <v>0</v>
      </c>
      <c r="AA57" s="72">
        <v>57</v>
      </c>
      <c r="AB57" s="72"/>
      <c r="AC57" s="73"/>
      <c r="AD57" s="80" t="s">
        <v>1459</v>
      </c>
      <c r="AE57" s="80"/>
      <c r="AF57" s="80"/>
      <c r="AG57" s="80"/>
      <c r="AH57" s="80"/>
      <c r="AI57" s="80"/>
      <c r="AJ57" s="87">
        <v>40591.091886574075</v>
      </c>
      <c r="AK57" s="85" t="str">
        <f>HYPERLINK("https://yt3.ggpht.com/ytc/AKedOLR_EMR7EGO4YfXmuT1BbZ8OJap6UnEQqZD8tc4keg=s88-c-k-c0x00ffffff-no-rj")</f>
        <v>https://yt3.ggpht.com/ytc/AKedOLR_EMR7EGO4YfXmuT1BbZ8OJap6UnEQqZD8tc4keg=s88-c-k-c0x00ffffff-no-rj</v>
      </c>
      <c r="AL57" s="80">
        <v>0</v>
      </c>
      <c r="AM57" s="80">
        <v>0</v>
      </c>
      <c r="AN57" s="80">
        <v>44</v>
      </c>
      <c r="AO57" s="80" t="b">
        <v>0</v>
      </c>
      <c r="AP57" s="80">
        <v>0</v>
      </c>
      <c r="AQ57" s="80"/>
      <c r="AR57" s="80"/>
      <c r="AS57" s="80" t="s">
        <v>2085</v>
      </c>
      <c r="AT57" s="85" t="str">
        <f>HYPERLINK("https://www.youtube.com/channel/UCxq2E0zegPLF0voBqHlVyMQ")</f>
        <v>https://www.youtube.com/channel/UCxq2E0zegPLF0voBqHlVyMQ</v>
      </c>
      <c r="AU57" s="80" t="str">
        <f>REPLACE(INDEX(GroupVertices[Group],MATCH(Vertices[[#This Row],[Vertex]],GroupVertices[Vertex],0)),1,1,"")</f>
        <v>1</v>
      </c>
      <c r="AV57" s="49">
        <v>0</v>
      </c>
      <c r="AW57" s="50">
        <v>0</v>
      </c>
      <c r="AX57" s="49">
        <v>0</v>
      </c>
      <c r="AY57" s="50">
        <v>0</v>
      </c>
      <c r="AZ57" s="49">
        <v>0</v>
      </c>
      <c r="BA57" s="50">
        <v>0</v>
      </c>
      <c r="BB57" s="49">
        <v>32</v>
      </c>
      <c r="BC57" s="50">
        <v>100</v>
      </c>
      <c r="BD57" s="49">
        <v>32</v>
      </c>
      <c r="BE57" s="49"/>
      <c r="BF57" s="49"/>
      <c r="BG57" s="49"/>
      <c r="BH57" s="49"/>
      <c r="BI57" s="49"/>
      <c r="BJ57" s="49"/>
      <c r="BK57" s="111" t="s">
        <v>3449</v>
      </c>
      <c r="BL57" s="111" t="s">
        <v>3814</v>
      </c>
      <c r="BM57" s="111" t="s">
        <v>3900</v>
      </c>
      <c r="BN57" s="111" t="s">
        <v>3900</v>
      </c>
      <c r="BO57" s="2"/>
      <c r="BP57" s="3"/>
      <c r="BQ57" s="3"/>
      <c r="BR57" s="3"/>
      <c r="BS57" s="3"/>
    </row>
    <row r="58" spans="1:71" ht="15">
      <c r="A58" s="65" t="s">
        <v>392</v>
      </c>
      <c r="B58" s="66"/>
      <c r="C58" s="66"/>
      <c r="D58" s="67">
        <v>150</v>
      </c>
      <c r="E58" s="69"/>
      <c r="F58" s="103" t="str">
        <f>HYPERLINK("https://yt3.ggpht.com/ytc/AKedOLRZi3D4dnTvwfsSZ0taKzToIoJRMa42N3J7emVe=s88-c-k-c0x00ffffff-no-rj")</f>
        <v>https://yt3.ggpht.com/ytc/AKedOLRZi3D4dnTvwfsSZ0taKzToIoJRMa42N3J7emVe=s88-c-k-c0x00ffffff-no-rj</v>
      </c>
      <c r="G58" s="66"/>
      <c r="H58" s="70" t="s">
        <v>1460</v>
      </c>
      <c r="I58" s="71"/>
      <c r="J58" s="71" t="s">
        <v>159</v>
      </c>
      <c r="K58" s="70" t="s">
        <v>1460</v>
      </c>
      <c r="L58" s="74">
        <v>1</v>
      </c>
      <c r="M58" s="75">
        <v>1941.4588623046875</v>
      </c>
      <c r="N58" s="75">
        <v>4688.8017578125</v>
      </c>
      <c r="O58" s="76"/>
      <c r="P58" s="77"/>
      <c r="Q58" s="77"/>
      <c r="R58" s="89"/>
      <c r="S58" s="49">
        <v>0</v>
      </c>
      <c r="T58" s="49">
        <v>1</v>
      </c>
      <c r="U58" s="50">
        <v>0</v>
      </c>
      <c r="V58" s="50">
        <v>0.478122</v>
      </c>
      <c r="W58" s="50">
        <v>0.03471</v>
      </c>
      <c r="X58" s="50">
        <v>0.001935</v>
      </c>
      <c r="Y58" s="50">
        <v>0</v>
      </c>
      <c r="Z58" s="50">
        <v>0</v>
      </c>
      <c r="AA58" s="72">
        <v>58</v>
      </c>
      <c r="AB58" s="72"/>
      <c r="AC58" s="73"/>
      <c r="AD58" s="80" t="s">
        <v>1460</v>
      </c>
      <c r="AE58" s="80"/>
      <c r="AF58" s="80"/>
      <c r="AG58" s="80"/>
      <c r="AH58" s="80"/>
      <c r="AI58" s="80"/>
      <c r="AJ58" s="87">
        <v>40874.25827546296</v>
      </c>
      <c r="AK58" s="85" t="str">
        <f>HYPERLINK("https://yt3.ggpht.com/ytc/AKedOLRZi3D4dnTvwfsSZ0taKzToIoJRMa42N3J7emVe=s88-c-k-c0x00ffffff-no-rj")</f>
        <v>https://yt3.ggpht.com/ytc/AKedOLRZi3D4dnTvwfsSZ0taKzToIoJRMa42N3J7emVe=s88-c-k-c0x00ffffff-no-rj</v>
      </c>
      <c r="AL58" s="80">
        <v>0</v>
      </c>
      <c r="AM58" s="80">
        <v>0</v>
      </c>
      <c r="AN58" s="80">
        <v>3</v>
      </c>
      <c r="AO58" s="80" t="b">
        <v>0</v>
      </c>
      <c r="AP58" s="80">
        <v>0</v>
      </c>
      <c r="AQ58" s="80"/>
      <c r="AR58" s="80"/>
      <c r="AS58" s="80" t="s">
        <v>2085</v>
      </c>
      <c r="AT58" s="85" t="str">
        <f>HYPERLINK("https://www.youtube.com/channel/UC8PFjbcgC0E47I6aAmx4ewg")</f>
        <v>https://www.youtube.com/channel/UC8PFjbcgC0E47I6aAmx4ewg</v>
      </c>
      <c r="AU58" s="80" t="str">
        <f>REPLACE(INDEX(GroupVertices[Group],MATCH(Vertices[[#This Row],[Vertex]],GroupVertices[Vertex],0)),1,1,"")</f>
        <v>1</v>
      </c>
      <c r="AV58" s="49">
        <v>0</v>
      </c>
      <c r="AW58" s="50">
        <v>0</v>
      </c>
      <c r="AX58" s="49">
        <v>2</v>
      </c>
      <c r="AY58" s="50">
        <v>8</v>
      </c>
      <c r="AZ58" s="49">
        <v>0</v>
      </c>
      <c r="BA58" s="50">
        <v>0</v>
      </c>
      <c r="BB58" s="49">
        <v>23</v>
      </c>
      <c r="BC58" s="50">
        <v>92</v>
      </c>
      <c r="BD58" s="49">
        <v>25</v>
      </c>
      <c r="BE58" s="49"/>
      <c r="BF58" s="49"/>
      <c r="BG58" s="49"/>
      <c r="BH58" s="49"/>
      <c r="BI58" s="49"/>
      <c r="BJ58" s="49"/>
      <c r="BK58" s="111" t="s">
        <v>3450</v>
      </c>
      <c r="BL58" s="111" t="s">
        <v>3450</v>
      </c>
      <c r="BM58" s="111" t="s">
        <v>3901</v>
      </c>
      <c r="BN58" s="111" t="s">
        <v>3901</v>
      </c>
      <c r="BO58" s="2"/>
      <c r="BP58" s="3"/>
      <c r="BQ58" s="3"/>
      <c r="BR58" s="3"/>
      <c r="BS58" s="3"/>
    </row>
    <row r="59" spans="1:71" ht="15">
      <c r="A59" s="65" t="s">
        <v>393</v>
      </c>
      <c r="B59" s="66"/>
      <c r="C59" s="66"/>
      <c r="D59" s="67">
        <v>150</v>
      </c>
      <c r="E59" s="69"/>
      <c r="F59" s="103" t="str">
        <f>HYPERLINK("https://yt3.ggpht.com/ytc/AKedOLRW4JXRtktYzF98gNc1Zgwp9yWH85yEYtoDnhu8CQ=s88-c-k-c0x00ffffff-no-rj")</f>
        <v>https://yt3.ggpht.com/ytc/AKedOLRW4JXRtktYzF98gNc1Zgwp9yWH85yEYtoDnhu8CQ=s88-c-k-c0x00ffffff-no-rj</v>
      </c>
      <c r="G59" s="66"/>
      <c r="H59" s="70" t="s">
        <v>1461</v>
      </c>
      <c r="I59" s="71"/>
      <c r="J59" s="71" t="s">
        <v>159</v>
      </c>
      <c r="K59" s="70" t="s">
        <v>1461</v>
      </c>
      <c r="L59" s="74">
        <v>1</v>
      </c>
      <c r="M59" s="75">
        <v>6146.62890625</v>
      </c>
      <c r="N59" s="75">
        <v>6353.49560546875</v>
      </c>
      <c r="O59" s="76"/>
      <c r="P59" s="77"/>
      <c r="Q59" s="77"/>
      <c r="R59" s="89"/>
      <c r="S59" s="49">
        <v>0</v>
      </c>
      <c r="T59" s="49">
        <v>1</v>
      </c>
      <c r="U59" s="50">
        <v>0</v>
      </c>
      <c r="V59" s="50">
        <v>0.478122</v>
      </c>
      <c r="W59" s="50">
        <v>0.03471</v>
      </c>
      <c r="X59" s="50">
        <v>0.001935</v>
      </c>
      <c r="Y59" s="50">
        <v>0</v>
      </c>
      <c r="Z59" s="50">
        <v>0</v>
      </c>
      <c r="AA59" s="72">
        <v>59</v>
      </c>
      <c r="AB59" s="72"/>
      <c r="AC59" s="73"/>
      <c r="AD59" s="80" t="s">
        <v>1461</v>
      </c>
      <c r="AE59" s="80"/>
      <c r="AF59" s="80"/>
      <c r="AG59" s="80"/>
      <c r="AH59" s="80"/>
      <c r="AI59" s="80"/>
      <c r="AJ59" s="87">
        <v>40558.783900462964</v>
      </c>
      <c r="AK59" s="85" t="str">
        <f>HYPERLINK("https://yt3.ggpht.com/ytc/AKedOLRW4JXRtktYzF98gNc1Zgwp9yWH85yEYtoDnhu8CQ=s88-c-k-c0x00ffffff-no-rj")</f>
        <v>https://yt3.ggpht.com/ytc/AKedOLRW4JXRtktYzF98gNc1Zgwp9yWH85yEYtoDnhu8CQ=s88-c-k-c0x00ffffff-no-rj</v>
      </c>
      <c r="AL59" s="80">
        <v>6139</v>
      </c>
      <c r="AM59" s="80">
        <v>0</v>
      </c>
      <c r="AN59" s="80">
        <v>28</v>
      </c>
      <c r="AO59" s="80" t="b">
        <v>0</v>
      </c>
      <c r="AP59" s="80">
        <v>5</v>
      </c>
      <c r="AQ59" s="80"/>
      <c r="AR59" s="80"/>
      <c r="AS59" s="80" t="s">
        <v>2085</v>
      </c>
      <c r="AT59" s="85" t="str">
        <f>HYPERLINK("https://www.youtube.com/channel/UCPegqTRcpYN2jYe3r2xSIow")</f>
        <v>https://www.youtube.com/channel/UCPegqTRcpYN2jYe3r2xSIow</v>
      </c>
      <c r="AU59" s="80" t="str">
        <f>REPLACE(INDEX(GroupVertices[Group],MATCH(Vertices[[#This Row],[Vertex]],GroupVertices[Vertex],0)),1,1,"")</f>
        <v>1</v>
      </c>
      <c r="AV59" s="49">
        <v>0</v>
      </c>
      <c r="AW59" s="50">
        <v>0</v>
      </c>
      <c r="AX59" s="49">
        <v>0</v>
      </c>
      <c r="AY59" s="50">
        <v>0</v>
      </c>
      <c r="AZ59" s="49">
        <v>0</v>
      </c>
      <c r="BA59" s="50">
        <v>0</v>
      </c>
      <c r="BB59" s="49">
        <v>9</v>
      </c>
      <c r="BC59" s="50">
        <v>100</v>
      </c>
      <c r="BD59" s="49">
        <v>9</v>
      </c>
      <c r="BE59" s="49"/>
      <c r="BF59" s="49"/>
      <c r="BG59" s="49"/>
      <c r="BH59" s="49"/>
      <c r="BI59" s="49"/>
      <c r="BJ59" s="49"/>
      <c r="BK59" s="111" t="s">
        <v>3451</v>
      </c>
      <c r="BL59" s="111" t="s">
        <v>3451</v>
      </c>
      <c r="BM59" s="111" t="s">
        <v>3902</v>
      </c>
      <c r="BN59" s="111" t="s">
        <v>3902</v>
      </c>
      <c r="BO59" s="2"/>
      <c r="BP59" s="3"/>
      <c r="BQ59" s="3"/>
      <c r="BR59" s="3"/>
      <c r="BS59" s="3"/>
    </row>
    <row r="60" spans="1:71" ht="15">
      <c r="A60" s="65" t="s">
        <v>394</v>
      </c>
      <c r="B60" s="66"/>
      <c r="C60" s="66"/>
      <c r="D60" s="67">
        <v>150</v>
      </c>
      <c r="E60" s="69"/>
      <c r="F60" s="103" t="str">
        <f>HYPERLINK("https://yt3.ggpht.com/ytc/AKedOLSz-QX9f0w9stqEV8m551_MsqSc23NaxDti72oVvg=s88-c-k-c0x00ffffff-no-rj")</f>
        <v>https://yt3.ggpht.com/ytc/AKedOLSz-QX9f0w9stqEV8m551_MsqSc23NaxDti72oVvg=s88-c-k-c0x00ffffff-no-rj</v>
      </c>
      <c r="G60" s="66"/>
      <c r="H60" s="70" t="s">
        <v>1462</v>
      </c>
      <c r="I60" s="71"/>
      <c r="J60" s="71" t="s">
        <v>159</v>
      </c>
      <c r="K60" s="70" t="s">
        <v>1462</v>
      </c>
      <c r="L60" s="74">
        <v>1</v>
      </c>
      <c r="M60" s="75">
        <v>1050.7041015625</v>
      </c>
      <c r="N60" s="75">
        <v>7187.4443359375</v>
      </c>
      <c r="O60" s="76"/>
      <c r="P60" s="77"/>
      <c r="Q60" s="77"/>
      <c r="R60" s="89"/>
      <c r="S60" s="49">
        <v>0</v>
      </c>
      <c r="T60" s="49">
        <v>1</v>
      </c>
      <c r="U60" s="50">
        <v>0</v>
      </c>
      <c r="V60" s="50">
        <v>0.478122</v>
      </c>
      <c r="W60" s="50">
        <v>0.03471</v>
      </c>
      <c r="X60" s="50">
        <v>0.001935</v>
      </c>
      <c r="Y60" s="50">
        <v>0</v>
      </c>
      <c r="Z60" s="50">
        <v>0</v>
      </c>
      <c r="AA60" s="72">
        <v>60</v>
      </c>
      <c r="AB60" s="72"/>
      <c r="AC60" s="73"/>
      <c r="AD60" s="80" t="s">
        <v>1462</v>
      </c>
      <c r="AE60" s="80"/>
      <c r="AF60" s="80"/>
      <c r="AG60" s="80"/>
      <c r="AH60" s="80"/>
      <c r="AI60" s="80"/>
      <c r="AJ60" s="87">
        <v>40538.155173611114</v>
      </c>
      <c r="AK60" s="85" t="str">
        <f>HYPERLINK("https://yt3.ggpht.com/ytc/AKedOLSz-QX9f0w9stqEV8m551_MsqSc23NaxDti72oVvg=s88-c-k-c0x00ffffff-no-rj")</f>
        <v>https://yt3.ggpht.com/ytc/AKedOLSz-QX9f0w9stqEV8m551_MsqSc23NaxDti72oVvg=s88-c-k-c0x00ffffff-no-rj</v>
      </c>
      <c r="AL60" s="80">
        <v>0</v>
      </c>
      <c r="AM60" s="80">
        <v>0</v>
      </c>
      <c r="AN60" s="80">
        <v>12</v>
      </c>
      <c r="AO60" s="80" t="b">
        <v>0</v>
      </c>
      <c r="AP60" s="80">
        <v>0</v>
      </c>
      <c r="AQ60" s="80"/>
      <c r="AR60" s="80"/>
      <c r="AS60" s="80" t="s">
        <v>2085</v>
      </c>
      <c r="AT60" s="85" t="str">
        <f>HYPERLINK("https://www.youtube.com/channel/UCqzDy3oVUSbD_TH_z7eeUIQ")</f>
        <v>https://www.youtube.com/channel/UCqzDy3oVUSbD_TH_z7eeUIQ</v>
      </c>
      <c r="AU60" s="80" t="str">
        <f>REPLACE(INDEX(GroupVertices[Group],MATCH(Vertices[[#This Row],[Vertex]],GroupVertices[Vertex],0)),1,1,"")</f>
        <v>1</v>
      </c>
      <c r="AV60" s="49">
        <v>0</v>
      </c>
      <c r="AW60" s="50">
        <v>0</v>
      </c>
      <c r="AX60" s="49">
        <v>1</v>
      </c>
      <c r="AY60" s="50">
        <v>11.11111111111111</v>
      </c>
      <c r="AZ60" s="49">
        <v>0</v>
      </c>
      <c r="BA60" s="50">
        <v>0</v>
      </c>
      <c r="BB60" s="49">
        <v>8</v>
      </c>
      <c r="BC60" s="50">
        <v>88.88888888888889</v>
      </c>
      <c r="BD60" s="49">
        <v>9</v>
      </c>
      <c r="BE60" s="49"/>
      <c r="BF60" s="49"/>
      <c r="BG60" s="49"/>
      <c r="BH60" s="49"/>
      <c r="BI60" s="49"/>
      <c r="BJ60" s="49"/>
      <c r="BK60" s="111" t="s">
        <v>3452</v>
      </c>
      <c r="BL60" s="111" t="s">
        <v>3452</v>
      </c>
      <c r="BM60" s="111" t="s">
        <v>3903</v>
      </c>
      <c r="BN60" s="111" t="s">
        <v>3903</v>
      </c>
      <c r="BO60" s="2"/>
      <c r="BP60" s="3"/>
      <c r="BQ60" s="3"/>
      <c r="BR60" s="3"/>
      <c r="BS60" s="3"/>
    </row>
    <row r="61" spans="1:71" ht="15">
      <c r="A61" s="65" t="s">
        <v>395</v>
      </c>
      <c r="B61" s="66"/>
      <c r="C61" s="66"/>
      <c r="D61" s="67">
        <v>150</v>
      </c>
      <c r="E61" s="69"/>
      <c r="F61" s="103" t="str">
        <f>HYPERLINK("https://yt3.ggpht.com/ytc/AKedOLQJiiQOPhUgFXRMHa_MNnCbxefSXkbgJo9VQQ=s88-c-k-c0x00ffffff-no-rj")</f>
        <v>https://yt3.ggpht.com/ytc/AKedOLQJiiQOPhUgFXRMHa_MNnCbxefSXkbgJo9VQQ=s88-c-k-c0x00ffffff-no-rj</v>
      </c>
      <c r="G61" s="66"/>
      <c r="H61" s="70" t="s">
        <v>1463</v>
      </c>
      <c r="I61" s="71"/>
      <c r="J61" s="71" t="s">
        <v>159</v>
      </c>
      <c r="K61" s="70" t="s">
        <v>1463</v>
      </c>
      <c r="L61" s="74">
        <v>1</v>
      </c>
      <c r="M61" s="75">
        <v>7662.46728515625</v>
      </c>
      <c r="N61" s="75">
        <v>2699.26220703125</v>
      </c>
      <c r="O61" s="76"/>
      <c r="P61" s="77"/>
      <c r="Q61" s="77"/>
      <c r="R61" s="89"/>
      <c r="S61" s="49">
        <v>0</v>
      </c>
      <c r="T61" s="49">
        <v>1</v>
      </c>
      <c r="U61" s="50">
        <v>0</v>
      </c>
      <c r="V61" s="50">
        <v>0.478122</v>
      </c>
      <c r="W61" s="50">
        <v>0.03471</v>
      </c>
      <c r="X61" s="50">
        <v>0.001935</v>
      </c>
      <c r="Y61" s="50">
        <v>0</v>
      </c>
      <c r="Z61" s="50">
        <v>0</v>
      </c>
      <c r="AA61" s="72">
        <v>61</v>
      </c>
      <c r="AB61" s="72"/>
      <c r="AC61" s="73"/>
      <c r="AD61" s="80" t="s">
        <v>1463</v>
      </c>
      <c r="AE61" s="80"/>
      <c r="AF61" s="80"/>
      <c r="AG61" s="80"/>
      <c r="AH61" s="80"/>
      <c r="AI61" s="80"/>
      <c r="AJ61" s="87">
        <v>39117.385405092595</v>
      </c>
      <c r="AK61" s="85" t="str">
        <f>HYPERLINK("https://yt3.ggpht.com/ytc/AKedOLQJiiQOPhUgFXRMHa_MNnCbxefSXkbgJo9VQQ=s88-c-k-c0x00ffffff-no-rj")</f>
        <v>https://yt3.ggpht.com/ytc/AKedOLQJiiQOPhUgFXRMHa_MNnCbxefSXkbgJo9VQQ=s88-c-k-c0x00ffffff-no-rj</v>
      </c>
      <c r="AL61" s="80">
        <v>0</v>
      </c>
      <c r="AM61" s="80">
        <v>0</v>
      </c>
      <c r="AN61" s="80">
        <v>22</v>
      </c>
      <c r="AO61" s="80" t="b">
        <v>0</v>
      </c>
      <c r="AP61" s="80">
        <v>0</v>
      </c>
      <c r="AQ61" s="80"/>
      <c r="AR61" s="80"/>
      <c r="AS61" s="80" t="s">
        <v>2085</v>
      </c>
      <c r="AT61" s="85" t="str">
        <f>HYPERLINK("https://www.youtube.com/channel/UCWhebpSUmDB59CUSsipsAHA")</f>
        <v>https://www.youtube.com/channel/UCWhebpSUmDB59CUSsipsAHA</v>
      </c>
      <c r="AU61" s="80" t="str">
        <f>REPLACE(INDEX(GroupVertices[Group],MATCH(Vertices[[#This Row],[Vertex]],GroupVertices[Vertex],0)),1,1,"")</f>
        <v>1</v>
      </c>
      <c r="AV61" s="49">
        <v>7</v>
      </c>
      <c r="AW61" s="50">
        <v>7.777777777777778</v>
      </c>
      <c r="AX61" s="49">
        <v>1</v>
      </c>
      <c r="AY61" s="50">
        <v>1.1111111111111112</v>
      </c>
      <c r="AZ61" s="49">
        <v>0</v>
      </c>
      <c r="BA61" s="50">
        <v>0</v>
      </c>
      <c r="BB61" s="49">
        <v>82</v>
      </c>
      <c r="BC61" s="50">
        <v>91.11111111111111</v>
      </c>
      <c r="BD61" s="49">
        <v>90</v>
      </c>
      <c r="BE61" s="49"/>
      <c r="BF61" s="49"/>
      <c r="BG61" s="49"/>
      <c r="BH61" s="49"/>
      <c r="BI61" s="49"/>
      <c r="BJ61" s="49"/>
      <c r="BK61" s="111" t="s">
        <v>3453</v>
      </c>
      <c r="BL61" s="111" t="s">
        <v>3453</v>
      </c>
      <c r="BM61" s="111" t="s">
        <v>3904</v>
      </c>
      <c r="BN61" s="111" t="s">
        <v>3904</v>
      </c>
      <c r="BO61" s="2"/>
      <c r="BP61" s="3"/>
      <c r="BQ61" s="3"/>
      <c r="BR61" s="3"/>
      <c r="BS61" s="3"/>
    </row>
    <row r="62" spans="1:71" ht="15">
      <c r="A62" s="65" t="s">
        <v>396</v>
      </c>
      <c r="B62" s="66"/>
      <c r="C62" s="66"/>
      <c r="D62" s="67">
        <v>150</v>
      </c>
      <c r="E62" s="69"/>
      <c r="F62" s="103" t="str">
        <f>HYPERLINK("https://yt3.ggpht.com/ytc/AKedOLTKdFUGj8XyLdt0aa3oSfxbtPhhxPAb_-D5gQ=s88-c-k-c0x00ffffff-no-rj")</f>
        <v>https://yt3.ggpht.com/ytc/AKedOLTKdFUGj8XyLdt0aa3oSfxbtPhhxPAb_-D5gQ=s88-c-k-c0x00ffffff-no-rj</v>
      </c>
      <c r="G62" s="66"/>
      <c r="H62" s="70" t="s">
        <v>1464</v>
      </c>
      <c r="I62" s="71"/>
      <c r="J62" s="71" t="s">
        <v>159</v>
      </c>
      <c r="K62" s="70" t="s">
        <v>1464</v>
      </c>
      <c r="L62" s="74">
        <v>1</v>
      </c>
      <c r="M62" s="75">
        <v>140.42481994628906</v>
      </c>
      <c r="N62" s="75">
        <v>4586.4052734375</v>
      </c>
      <c r="O62" s="76"/>
      <c r="P62" s="77"/>
      <c r="Q62" s="77"/>
      <c r="R62" s="89"/>
      <c r="S62" s="49">
        <v>0</v>
      </c>
      <c r="T62" s="49">
        <v>1</v>
      </c>
      <c r="U62" s="50">
        <v>0</v>
      </c>
      <c r="V62" s="50">
        <v>0.478122</v>
      </c>
      <c r="W62" s="50">
        <v>0.03471</v>
      </c>
      <c r="X62" s="50">
        <v>0.001935</v>
      </c>
      <c r="Y62" s="50">
        <v>0</v>
      </c>
      <c r="Z62" s="50">
        <v>0</v>
      </c>
      <c r="AA62" s="72">
        <v>62</v>
      </c>
      <c r="AB62" s="72"/>
      <c r="AC62" s="73"/>
      <c r="AD62" s="80" t="s">
        <v>1464</v>
      </c>
      <c r="AE62" s="80"/>
      <c r="AF62" s="80"/>
      <c r="AG62" s="80"/>
      <c r="AH62" s="80"/>
      <c r="AI62" s="80"/>
      <c r="AJ62" s="87">
        <v>40747.951516203706</v>
      </c>
      <c r="AK62" s="85" t="str">
        <f>HYPERLINK("https://yt3.ggpht.com/ytc/AKedOLTKdFUGj8XyLdt0aa3oSfxbtPhhxPAb_-D5gQ=s88-c-k-c0x00ffffff-no-rj")</f>
        <v>https://yt3.ggpht.com/ytc/AKedOLTKdFUGj8XyLdt0aa3oSfxbtPhhxPAb_-D5gQ=s88-c-k-c0x00ffffff-no-rj</v>
      </c>
      <c r="AL62" s="80">
        <v>4</v>
      </c>
      <c r="AM62" s="80">
        <v>0</v>
      </c>
      <c r="AN62" s="80">
        <v>12</v>
      </c>
      <c r="AO62" s="80" t="b">
        <v>0</v>
      </c>
      <c r="AP62" s="80">
        <v>1</v>
      </c>
      <c r="AQ62" s="80"/>
      <c r="AR62" s="80"/>
      <c r="AS62" s="80" t="s">
        <v>2085</v>
      </c>
      <c r="AT62" s="85" t="str">
        <f>HYPERLINK("https://www.youtube.com/channel/UCcjsNvQ5ybOhrxX4TQ35vtg")</f>
        <v>https://www.youtube.com/channel/UCcjsNvQ5ybOhrxX4TQ35vtg</v>
      </c>
      <c r="AU62" s="80" t="str">
        <f>REPLACE(INDEX(GroupVertices[Group],MATCH(Vertices[[#This Row],[Vertex]],GroupVertices[Vertex],0)),1,1,"")</f>
        <v>1</v>
      </c>
      <c r="AV62" s="49">
        <v>0</v>
      </c>
      <c r="AW62" s="50">
        <v>0</v>
      </c>
      <c r="AX62" s="49">
        <v>2</v>
      </c>
      <c r="AY62" s="50">
        <v>6.896551724137931</v>
      </c>
      <c r="AZ62" s="49">
        <v>0</v>
      </c>
      <c r="BA62" s="50">
        <v>0</v>
      </c>
      <c r="BB62" s="49">
        <v>27</v>
      </c>
      <c r="BC62" s="50">
        <v>93.10344827586206</v>
      </c>
      <c r="BD62" s="49">
        <v>29</v>
      </c>
      <c r="BE62" s="49"/>
      <c r="BF62" s="49"/>
      <c r="BG62" s="49"/>
      <c r="BH62" s="49"/>
      <c r="BI62" s="49"/>
      <c r="BJ62" s="49"/>
      <c r="BK62" s="111" t="s">
        <v>3454</v>
      </c>
      <c r="BL62" s="111" t="s">
        <v>3454</v>
      </c>
      <c r="BM62" s="111" t="s">
        <v>3905</v>
      </c>
      <c r="BN62" s="111" t="s">
        <v>3905</v>
      </c>
      <c r="BO62" s="2"/>
      <c r="BP62" s="3"/>
      <c r="BQ62" s="3"/>
      <c r="BR62" s="3"/>
      <c r="BS62" s="3"/>
    </row>
    <row r="63" spans="1:71" ht="15">
      <c r="A63" s="65" t="s">
        <v>397</v>
      </c>
      <c r="B63" s="66"/>
      <c r="C63" s="66"/>
      <c r="D63" s="67">
        <v>150</v>
      </c>
      <c r="E63" s="69"/>
      <c r="F63" s="103" t="str">
        <f>HYPERLINK("https://yt3.ggpht.com/ytc/AKedOLQer41yNkR8Q_5__n47su_9rxyBF02otbcoBQaU=s88-c-k-c0x00ffffff-no-rj")</f>
        <v>https://yt3.ggpht.com/ytc/AKedOLQer41yNkR8Q_5__n47su_9rxyBF02otbcoBQaU=s88-c-k-c0x00ffffff-no-rj</v>
      </c>
      <c r="G63" s="66"/>
      <c r="H63" s="70" t="s">
        <v>1465</v>
      </c>
      <c r="I63" s="71"/>
      <c r="J63" s="71" t="s">
        <v>159</v>
      </c>
      <c r="K63" s="70" t="s">
        <v>1465</v>
      </c>
      <c r="L63" s="74">
        <v>1</v>
      </c>
      <c r="M63" s="75">
        <v>4051.13330078125</v>
      </c>
      <c r="N63" s="75">
        <v>9126.4150390625</v>
      </c>
      <c r="O63" s="76"/>
      <c r="P63" s="77"/>
      <c r="Q63" s="77"/>
      <c r="R63" s="89"/>
      <c r="S63" s="49">
        <v>0</v>
      </c>
      <c r="T63" s="49">
        <v>1</v>
      </c>
      <c r="U63" s="50">
        <v>0</v>
      </c>
      <c r="V63" s="50">
        <v>0.478122</v>
      </c>
      <c r="W63" s="50">
        <v>0.03471</v>
      </c>
      <c r="X63" s="50">
        <v>0.001935</v>
      </c>
      <c r="Y63" s="50">
        <v>0</v>
      </c>
      <c r="Z63" s="50">
        <v>0</v>
      </c>
      <c r="AA63" s="72">
        <v>63</v>
      </c>
      <c r="AB63" s="72"/>
      <c r="AC63" s="73"/>
      <c r="AD63" s="80" t="s">
        <v>1465</v>
      </c>
      <c r="AE63" s="80" t="s">
        <v>1960</v>
      </c>
      <c r="AF63" s="80"/>
      <c r="AG63" s="80"/>
      <c r="AH63" s="80"/>
      <c r="AI63" s="80" t="s">
        <v>2060</v>
      </c>
      <c r="AJ63" s="87">
        <v>40001.97460648148</v>
      </c>
      <c r="AK63" s="85" t="str">
        <f>HYPERLINK("https://yt3.ggpht.com/ytc/AKedOLQer41yNkR8Q_5__n47su_9rxyBF02otbcoBQaU=s88-c-k-c0x00ffffff-no-rj")</f>
        <v>https://yt3.ggpht.com/ytc/AKedOLQer41yNkR8Q_5__n47su_9rxyBF02otbcoBQaU=s88-c-k-c0x00ffffff-no-rj</v>
      </c>
      <c r="AL63" s="80">
        <v>209128</v>
      </c>
      <c r="AM63" s="80">
        <v>0</v>
      </c>
      <c r="AN63" s="80">
        <v>346</v>
      </c>
      <c r="AO63" s="80" t="b">
        <v>0</v>
      </c>
      <c r="AP63" s="80">
        <v>104</v>
      </c>
      <c r="AQ63" s="80"/>
      <c r="AR63" s="80"/>
      <c r="AS63" s="80" t="s">
        <v>2085</v>
      </c>
      <c r="AT63" s="85" t="str">
        <f>HYPERLINK("https://www.youtube.com/channel/UCzNGnhHx4GloytmXQxoi9LQ")</f>
        <v>https://www.youtube.com/channel/UCzNGnhHx4GloytmXQxoi9LQ</v>
      </c>
      <c r="AU63" s="80" t="str">
        <f>REPLACE(INDEX(GroupVertices[Group],MATCH(Vertices[[#This Row],[Vertex]],GroupVertices[Vertex],0)),1,1,"")</f>
        <v>1</v>
      </c>
      <c r="AV63" s="49">
        <v>0</v>
      </c>
      <c r="AW63" s="50">
        <v>0</v>
      </c>
      <c r="AX63" s="49">
        <v>1</v>
      </c>
      <c r="AY63" s="50">
        <v>5.2631578947368425</v>
      </c>
      <c r="AZ63" s="49">
        <v>0</v>
      </c>
      <c r="BA63" s="50">
        <v>0</v>
      </c>
      <c r="BB63" s="49">
        <v>18</v>
      </c>
      <c r="BC63" s="50">
        <v>94.73684210526316</v>
      </c>
      <c r="BD63" s="49">
        <v>19</v>
      </c>
      <c r="BE63" s="49"/>
      <c r="BF63" s="49"/>
      <c r="BG63" s="49"/>
      <c r="BH63" s="49"/>
      <c r="BI63" s="49"/>
      <c r="BJ63" s="49"/>
      <c r="BK63" s="111" t="s">
        <v>3455</v>
      </c>
      <c r="BL63" s="111" t="s">
        <v>3455</v>
      </c>
      <c r="BM63" s="111" t="s">
        <v>3906</v>
      </c>
      <c r="BN63" s="111" t="s">
        <v>3906</v>
      </c>
      <c r="BO63" s="2"/>
      <c r="BP63" s="3"/>
      <c r="BQ63" s="3"/>
      <c r="BR63" s="3"/>
      <c r="BS63" s="3"/>
    </row>
    <row r="64" spans="1:71" ht="15">
      <c r="A64" s="65" t="s">
        <v>398</v>
      </c>
      <c r="B64" s="66"/>
      <c r="C64" s="66"/>
      <c r="D64" s="67">
        <v>150</v>
      </c>
      <c r="E64" s="69"/>
      <c r="F64" s="103" t="str">
        <f>HYPERLINK("https://yt3.ggpht.com/ytc/AKedOLT8o3_xdOHo8WFJW0l7vULHIOdWNyVw9nqVBCoC9A=s88-c-k-c0x00ffffff-no-rj")</f>
        <v>https://yt3.ggpht.com/ytc/AKedOLT8o3_xdOHo8WFJW0l7vULHIOdWNyVw9nqVBCoC9A=s88-c-k-c0x00ffffff-no-rj</v>
      </c>
      <c r="G64" s="66"/>
      <c r="H64" s="70" t="s">
        <v>1466</v>
      </c>
      <c r="I64" s="71"/>
      <c r="J64" s="71" t="s">
        <v>159</v>
      </c>
      <c r="K64" s="70" t="s">
        <v>1466</v>
      </c>
      <c r="L64" s="74">
        <v>1</v>
      </c>
      <c r="M64" s="75">
        <v>1111.2554931640625</v>
      </c>
      <c r="N64" s="75">
        <v>2107.3115234375</v>
      </c>
      <c r="O64" s="76"/>
      <c r="P64" s="77"/>
      <c r="Q64" s="77"/>
      <c r="R64" s="89"/>
      <c r="S64" s="49">
        <v>0</v>
      </c>
      <c r="T64" s="49">
        <v>1</v>
      </c>
      <c r="U64" s="50">
        <v>0</v>
      </c>
      <c r="V64" s="50">
        <v>0.478122</v>
      </c>
      <c r="W64" s="50">
        <v>0.03471</v>
      </c>
      <c r="X64" s="50">
        <v>0.001935</v>
      </c>
      <c r="Y64" s="50">
        <v>0</v>
      </c>
      <c r="Z64" s="50">
        <v>0</v>
      </c>
      <c r="AA64" s="72">
        <v>64</v>
      </c>
      <c r="AB64" s="72"/>
      <c r="AC64" s="73"/>
      <c r="AD64" s="80" t="s">
        <v>1466</v>
      </c>
      <c r="AE64" s="80"/>
      <c r="AF64" s="80"/>
      <c r="AG64" s="80"/>
      <c r="AH64" s="80"/>
      <c r="AI64" s="80"/>
      <c r="AJ64" s="87">
        <v>38883.61869212963</v>
      </c>
      <c r="AK64" s="85" t="str">
        <f>HYPERLINK("https://yt3.ggpht.com/ytc/AKedOLT8o3_xdOHo8WFJW0l7vULHIOdWNyVw9nqVBCoC9A=s88-c-k-c0x00ffffff-no-rj")</f>
        <v>https://yt3.ggpht.com/ytc/AKedOLT8o3_xdOHo8WFJW0l7vULHIOdWNyVw9nqVBCoC9A=s88-c-k-c0x00ffffff-no-rj</v>
      </c>
      <c r="AL64" s="80">
        <v>0</v>
      </c>
      <c r="AM64" s="80">
        <v>0</v>
      </c>
      <c r="AN64" s="80">
        <v>2</v>
      </c>
      <c r="AO64" s="80" t="b">
        <v>0</v>
      </c>
      <c r="AP64" s="80">
        <v>0</v>
      </c>
      <c r="AQ64" s="80"/>
      <c r="AR64" s="80"/>
      <c r="AS64" s="80" t="s">
        <v>2085</v>
      </c>
      <c r="AT64" s="85" t="str">
        <f>HYPERLINK("https://www.youtube.com/channel/UCTKClOWRmfua8LzwcClBsHQ")</f>
        <v>https://www.youtube.com/channel/UCTKClOWRmfua8LzwcClBsHQ</v>
      </c>
      <c r="AU64" s="80" t="str">
        <f>REPLACE(INDEX(GroupVertices[Group],MATCH(Vertices[[#This Row],[Vertex]],GroupVertices[Vertex],0)),1,1,"")</f>
        <v>1</v>
      </c>
      <c r="AV64" s="49">
        <v>1</v>
      </c>
      <c r="AW64" s="50">
        <v>2.9411764705882355</v>
      </c>
      <c r="AX64" s="49">
        <v>0</v>
      </c>
      <c r="AY64" s="50">
        <v>0</v>
      </c>
      <c r="AZ64" s="49">
        <v>0</v>
      </c>
      <c r="BA64" s="50">
        <v>0</v>
      </c>
      <c r="BB64" s="49">
        <v>33</v>
      </c>
      <c r="BC64" s="50">
        <v>97.05882352941177</v>
      </c>
      <c r="BD64" s="49">
        <v>34</v>
      </c>
      <c r="BE64" s="49"/>
      <c r="BF64" s="49"/>
      <c r="BG64" s="49"/>
      <c r="BH64" s="49"/>
      <c r="BI64" s="49"/>
      <c r="BJ64" s="49"/>
      <c r="BK64" s="111" t="s">
        <v>3456</v>
      </c>
      <c r="BL64" s="111" t="s">
        <v>3456</v>
      </c>
      <c r="BM64" s="111" t="s">
        <v>3907</v>
      </c>
      <c r="BN64" s="111" t="s">
        <v>3907</v>
      </c>
      <c r="BO64" s="2"/>
      <c r="BP64" s="3"/>
      <c r="BQ64" s="3"/>
      <c r="BR64" s="3"/>
      <c r="BS64" s="3"/>
    </row>
    <row r="65" spans="1:71" ht="15">
      <c r="A65" s="65" t="s">
        <v>399</v>
      </c>
      <c r="B65" s="66"/>
      <c r="C65" s="66"/>
      <c r="D65" s="67">
        <v>150</v>
      </c>
      <c r="E65" s="69"/>
      <c r="F65" s="103" t="str">
        <f>HYPERLINK("https://yt3.ggpht.com/ytc/AKedOLSiPzbSsihT57YVI2qcQc0KAYyAak7XB2TO0wFi=s88-c-k-c0x00ffffff-no-rj")</f>
        <v>https://yt3.ggpht.com/ytc/AKedOLSiPzbSsihT57YVI2qcQc0KAYyAak7XB2TO0wFi=s88-c-k-c0x00ffffff-no-rj</v>
      </c>
      <c r="G65" s="66"/>
      <c r="H65" s="70" t="s">
        <v>1467</v>
      </c>
      <c r="I65" s="71"/>
      <c r="J65" s="71" t="s">
        <v>159</v>
      </c>
      <c r="K65" s="70" t="s">
        <v>1467</v>
      </c>
      <c r="L65" s="74">
        <v>1</v>
      </c>
      <c r="M65" s="75">
        <v>7091.9697265625</v>
      </c>
      <c r="N65" s="75">
        <v>5175.22412109375</v>
      </c>
      <c r="O65" s="76"/>
      <c r="P65" s="77"/>
      <c r="Q65" s="77"/>
      <c r="R65" s="89"/>
      <c r="S65" s="49">
        <v>0</v>
      </c>
      <c r="T65" s="49">
        <v>1</v>
      </c>
      <c r="U65" s="50">
        <v>0</v>
      </c>
      <c r="V65" s="50">
        <v>0.478122</v>
      </c>
      <c r="W65" s="50">
        <v>0.03471</v>
      </c>
      <c r="X65" s="50">
        <v>0.001935</v>
      </c>
      <c r="Y65" s="50">
        <v>0</v>
      </c>
      <c r="Z65" s="50">
        <v>0</v>
      </c>
      <c r="AA65" s="72">
        <v>65</v>
      </c>
      <c r="AB65" s="72"/>
      <c r="AC65" s="73"/>
      <c r="AD65" s="80" t="s">
        <v>1467</v>
      </c>
      <c r="AE65" s="80" t="s">
        <v>1961</v>
      </c>
      <c r="AF65" s="80"/>
      <c r="AG65" s="80"/>
      <c r="AH65" s="80"/>
      <c r="AI65" s="80"/>
      <c r="AJ65" s="87">
        <v>41127.86099537037</v>
      </c>
      <c r="AK65" s="85" t="str">
        <f>HYPERLINK("https://yt3.ggpht.com/ytc/AKedOLSiPzbSsihT57YVI2qcQc0KAYyAak7XB2TO0wFi=s88-c-k-c0x00ffffff-no-rj")</f>
        <v>https://yt3.ggpht.com/ytc/AKedOLSiPzbSsihT57YVI2qcQc0KAYyAak7XB2TO0wFi=s88-c-k-c0x00ffffff-no-rj</v>
      </c>
      <c r="AL65" s="80">
        <v>3251</v>
      </c>
      <c r="AM65" s="80">
        <v>0</v>
      </c>
      <c r="AN65" s="80">
        <v>96</v>
      </c>
      <c r="AO65" s="80" t="b">
        <v>0</v>
      </c>
      <c r="AP65" s="80">
        <v>2</v>
      </c>
      <c r="AQ65" s="80"/>
      <c r="AR65" s="80"/>
      <c r="AS65" s="80" t="s">
        <v>2085</v>
      </c>
      <c r="AT65" s="85" t="str">
        <f>HYPERLINK("https://www.youtube.com/channel/UCwqjRTk9ErnOhEoHVbUj8qQ")</f>
        <v>https://www.youtube.com/channel/UCwqjRTk9ErnOhEoHVbUj8qQ</v>
      </c>
      <c r="AU65" s="80" t="str">
        <f>REPLACE(INDEX(GroupVertices[Group],MATCH(Vertices[[#This Row],[Vertex]],GroupVertices[Vertex],0)),1,1,"")</f>
        <v>1</v>
      </c>
      <c r="AV65" s="49">
        <v>0</v>
      </c>
      <c r="AW65" s="50">
        <v>0</v>
      </c>
      <c r="AX65" s="49">
        <v>1</v>
      </c>
      <c r="AY65" s="50">
        <v>9.090909090909092</v>
      </c>
      <c r="AZ65" s="49">
        <v>0</v>
      </c>
      <c r="BA65" s="50">
        <v>0</v>
      </c>
      <c r="BB65" s="49">
        <v>10</v>
      </c>
      <c r="BC65" s="50">
        <v>90.9090909090909</v>
      </c>
      <c r="BD65" s="49">
        <v>11</v>
      </c>
      <c r="BE65" s="49"/>
      <c r="BF65" s="49"/>
      <c r="BG65" s="49"/>
      <c r="BH65" s="49"/>
      <c r="BI65" s="49"/>
      <c r="BJ65" s="49"/>
      <c r="BK65" s="111" t="s">
        <v>3457</v>
      </c>
      <c r="BL65" s="111" t="s">
        <v>3457</v>
      </c>
      <c r="BM65" s="111" t="s">
        <v>3908</v>
      </c>
      <c r="BN65" s="111" t="s">
        <v>3908</v>
      </c>
      <c r="BO65" s="2"/>
      <c r="BP65" s="3"/>
      <c r="BQ65" s="3"/>
      <c r="BR65" s="3"/>
      <c r="BS65" s="3"/>
    </row>
    <row r="66" spans="1:71" ht="15">
      <c r="A66" s="65" t="s">
        <v>400</v>
      </c>
      <c r="B66" s="66"/>
      <c r="C66" s="66"/>
      <c r="D66" s="67">
        <v>150</v>
      </c>
      <c r="E66" s="69"/>
      <c r="F66" s="103" t="str">
        <f>HYPERLINK("https://yt3.ggpht.com/ytc/AKedOLTqmJjZWEowDosUk0gwaEtP-nFIKzrMbcvNXEUI=s88-c-k-c0x00ffffff-no-rj")</f>
        <v>https://yt3.ggpht.com/ytc/AKedOLTqmJjZWEowDosUk0gwaEtP-nFIKzrMbcvNXEUI=s88-c-k-c0x00ffffff-no-rj</v>
      </c>
      <c r="G66" s="66"/>
      <c r="H66" s="70" t="s">
        <v>1468</v>
      </c>
      <c r="I66" s="71"/>
      <c r="J66" s="71" t="s">
        <v>159</v>
      </c>
      <c r="K66" s="70" t="s">
        <v>1468</v>
      </c>
      <c r="L66" s="74">
        <v>1</v>
      </c>
      <c r="M66" s="75">
        <v>3083.80078125</v>
      </c>
      <c r="N66" s="75">
        <v>476.55072021484375</v>
      </c>
      <c r="O66" s="76"/>
      <c r="P66" s="77"/>
      <c r="Q66" s="77"/>
      <c r="R66" s="89"/>
      <c r="S66" s="49">
        <v>0</v>
      </c>
      <c r="T66" s="49">
        <v>1</v>
      </c>
      <c r="U66" s="50">
        <v>0</v>
      </c>
      <c r="V66" s="50">
        <v>0.478122</v>
      </c>
      <c r="W66" s="50">
        <v>0.03471</v>
      </c>
      <c r="X66" s="50">
        <v>0.001935</v>
      </c>
      <c r="Y66" s="50">
        <v>0</v>
      </c>
      <c r="Z66" s="50">
        <v>0</v>
      </c>
      <c r="AA66" s="72">
        <v>66</v>
      </c>
      <c r="AB66" s="72"/>
      <c r="AC66" s="73"/>
      <c r="AD66" s="80" t="s">
        <v>1468</v>
      </c>
      <c r="AE66" s="80" t="s">
        <v>1962</v>
      </c>
      <c r="AF66" s="80"/>
      <c r="AG66" s="80"/>
      <c r="AH66" s="80"/>
      <c r="AI66" s="80"/>
      <c r="AJ66" s="87">
        <v>38756.18099537037</v>
      </c>
      <c r="AK66" s="85" t="str">
        <f>HYPERLINK("https://yt3.ggpht.com/ytc/AKedOLTqmJjZWEowDosUk0gwaEtP-nFIKzrMbcvNXEUI=s88-c-k-c0x00ffffff-no-rj")</f>
        <v>https://yt3.ggpht.com/ytc/AKedOLTqmJjZWEowDosUk0gwaEtP-nFIKzrMbcvNXEUI=s88-c-k-c0x00ffffff-no-rj</v>
      </c>
      <c r="AL66" s="80">
        <v>222150</v>
      </c>
      <c r="AM66" s="80">
        <v>0</v>
      </c>
      <c r="AN66" s="80">
        <v>196</v>
      </c>
      <c r="AO66" s="80" t="b">
        <v>0</v>
      </c>
      <c r="AP66" s="80">
        <v>4</v>
      </c>
      <c r="AQ66" s="80"/>
      <c r="AR66" s="80"/>
      <c r="AS66" s="80" t="s">
        <v>2085</v>
      </c>
      <c r="AT66" s="85" t="str">
        <f>HYPERLINK("https://www.youtube.com/channel/UCS3kJcJij9JogEyHBlHLwfg")</f>
        <v>https://www.youtube.com/channel/UCS3kJcJij9JogEyHBlHLwfg</v>
      </c>
      <c r="AU66" s="80" t="str">
        <f>REPLACE(INDEX(GroupVertices[Group],MATCH(Vertices[[#This Row],[Vertex]],GroupVertices[Vertex],0)),1,1,"")</f>
        <v>1</v>
      </c>
      <c r="AV66" s="49">
        <v>2</v>
      </c>
      <c r="AW66" s="50">
        <v>1.9801980198019802</v>
      </c>
      <c r="AX66" s="49">
        <v>5</v>
      </c>
      <c r="AY66" s="50">
        <v>4.9504950495049505</v>
      </c>
      <c r="AZ66" s="49">
        <v>0</v>
      </c>
      <c r="BA66" s="50">
        <v>0</v>
      </c>
      <c r="BB66" s="49">
        <v>94</v>
      </c>
      <c r="BC66" s="50">
        <v>93.06930693069307</v>
      </c>
      <c r="BD66" s="49">
        <v>101</v>
      </c>
      <c r="BE66" s="49"/>
      <c r="BF66" s="49"/>
      <c r="BG66" s="49"/>
      <c r="BH66" s="49"/>
      <c r="BI66" s="49"/>
      <c r="BJ66" s="49"/>
      <c r="BK66" s="111" t="s">
        <v>3458</v>
      </c>
      <c r="BL66" s="111" t="s">
        <v>3458</v>
      </c>
      <c r="BM66" s="111" t="s">
        <v>3909</v>
      </c>
      <c r="BN66" s="111" t="s">
        <v>3909</v>
      </c>
      <c r="BO66" s="2"/>
      <c r="BP66" s="3"/>
      <c r="BQ66" s="3"/>
      <c r="BR66" s="3"/>
      <c r="BS66" s="3"/>
    </row>
    <row r="67" spans="1:71" ht="15">
      <c r="A67" s="65" t="s">
        <v>401</v>
      </c>
      <c r="B67" s="66"/>
      <c r="C67" s="66"/>
      <c r="D67" s="67">
        <v>150</v>
      </c>
      <c r="E67" s="69"/>
      <c r="F67" s="103" t="str">
        <f>HYPERLINK("https://yt3.ggpht.com/ytc/AKedOLQMYrK5EMJCYJxCq4fbSdwLLPfJ5UamIluu0w=s88-c-k-c0x00ffffff-no-rj")</f>
        <v>https://yt3.ggpht.com/ytc/AKedOLQMYrK5EMJCYJxCq4fbSdwLLPfJ5UamIluu0w=s88-c-k-c0x00ffffff-no-rj</v>
      </c>
      <c r="G67" s="66"/>
      <c r="H67" s="70" t="s">
        <v>1469</v>
      </c>
      <c r="I67" s="71"/>
      <c r="J67" s="71" t="s">
        <v>159</v>
      </c>
      <c r="K67" s="70" t="s">
        <v>1469</v>
      </c>
      <c r="L67" s="74">
        <v>1</v>
      </c>
      <c r="M67" s="75">
        <v>2354.162841796875</v>
      </c>
      <c r="N67" s="75">
        <v>7623.81787109375</v>
      </c>
      <c r="O67" s="76"/>
      <c r="P67" s="77"/>
      <c r="Q67" s="77"/>
      <c r="R67" s="89"/>
      <c r="S67" s="49">
        <v>0</v>
      </c>
      <c r="T67" s="49">
        <v>1</v>
      </c>
      <c r="U67" s="50">
        <v>0</v>
      </c>
      <c r="V67" s="50">
        <v>0.478122</v>
      </c>
      <c r="W67" s="50">
        <v>0.03471</v>
      </c>
      <c r="X67" s="50">
        <v>0.001935</v>
      </c>
      <c r="Y67" s="50">
        <v>0</v>
      </c>
      <c r="Z67" s="50">
        <v>0</v>
      </c>
      <c r="AA67" s="72">
        <v>67</v>
      </c>
      <c r="AB67" s="72"/>
      <c r="AC67" s="73"/>
      <c r="AD67" s="80" t="s">
        <v>1469</v>
      </c>
      <c r="AE67" s="80"/>
      <c r="AF67" s="80"/>
      <c r="AG67" s="80"/>
      <c r="AH67" s="80"/>
      <c r="AI67" s="80"/>
      <c r="AJ67" s="87">
        <v>38853.13302083333</v>
      </c>
      <c r="AK67" s="85" t="str">
        <f>HYPERLINK("https://yt3.ggpht.com/ytc/AKedOLQMYrK5EMJCYJxCq4fbSdwLLPfJ5UamIluu0w=s88-c-k-c0x00ffffff-no-rj")</f>
        <v>https://yt3.ggpht.com/ytc/AKedOLQMYrK5EMJCYJxCq4fbSdwLLPfJ5UamIluu0w=s88-c-k-c0x00ffffff-no-rj</v>
      </c>
      <c r="AL67" s="80">
        <v>0</v>
      </c>
      <c r="AM67" s="80">
        <v>0</v>
      </c>
      <c r="AN67" s="80">
        <v>4</v>
      </c>
      <c r="AO67" s="80" t="b">
        <v>0</v>
      </c>
      <c r="AP67" s="80">
        <v>0</v>
      </c>
      <c r="AQ67" s="80"/>
      <c r="AR67" s="80"/>
      <c r="AS67" s="80" t="s">
        <v>2085</v>
      </c>
      <c r="AT67" s="85" t="str">
        <f>HYPERLINK("https://www.youtube.com/channel/UC1RFEg9OTTkrdsrvJwn0SCw")</f>
        <v>https://www.youtube.com/channel/UC1RFEg9OTTkrdsrvJwn0SCw</v>
      </c>
      <c r="AU67" s="80" t="str">
        <f>REPLACE(INDEX(GroupVertices[Group],MATCH(Vertices[[#This Row],[Vertex]],GroupVertices[Vertex],0)),1,1,"")</f>
        <v>1</v>
      </c>
      <c r="AV67" s="49">
        <v>3</v>
      </c>
      <c r="AW67" s="50">
        <v>27.272727272727273</v>
      </c>
      <c r="AX67" s="49">
        <v>0</v>
      </c>
      <c r="AY67" s="50">
        <v>0</v>
      </c>
      <c r="AZ67" s="49">
        <v>0</v>
      </c>
      <c r="BA67" s="50">
        <v>0</v>
      </c>
      <c r="BB67" s="49">
        <v>8</v>
      </c>
      <c r="BC67" s="50">
        <v>72.72727272727273</v>
      </c>
      <c r="BD67" s="49">
        <v>11</v>
      </c>
      <c r="BE67" s="49"/>
      <c r="BF67" s="49"/>
      <c r="BG67" s="49"/>
      <c r="BH67" s="49"/>
      <c r="BI67" s="49"/>
      <c r="BJ67" s="49"/>
      <c r="BK67" s="111" t="s">
        <v>3459</v>
      </c>
      <c r="BL67" s="111" t="s">
        <v>3459</v>
      </c>
      <c r="BM67" s="111" t="s">
        <v>3910</v>
      </c>
      <c r="BN67" s="111" t="s">
        <v>3910</v>
      </c>
      <c r="BO67" s="2"/>
      <c r="BP67" s="3"/>
      <c r="BQ67" s="3"/>
      <c r="BR67" s="3"/>
      <c r="BS67" s="3"/>
    </row>
    <row r="68" spans="1:71" ht="15">
      <c r="A68" s="65" t="s">
        <v>402</v>
      </c>
      <c r="B68" s="66"/>
      <c r="C68" s="66"/>
      <c r="D68" s="67">
        <v>150</v>
      </c>
      <c r="E68" s="69"/>
      <c r="F68" s="103" t="str">
        <f>HYPERLINK("https://yt3.ggpht.com/ytc/AKedOLTlFNb4XhadJpO2tyVXSyNhmeux-0O6Kin6gw=s88-c-k-c0x00ffffff-no-rj")</f>
        <v>https://yt3.ggpht.com/ytc/AKedOLTlFNb4XhadJpO2tyVXSyNhmeux-0O6Kin6gw=s88-c-k-c0x00ffffff-no-rj</v>
      </c>
      <c r="G68" s="66"/>
      <c r="H68" s="70" t="s">
        <v>1470</v>
      </c>
      <c r="I68" s="71"/>
      <c r="J68" s="71" t="s">
        <v>159</v>
      </c>
      <c r="K68" s="70" t="s">
        <v>1470</v>
      </c>
      <c r="L68" s="74">
        <v>1</v>
      </c>
      <c r="M68" s="75">
        <v>3801.752197265625</v>
      </c>
      <c r="N68" s="75">
        <v>2532.14111328125</v>
      </c>
      <c r="O68" s="76"/>
      <c r="P68" s="77"/>
      <c r="Q68" s="77"/>
      <c r="R68" s="89"/>
      <c r="S68" s="49">
        <v>0</v>
      </c>
      <c r="T68" s="49">
        <v>1</v>
      </c>
      <c r="U68" s="50">
        <v>0</v>
      </c>
      <c r="V68" s="50">
        <v>0.478122</v>
      </c>
      <c r="W68" s="50">
        <v>0.03471</v>
      </c>
      <c r="X68" s="50">
        <v>0.001935</v>
      </c>
      <c r="Y68" s="50">
        <v>0</v>
      </c>
      <c r="Z68" s="50">
        <v>0</v>
      </c>
      <c r="AA68" s="72">
        <v>68</v>
      </c>
      <c r="AB68" s="72"/>
      <c r="AC68" s="73"/>
      <c r="AD68" s="80" t="s">
        <v>1470</v>
      </c>
      <c r="AE68" s="80"/>
      <c r="AF68" s="80"/>
      <c r="AG68" s="80"/>
      <c r="AH68" s="80"/>
      <c r="AI68" s="80"/>
      <c r="AJ68" s="87">
        <v>40025.33951388889</v>
      </c>
      <c r="AK68" s="85" t="str">
        <f>HYPERLINK("https://yt3.ggpht.com/ytc/AKedOLTlFNb4XhadJpO2tyVXSyNhmeux-0O6Kin6gw=s88-c-k-c0x00ffffff-no-rj")</f>
        <v>https://yt3.ggpht.com/ytc/AKedOLTlFNb4XhadJpO2tyVXSyNhmeux-0O6Kin6gw=s88-c-k-c0x00ffffff-no-rj</v>
      </c>
      <c r="AL68" s="80">
        <v>0</v>
      </c>
      <c r="AM68" s="80">
        <v>0</v>
      </c>
      <c r="AN68" s="80">
        <v>18</v>
      </c>
      <c r="AO68" s="80" t="b">
        <v>0</v>
      </c>
      <c r="AP68" s="80">
        <v>0</v>
      </c>
      <c r="AQ68" s="80"/>
      <c r="AR68" s="80"/>
      <c r="AS68" s="80" t="s">
        <v>2085</v>
      </c>
      <c r="AT68" s="85" t="str">
        <f>HYPERLINK("https://www.youtube.com/channel/UCs3P7y7CS0yF7RpLONNwWUw")</f>
        <v>https://www.youtube.com/channel/UCs3P7y7CS0yF7RpLONNwWUw</v>
      </c>
      <c r="AU68" s="80" t="str">
        <f>REPLACE(INDEX(GroupVertices[Group],MATCH(Vertices[[#This Row],[Vertex]],GroupVertices[Vertex],0)),1,1,"")</f>
        <v>1</v>
      </c>
      <c r="AV68" s="49">
        <v>0</v>
      </c>
      <c r="AW68" s="50">
        <v>0</v>
      </c>
      <c r="AX68" s="49">
        <v>0</v>
      </c>
      <c r="AY68" s="50">
        <v>0</v>
      </c>
      <c r="AZ68" s="49">
        <v>0</v>
      </c>
      <c r="BA68" s="50">
        <v>0</v>
      </c>
      <c r="BB68" s="49">
        <v>20</v>
      </c>
      <c r="BC68" s="50">
        <v>100</v>
      </c>
      <c r="BD68" s="49">
        <v>20</v>
      </c>
      <c r="BE68" s="49"/>
      <c r="BF68" s="49"/>
      <c r="BG68" s="49"/>
      <c r="BH68" s="49"/>
      <c r="BI68" s="49"/>
      <c r="BJ68" s="49"/>
      <c r="BK68" s="111" t="s">
        <v>3460</v>
      </c>
      <c r="BL68" s="111" t="s">
        <v>3460</v>
      </c>
      <c r="BM68" s="111" t="s">
        <v>3911</v>
      </c>
      <c r="BN68" s="111" t="s">
        <v>3911</v>
      </c>
      <c r="BO68" s="2"/>
      <c r="BP68" s="3"/>
      <c r="BQ68" s="3"/>
      <c r="BR68" s="3"/>
      <c r="BS68" s="3"/>
    </row>
    <row r="69" spans="1:71" ht="15">
      <c r="A69" s="65" t="s">
        <v>403</v>
      </c>
      <c r="B69" s="66"/>
      <c r="C69" s="66"/>
      <c r="D69" s="67">
        <v>150</v>
      </c>
      <c r="E69" s="69"/>
      <c r="F69" s="103" t="str">
        <f>HYPERLINK("https://yt3.ggpht.com/ytc/AKedOLQe8WRtXbnRJcgFRRS9G_Jrit0TkGEZczLXRg=s88-c-k-c0x00ffffff-no-rj")</f>
        <v>https://yt3.ggpht.com/ytc/AKedOLQe8WRtXbnRJcgFRRS9G_Jrit0TkGEZczLXRg=s88-c-k-c0x00ffffff-no-rj</v>
      </c>
      <c r="G69" s="66"/>
      <c r="H69" s="70" t="s">
        <v>1471</v>
      </c>
      <c r="I69" s="71"/>
      <c r="J69" s="71" t="s">
        <v>159</v>
      </c>
      <c r="K69" s="70" t="s">
        <v>1471</v>
      </c>
      <c r="L69" s="74">
        <v>1</v>
      </c>
      <c r="M69" s="75">
        <v>2175.760986328125</v>
      </c>
      <c r="N69" s="75">
        <v>3457.794921875</v>
      </c>
      <c r="O69" s="76"/>
      <c r="P69" s="77"/>
      <c r="Q69" s="77"/>
      <c r="R69" s="89"/>
      <c r="S69" s="49">
        <v>0</v>
      </c>
      <c r="T69" s="49">
        <v>1</v>
      </c>
      <c r="U69" s="50">
        <v>0</v>
      </c>
      <c r="V69" s="50">
        <v>0.478122</v>
      </c>
      <c r="W69" s="50">
        <v>0.03471</v>
      </c>
      <c r="X69" s="50">
        <v>0.001935</v>
      </c>
      <c r="Y69" s="50">
        <v>0</v>
      </c>
      <c r="Z69" s="50">
        <v>0</v>
      </c>
      <c r="AA69" s="72">
        <v>69</v>
      </c>
      <c r="AB69" s="72"/>
      <c r="AC69" s="73"/>
      <c r="AD69" s="80" t="s">
        <v>1471</v>
      </c>
      <c r="AE69" s="80"/>
      <c r="AF69" s="80"/>
      <c r="AG69" s="80"/>
      <c r="AH69" s="80"/>
      <c r="AI69" s="80"/>
      <c r="AJ69" s="87">
        <v>40703.809594907405</v>
      </c>
      <c r="AK69" s="85" t="str">
        <f>HYPERLINK("https://yt3.ggpht.com/ytc/AKedOLQe8WRtXbnRJcgFRRS9G_Jrit0TkGEZczLXRg=s88-c-k-c0x00ffffff-no-rj")</f>
        <v>https://yt3.ggpht.com/ytc/AKedOLQe8WRtXbnRJcgFRRS9G_Jrit0TkGEZczLXRg=s88-c-k-c0x00ffffff-no-rj</v>
      </c>
      <c r="AL69" s="80">
        <v>0</v>
      </c>
      <c r="AM69" s="80">
        <v>0</v>
      </c>
      <c r="AN69" s="80">
        <v>10</v>
      </c>
      <c r="AO69" s="80" t="b">
        <v>0</v>
      </c>
      <c r="AP69" s="80">
        <v>0</v>
      </c>
      <c r="AQ69" s="80"/>
      <c r="AR69" s="80"/>
      <c r="AS69" s="80" t="s">
        <v>2085</v>
      </c>
      <c r="AT69" s="85" t="str">
        <f>HYPERLINK("https://www.youtube.com/channel/UC0Dz0Z2yd3Jk9madzcmf4EQ")</f>
        <v>https://www.youtube.com/channel/UC0Dz0Z2yd3Jk9madzcmf4EQ</v>
      </c>
      <c r="AU69" s="80" t="str">
        <f>REPLACE(INDEX(GroupVertices[Group],MATCH(Vertices[[#This Row],[Vertex]],GroupVertices[Vertex],0)),1,1,"")</f>
        <v>1</v>
      </c>
      <c r="AV69" s="49">
        <v>0</v>
      </c>
      <c r="AW69" s="50">
        <v>0</v>
      </c>
      <c r="AX69" s="49">
        <v>0</v>
      </c>
      <c r="AY69" s="50">
        <v>0</v>
      </c>
      <c r="AZ69" s="49">
        <v>0</v>
      </c>
      <c r="BA69" s="50">
        <v>0</v>
      </c>
      <c r="BB69" s="49">
        <v>12</v>
      </c>
      <c r="BC69" s="50">
        <v>100</v>
      </c>
      <c r="BD69" s="49">
        <v>12</v>
      </c>
      <c r="BE69" s="49"/>
      <c r="BF69" s="49"/>
      <c r="BG69" s="49"/>
      <c r="BH69" s="49"/>
      <c r="BI69" s="49"/>
      <c r="BJ69" s="49"/>
      <c r="BK69" s="111" t="s">
        <v>3461</v>
      </c>
      <c r="BL69" s="111" t="s">
        <v>3461</v>
      </c>
      <c r="BM69" s="111" t="s">
        <v>3912</v>
      </c>
      <c r="BN69" s="111" t="s">
        <v>3912</v>
      </c>
      <c r="BO69" s="2"/>
      <c r="BP69" s="3"/>
      <c r="BQ69" s="3"/>
      <c r="BR69" s="3"/>
      <c r="BS69" s="3"/>
    </row>
    <row r="70" spans="1:71" ht="15">
      <c r="A70" s="65" t="s">
        <v>404</v>
      </c>
      <c r="B70" s="66"/>
      <c r="C70" s="66"/>
      <c r="D70" s="67">
        <v>150</v>
      </c>
      <c r="E70" s="69"/>
      <c r="F70" s="103" t="str">
        <f>HYPERLINK("https://yt3.ggpht.com/ytc/AKedOLSra5UPF48FO9BaentN7gqL7pdKvQxh8P2LNQ=s88-c-k-c0x00ffffff-no-rj")</f>
        <v>https://yt3.ggpht.com/ytc/AKedOLSra5UPF48FO9BaentN7gqL7pdKvQxh8P2LNQ=s88-c-k-c0x00ffffff-no-rj</v>
      </c>
      <c r="G70" s="66"/>
      <c r="H70" s="70" t="s">
        <v>1472</v>
      </c>
      <c r="I70" s="71"/>
      <c r="J70" s="71" t="s">
        <v>159</v>
      </c>
      <c r="K70" s="70" t="s">
        <v>1472</v>
      </c>
      <c r="L70" s="74">
        <v>1</v>
      </c>
      <c r="M70" s="75">
        <v>2612.93505859375</v>
      </c>
      <c r="N70" s="75">
        <v>1362.2689208984375</v>
      </c>
      <c r="O70" s="76"/>
      <c r="P70" s="77"/>
      <c r="Q70" s="77"/>
      <c r="R70" s="89"/>
      <c r="S70" s="49">
        <v>0</v>
      </c>
      <c r="T70" s="49">
        <v>1</v>
      </c>
      <c r="U70" s="50">
        <v>0</v>
      </c>
      <c r="V70" s="50">
        <v>0.478122</v>
      </c>
      <c r="W70" s="50">
        <v>0.03471</v>
      </c>
      <c r="X70" s="50">
        <v>0.001935</v>
      </c>
      <c r="Y70" s="50">
        <v>0</v>
      </c>
      <c r="Z70" s="50">
        <v>0</v>
      </c>
      <c r="AA70" s="72">
        <v>70</v>
      </c>
      <c r="AB70" s="72"/>
      <c r="AC70" s="73"/>
      <c r="AD70" s="80" t="s">
        <v>1472</v>
      </c>
      <c r="AE70" s="80"/>
      <c r="AF70" s="80"/>
      <c r="AG70" s="80"/>
      <c r="AH70" s="80"/>
      <c r="AI70" s="80"/>
      <c r="AJ70" s="87">
        <v>40319.86320601852</v>
      </c>
      <c r="AK70" s="85" t="str">
        <f>HYPERLINK("https://yt3.ggpht.com/ytc/AKedOLSra5UPF48FO9BaentN7gqL7pdKvQxh8P2LNQ=s88-c-k-c0x00ffffff-no-rj")</f>
        <v>https://yt3.ggpht.com/ytc/AKedOLSra5UPF48FO9BaentN7gqL7pdKvQxh8P2LNQ=s88-c-k-c0x00ffffff-no-rj</v>
      </c>
      <c r="AL70" s="80">
        <v>69</v>
      </c>
      <c r="AM70" s="80">
        <v>0</v>
      </c>
      <c r="AN70" s="80">
        <v>10</v>
      </c>
      <c r="AO70" s="80" t="b">
        <v>0</v>
      </c>
      <c r="AP70" s="80">
        <v>1</v>
      </c>
      <c r="AQ70" s="80"/>
      <c r="AR70" s="80"/>
      <c r="AS70" s="80" t="s">
        <v>2085</v>
      </c>
      <c r="AT70" s="85" t="str">
        <f>HYPERLINK("https://www.youtube.com/channel/UCq4VnrOhYuN2IdwITTdQkDw")</f>
        <v>https://www.youtube.com/channel/UCq4VnrOhYuN2IdwITTdQkDw</v>
      </c>
      <c r="AU70" s="80" t="str">
        <f>REPLACE(INDEX(GroupVertices[Group],MATCH(Vertices[[#This Row],[Vertex]],GroupVertices[Vertex],0)),1,1,"")</f>
        <v>1</v>
      </c>
      <c r="AV70" s="49">
        <v>3</v>
      </c>
      <c r="AW70" s="50">
        <v>4.545454545454546</v>
      </c>
      <c r="AX70" s="49">
        <v>0</v>
      </c>
      <c r="AY70" s="50">
        <v>0</v>
      </c>
      <c r="AZ70" s="49">
        <v>0</v>
      </c>
      <c r="BA70" s="50">
        <v>0</v>
      </c>
      <c r="BB70" s="49">
        <v>63</v>
      </c>
      <c r="BC70" s="50">
        <v>95.45454545454545</v>
      </c>
      <c r="BD70" s="49">
        <v>66</v>
      </c>
      <c r="BE70" s="49"/>
      <c r="BF70" s="49"/>
      <c r="BG70" s="49"/>
      <c r="BH70" s="49"/>
      <c r="BI70" s="49"/>
      <c r="BJ70" s="49"/>
      <c r="BK70" s="111" t="s">
        <v>3462</v>
      </c>
      <c r="BL70" s="111" t="s">
        <v>3815</v>
      </c>
      <c r="BM70" s="111" t="s">
        <v>3913</v>
      </c>
      <c r="BN70" s="111" t="s">
        <v>3913</v>
      </c>
      <c r="BO70" s="2"/>
      <c r="BP70" s="3"/>
      <c r="BQ70" s="3"/>
      <c r="BR70" s="3"/>
      <c r="BS70" s="3"/>
    </row>
    <row r="71" spans="1:71" ht="15">
      <c r="A71" s="65" t="s">
        <v>405</v>
      </c>
      <c r="B71" s="66"/>
      <c r="C71" s="66"/>
      <c r="D71" s="67">
        <v>150</v>
      </c>
      <c r="E71" s="69"/>
      <c r="F71" s="103" t="str">
        <f>HYPERLINK("https://yt3.ggpht.com/ytc/AKedOLSYf_VPjkZ0s4FDMjEFganvVdoSXy3PyhcibOkwiw=s88-c-k-c0x00ffffff-no-rj")</f>
        <v>https://yt3.ggpht.com/ytc/AKedOLSYf_VPjkZ0s4FDMjEFganvVdoSXy3PyhcibOkwiw=s88-c-k-c0x00ffffff-no-rj</v>
      </c>
      <c r="G71" s="66"/>
      <c r="H71" s="70" t="s">
        <v>1473</v>
      </c>
      <c r="I71" s="71"/>
      <c r="J71" s="71" t="s">
        <v>159</v>
      </c>
      <c r="K71" s="70" t="s">
        <v>1473</v>
      </c>
      <c r="L71" s="74">
        <v>1</v>
      </c>
      <c r="M71" s="75">
        <v>402.755126953125</v>
      </c>
      <c r="N71" s="75">
        <v>5360.31494140625</v>
      </c>
      <c r="O71" s="76"/>
      <c r="P71" s="77"/>
      <c r="Q71" s="77"/>
      <c r="R71" s="89"/>
      <c r="S71" s="49">
        <v>0</v>
      </c>
      <c r="T71" s="49">
        <v>1</v>
      </c>
      <c r="U71" s="50">
        <v>0</v>
      </c>
      <c r="V71" s="50">
        <v>0.478122</v>
      </c>
      <c r="W71" s="50">
        <v>0.03471</v>
      </c>
      <c r="X71" s="50">
        <v>0.001935</v>
      </c>
      <c r="Y71" s="50">
        <v>0</v>
      </c>
      <c r="Z71" s="50">
        <v>0</v>
      </c>
      <c r="AA71" s="72">
        <v>71</v>
      </c>
      <c r="AB71" s="72"/>
      <c r="AC71" s="73"/>
      <c r="AD71" s="80" t="s">
        <v>1473</v>
      </c>
      <c r="AE71" s="80" t="s">
        <v>1963</v>
      </c>
      <c r="AF71" s="80"/>
      <c r="AG71" s="80"/>
      <c r="AH71" s="80"/>
      <c r="AI71" s="80"/>
      <c r="AJ71" s="87">
        <v>40051.13113425926</v>
      </c>
      <c r="AK71" s="85" t="str">
        <f>HYPERLINK("https://yt3.ggpht.com/ytc/AKedOLSYf_VPjkZ0s4FDMjEFganvVdoSXy3PyhcibOkwiw=s88-c-k-c0x00ffffff-no-rj")</f>
        <v>https://yt3.ggpht.com/ytc/AKedOLSYf_VPjkZ0s4FDMjEFganvVdoSXy3PyhcibOkwiw=s88-c-k-c0x00ffffff-no-rj</v>
      </c>
      <c r="AL71" s="80">
        <v>279370</v>
      </c>
      <c r="AM71" s="80">
        <v>0</v>
      </c>
      <c r="AN71" s="80">
        <v>321</v>
      </c>
      <c r="AO71" s="80" t="b">
        <v>0</v>
      </c>
      <c r="AP71" s="80">
        <v>119</v>
      </c>
      <c r="AQ71" s="80"/>
      <c r="AR71" s="80"/>
      <c r="AS71" s="80" t="s">
        <v>2085</v>
      </c>
      <c r="AT71" s="85" t="str">
        <f>HYPERLINK("https://www.youtube.com/channel/UC3Z92jD5KxL5ll7cW9eR94Q")</f>
        <v>https://www.youtube.com/channel/UC3Z92jD5KxL5ll7cW9eR94Q</v>
      </c>
      <c r="AU71" s="80" t="str">
        <f>REPLACE(INDEX(GroupVertices[Group],MATCH(Vertices[[#This Row],[Vertex]],GroupVertices[Vertex],0)),1,1,"")</f>
        <v>1</v>
      </c>
      <c r="AV71" s="49">
        <v>1</v>
      </c>
      <c r="AW71" s="50">
        <v>6.25</v>
      </c>
      <c r="AX71" s="49">
        <v>0</v>
      </c>
      <c r="AY71" s="50">
        <v>0</v>
      </c>
      <c r="AZ71" s="49">
        <v>0</v>
      </c>
      <c r="BA71" s="50">
        <v>0</v>
      </c>
      <c r="BB71" s="49">
        <v>15</v>
      </c>
      <c r="BC71" s="50">
        <v>93.75</v>
      </c>
      <c r="BD71" s="49">
        <v>16</v>
      </c>
      <c r="BE71" s="49"/>
      <c r="BF71" s="49"/>
      <c r="BG71" s="49"/>
      <c r="BH71" s="49"/>
      <c r="BI71" s="49"/>
      <c r="BJ71" s="49"/>
      <c r="BK71" s="111" t="s">
        <v>3463</v>
      </c>
      <c r="BL71" s="111" t="s">
        <v>3463</v>
      </c>
      <c r="BM71" s="111" t="s">
        <v>3914</v>
      </c>
      <c r="BN71" s="111" t="s">
        <v>3914</v>
      </c>
      <c r="BO71" s="2"/>
      <c r="BP71" s="3"/>
      <c r="BQ71" s="3"/>
      <c r="BR71" s="3"/>
      <c r="BS71" s="3"/>
    </row>
    <row r="72" spans="1:71" ht="15">
      <c r="A72" s="65" t="s">
        <v>406</v>
      </c>
      <c r="B72" s="66"/>
      <c r="C72" s="66"/>
      <c r="D72" s="67">
        <v>150</v>
      </c>
      <c r="E72" s="69"/>
      <c r="F72" s="103" t="str">
        <f>HYPERLINK("https://yt3.ggpht.com/ytc/AKedOLQpi0fnI9pi0mFyCW_wZmdg7-d8Q6Xwp3rv3pBp=s88-c-k-c0x00ffffff-no-rj")</f>
        <v>https://yt3.ggpht.com/ytc/AKedOLQpi0fnI9pi0mFyCW_wZmdg7-d8Q6Xwp3rv3pBp=s88-c-k-c0x00ffffff-no-rj</v>
      </c>
      <c r="G72" s="66"/>
      <c r="H72" s="70" t="s">
        <v>1474</v>
      </c>
      <c r="I72" s="71"/>
      <c r="J72" s="71" t="s">
        <v>159</v>
      </c>
      <c r="K72" s="70" t="s">
        <v>1474</v>
      </c>
      <c r="L72" s="74">
        <v>1</v>
      </c>
      <c r="M72" s="75">
        <v>4111.11669921875</v>
      </c>
      <c r="N72" s="75">
        <v>1144.7039794921875</v>
      </c>
      <c r="O72" s="76"/>
      <c r="P72" s="77"/>
      <c r="Q72" s="77"/>
      <c r="R72" s="89"/>
      <c r="S72" s="49">
        <v>0</v>
      </c>
      <c r="T72" s="49">
        <v>1</v>
      </c>
      <c r="U72" s="50">
        <v>0</v>
      </c>
      <c r="V72" s="50">
        <v>0.478122</v>
      </c>
      <c r="W72" s="50">
        <v>0.03471</v>
      </c>
      <c r="X72" s="50">
        <v>0.001935</v>
      </c>
      <c r="Y72" s="50">
        <v>0</v>
      </c>
      <c r="Z72" s="50">
        <v>0</v>
      </c>
      <c r="AA72" s="72">
        <v>72</v>
      </c>
      <c r="AB72" s="72"/>
      <c r="AC72" s="73"/>
      <c r="AD72" s="80" t="s">
        <v>1474</v>
      </c>
      <c r="AE72" s="80"/>
      <c r="AF72" s="80"/>
      <c r="AG72" s="80"/>
      <c r="AH72" s="80"/>
      <c r="AI72" s="80"/>
      <c r="AJ72" s="87">
        <v>39003.44650462963</v>
      </c>
      <c r="AK72" s="85" t="str">
        <f>HYPERLINK("https://yt3.ggpht.com/ytc/AKedOLQpi0fnI9pi0mFyCW_wZmdg7-d8Q6Xwp3rv3pBp=s88-c-k-c0x00ffffff-no-rj")</f>
        <v>https://yt3.ggpht.com/ytc/AKedOLQpi0fnI9pi0mFyCW_wZmdg7-d8Q6Xwp3rv3pBp=s88-c-k-c0x00ffffff-no-rj</v>
      </c>
      <c r="AL72" s="80">
        <v>0</v>
      </c>
      <c r="AM72" s="80">
        <v>0</v>
      </c>
      <c r="AN72" s="80">
        <v>57</v>
      </c>
      <c r="AO72" s="80" t="b">
        <v>0</v>
      </c>
      <c r="AP72" s="80">
        <v>0</v>
      </c>
      <c r="AQ72" s="80"/>
      <c r="AR72" s="80"/>
      <c r="AS72" s="80" t="s">
        <v>2085</v>
      </c>
      <c r="AT72" s="85" t="str">
        <f>HYPERLINK("https://www.youtube.com/channel/UCKdZVIR5_xlawOW-gFludbA")</f>
        <v>https://www.youtube.com/channel/UCKdZVIR5_xlawOW-gFludbA</v>
      </c>
      <c r="AU72" s="80" t="str">
        <f>REPLACE(INDEX(GroupVertices[Group],MATCH(Vertices[[#This Row],[Vertex]],GroupVertices[Vertex],0)),1,1,"")</f>
        <v>1</v>
      </c>
      <c r="AV72" s="49">
        <v>0</v>
      </c>
      <c r="AW72" s="50">
        <v>0</v>
      </c>
      <c r="AX72" s="49">
        <v>0</v>
      </c>
      <c r="AY72" s="50">
        <v>0</v>
      </c>
      <c r="AZ72" s="49">
        <v>0</v>
      </c>
      <c r="BA72" s="50">
        <v>0</v>
      </c>
      <c r="BB72" s="49">
        <v>29</v>
      </c>
      <c r="BC72" s="50">
        <v>100</v>
      </c>
      <c r="BD72" s="49">
        <v>29</v>
      </c>
      <c r="BE72" s="49"/>
      <c r="BF72" s="49"/>
      <c r="BG72" s="49"/>
      <c r="BH72" s="49"/>
      <c r="BI72" s="49"/>
      <c r="BJ72" s="49"/>
      <c r="BK72" s="111" t="s">
        <v>3464</v>
      </c>
      <c r="BL72" s="111" t="s">
        <v>3464</v>
      </c>
      <c r="BM72" s="111" t="s">
        <v>3915</v>
      </c>
      <c r="BN72" s="111" t="s">
        <v>3915</v>
      </c>
      <c r="BO72" s="2"/>
      <c r="BP72" s="3"/>
      <c r="BQ72" s="3"/>
      <c r="BR72" s="3"/>
      <c r="BS72" s="3"/>
    </row>
    <row r="73" spans="1:71" ht="15">
      <c r="A73" s="65" t="s">
        <v>407</v>
      </c>
      <c r="B73" s="66"/>
      <c r="C73" s="66"/>
      <c r="D73" s="67">
        <v>150</v>
      </c>
      <c r="E73" s="69"/>
      <c r="F73" s="103" t="str">
        <f>HYPERLINK("https://yt3.ggpht.com/ytc/AKedOLSJnUr_wt2sVAAKImZacCgGMXiMFHlAJ2tmlA=s88-c-k-c0x00ffffff-no-rj")</f>
        <v>https://yt3.ggpht.com/ytc/AKedOLSJnUr_wt2sVAAKImZacCgGMXiMFHlAJ2tmlA=s88-c-k-c0x00ffffff-no-rj</v>
      </c>
      <c r="G73" s="66"/>
      <c r="H73" s="70" t="s">
        <v>1475</v>
      </c>
      <c r="I73" s="71"/>
      <c r="J73" s="71" t="s">
        <v>159</v>
      </c>
      <c r="K73" s="70" t="s">
        <v>1475</v>
      </c>
      <c r="L73" s="74">
        <v>1</v>
      </c>
      <c r="M73" s="75">
        <v>3614.938720703125</v>
      </c>
      <c r="N73" s="75">
        <v>9495.162109375</v>
      </c>
      <c r="O73" s="76"/>
      <c r="P73" s="77"/>
      <c r="Q73" s="77"/>
      <c r="R73" s="89"/>
      <c r="S73" s="49">
        <v>0</v>
      </c>
      <c r="T73" s="49">
        <v>1</v>
      </c>
      <c r="U73" s="50">
        <v>0</v>
      </c>
      <c r="V73" s="50">
        <v>0.478122</v>
      </c>
      <c r="W73" s="50">
        <v>0.03471</v>
      </c>
      <c r="X73" s="50">
        <v>0.001935</v>
      </c>
      <c r="Y73" s="50">
        <v>0</v>
      </c>
      <c r="Z73" s="50">
        <v>0</v>
      </c>
      <c r="AA73" s="72">
        <v>73</v>
      </c>
      <c r="AB73" s="72"/>
      <c r="AC73" s="73"/>
      <c r="AD73" s="80" t="s">
        <v>1475</v>
      </c>
      <c r="AE73" s="80"/>
      <c r="AF73" s="80"/>
      <c r="AG73" s="80"/>
      <c r="AH73" s="80"/>
      <c r="AI73" s="80"/>
      <c r="AJ73" s="87">
        <v>40133.24489583333</v>
      </c>
      <c r="AK73" s="85" t="str">
        <f>HYPERLINK("https://yt3.ggpht.com/ytc/AKedOLSJnUr_wt2sVAAKImZacCgGMXiMFHlAJ2tmlA=s88-c-k-c0x00ffffff-no-rj")</f>
        <v>https://yt3.ggpht.com/ytc/AKedOLSJnUr_wt2sVAAKImZacCgGMXiMFHlAJ2tmlA=s88-c-k-c0x00ffffff-no-rj</v>
      </c>
      <c r="AL73" s="80">
        <v>35</v>
      </c>
      <c r="AM73" s="80">
        <v>0</v>
      </c>
      <c r="AN73" s="80">
        <v>2</v>
      </c>
      <c r="AO73" s="80" t="b">
        <v>0</v>
      </c>
      <c r="AP73" s="80">
        <v>1</v>
      </c>
      <c r="AQ73" s="80"/>
      <c r="AR73" s="80"/>
      <c r="AS73" s="80" t="s">
        <v>2085</v>
      </c>
      <c r="AT73" s="85" t="str">
        <f>HYPERLINK("https://www.youtube.com/channel/UCoppdEzz15CEiXMiO5idh7A")</f>
        <v>https://www.youtube.com/channel/UCoppdEzz15CEiXMiO5idh7A</v>
      </c>
      <c r="AU73" s="80" t="str">
        <f>REPLACE(INDEX(GroupVertices[Group],MATCH(Vertices[[#This Row],[Vertex]],GroupVertices[Vertex],0)),1,1,"")</f>
        <v>1</v>
      </c>
      <c r="AV73" s="49">
        <v>1</v>
      </c>
      <c r="AW73" s="50">
        <v>7.6923076923076925</v>
      </c>
      <c r="AX73" s="49">
        <v>0</v>
      </c>
      <c r="AY73" s="50">
        <v>0</v>
      </c>
      <c r="AZ73" s="49">
        <v>0</v>
      </c>
      <c r="BA73" s="50">
        <v>0</v>
      </c>
      <c r="BB73" s="49">
        <v>12</v>
      </c>
      <c r="BC73" s="50">
        <v>92.3076923076923</v>
      </c>
      <c r="BD73" s="49">
        <v>13</v>
      </c>
      <c r="BE73" s="49"/>
      <c r="BF73" s="49"/>
      <c r="BG73" s="49"/>
      <c r="BH73" s="49"/>
      <c r="BI73" s="49"/>
      <c r="BJ73" s="49"/>
      <c r="BK73" s="111" t="s">
        <v>3465</v>
      </c>
      <c r="BL73" s="111" t="s">
        <v>3465</v>
      </c>
      <c r="BM73" s="111" t="s">
        <v>3916</v>
      </c>
      <c r="BN73" s="111" t="s">
        <v>3916</v>
      </c>
      <c r="BO73" s="2"/>
      <c r="BP73" s="3"/>
      <c r="BQ73" s="3"/>
      <c r="BR73" s="3"/>
      <c r="BS73" s="3"/>
    </row>
    <row r="74" spans="1:71" ht="15">
      <c r="A74" s="65" t="s">
        <v>408</v>
      </c>
      <c r="B74" s="66"/>
      <c r="C74" s="66"/>
      <c r="D74" s="67">
        <v>150</v>
      </c>
      <c r="E74" s="69"/>
      <c r="F74" s="103" t="str">
        <f>HYPERLINK("https://yt3.ggpht.com/ytc/AKedOLR4MNhmRVMgBH9uyhZN5ZHJUYa5KGXWEngCxg=s88-c-k-c0x00ffffff-no-rj")</f>
        <v>https://yt3.ggpht.com/ytc/AKedOLR4MNhmRVMgBH9uyhZN5ZHJUYa5KGXWEngCxg=s88-c-k-c0x00ffffff-no-rj</v>
      </c>
      <c r="G74" s="66"/>
      <c r="H74" s="70" t="s">
        <v>1476</v>
      </c>
      <c r="I74" s="71"/>
      <c r="J74" s="71" t="s">
        <v>159</v>
      </c>
      <c r="K74" s="70" t="s">
        <v>1476</v>
      </c>
      <c r="L74" s="74">
        <v>1</v>
      </c>
      <c r="M74" s="75">
        <v>3861.336181640625</v>
      </c>
      <c r="N74" s="75">
        <v>7440.33544921875</v>
      </c>
      <c r="O74" s="76"/>
      <c r="P74" s="77"/>
      <c r="Q74" s="77"/>
      <c r="R74" s="89"/>
      <c r="S74" s="49">
        <v>0</v>
      </c>
      <c r="T74" s="49">
        <v>1</v>
      </c>
      <c r="U74" s="50">
        <v>0</v>
      </c>
      <c r="V74" s="50">
        <v>0.478122</v>
      </c>
      <c r="W74" s="50">
        <v>0.03471</v>
      </c>
      <c r="X74" s="50">
        <v>0.001935</v>
      </c>
      <c r="Y74" s="50">
        <v>0</v>
      </c>
      <c r="Z74" s="50">
        <v>0</v>
      </c>
      <c r="AA74" s="72">
        <v>74</v>
      </c>
      <c r="AB74" s="72"/>
      <c r="AC74" s="73"/>
      <c r="AD74" s="80" t="s">
        <v>1476</v>
      </c>
      <c r="AE74" s="80"/>
      <c r="AF74" s="80"/>
      <c r="AG74" s="80"/>
      <c r="AH74" s="80"/>
      <c r="AI74" s="80"/>
      <c r="AJ74" s="87">
        <v>39922.7637962963</v>
      </c>
      <c r="AK74" s="85" t="str">
        <f>HYPERLINK("https://yt3.ggpht.com/ytc/AKedOLR4MNhmRVMgBH9uyhZN5ZHJUYa5KGXWEngCxg=s88-c-k-c0x00ffffff-no-rj")</f>
        <v>https://yt3.ggpht.com/ytc/AKedOLR4MNhmRVMgBH9uyhZN5ZHJUYa5KGXWEngCxg=s88-c-k-c0x00ffffff-no-rj</v>
      </c>
      <c r="AL74" s="80">
        <v>24</v>
      </c>
      <c r="AM74" s="80">
        <v>0</v>
      </c>
      <c r="AN74" s="80">
        <v>5</v>
      </c>
      <c r="AO74" s="80" t="b">
        <v>0</v>
      </c>
      <c r="AP74" s="80">
        <v>28</v>
      </c>
      <c r="AQ74" s="80"/>
      <c r="AR74" s="80"/>
      <c r="AS74" s="80" t="s">
        <v>2085</v>
      </c>
      <c r="AT74" s="85" t="str">
        <f>HYPERLINK("https://www.youtube.com/channel/UCCoIMMcJ4llQn9jwl7efsZA")</f>
        <v>https://www.youtube.com/channel/UCCoIMMcJ4llQn9jwl7efsZA</v>
      </c>
      <c r="AU74" s="80" t="str">
        <f>REPLACE(INDEX(GroupVertices[Group],MATCH(Vertices[[#This Row],[Vertex]],GroupVertices[Vertex],0)),1,1,"")</f>
        <v>1</v>
      </c>
      <c r="AV74" s="49">
        <v>1</v>
      </c>
      <c r="AW74" s="50">
        <v>3.4482758620689653</v>
      </c>
      <c r="AX74" s="49">
        <v>0</v>
      </c>
      <c r="AY74" s="50">
        <v>0</v>
      </c>
      <c r="AZ74" s="49">
        <v>0</v>
      </c>
      <c r="BA74" s="50">
        <v>0</v>
      </c>
      <c r="BB74" s="49">
        <v>28</v>
      </c>
      <c r="BC74" s="50">
        <v>96.55172413793103</v>
      </c>
      <c r="BD74" s="49">
        <v>29</v>
      </c>
      <c r="BE74" s="49"/>
      <c r="BF74" s="49"/>
      <c r="BG74" s="49"/>
      <c r="BH74" s="49"/>
      <c r="BI74" s="49"/>
      <c r="BJ74" s="49"/>
      <c r="BK74" s="111" t="s">
        <v>3466</v>
      </c>
      <c r="BL74" s="111" t="s">
        <v>3466</v>
      </c>
      <c r="BM74" s="111" t="s">
        <v>3917</v>
      </c>
      <c r="BN74" s="111" t="s">
        <v>3917</v>
      </c>
      <c r="BO74" s="2"/>
      <c r="BP74" s="3"/>
      <c r="BQ74" s="3"/>
      <c r="BR74" s="3"/>
      <c r="BS74" s="3"/>
    </row>
    <row r="75" spans="1:71" ht="15">
      <c r="A75" s="65" t="s">
        <v>409</v>
      </c>
      <c r="B75" s="66"/>
      <c r="C75" s="66"/>
      <c r="D75" s="67">
        <v>150</v>
      </c>
      <c r="E75" s="69"/>
      <c r="F75" s="103" t="str">
        <f>HYPERLINK("https://yt3.ggpht.com/EuhaIByYmSyA-qpY-tKhDbql3ZNKOTJT_1dgP4QVSk8pepAve_Tqn6_578_nAT6b0sp8Evxu=s88-c-k-c0x00ffffff-no-rj")</f>
        <v>https://yt3.ggpht.com/EuhaIByYmSyA-qpY-tKhDbql3ZNKOTJT_1dgP4QVSk8pepAve_Tqn6_578_nAT6b0sp8Evxu=s88-c-k-c0x00ffffff-no-rj</v>
      </c>
      <c r="G75" s="66"/>
      <c r="H75" s="70" t="s">
        <v>1477</v>
      </c>
      <c r="I75" s="71"/>
      <c r="J75" s="71" t="s">
        <v>159</v>
      </c>
      <c r="K75" s="70" t="s">
        <v>1477</v>
      </c>
      <c r="L75" s="74">
        <v>1</v>
      </c>
      <c r="M75" s="75">
        <v>7899.16455078125</v>
      </c>
      <c r="N75" s="75">
        <v>4657.2197265625</v>
      </c>
      <c r="O75" s="76"/>
      <c r="P75" s="77"/>
      <c r="Q75" s="77"/>
      <c r="R75" s="89"/>
      <c r="S75" s="49">
        <v>0</v>
      </c>
      <c r="T75" s="49">
        <v>1</v>
      </c>
      <c r="U75" s="50">
        <v>0</v>
      </c>
      <c r="V75" s="50">
        <v>0.478122</v>
      </c>
      <c r="W75" s="50">
        <v>0.03471</v>
      </c>
      <c r="X75" s="50">
        <v>0.001935</v>
      </c>
      <c r="Y75" s="50">
        <v>0</v>
      </c>
      <c r="Z75" s="50">
        <v>0</v>
      </c>
      <c r="AA75" s="72">
        <v>75</v>
      </c>
      <c r="AB75" s="72"/>
      <c r="AC75" s="73"/>
      <c r="AD75" s="80" t="s">
        <v>1477</v>
      </c>
      <c r="AE75" s="80"/>
      <c r="AF75" s="80"/>
      <c r="AG75" s="80"/>
      <c r="AH75" s="80"/>
      <c r="AI75" s="80"/>
      <c r="AJ75" s="87">
        <v>39403.917974537035</v>
      </c>
      <c r="AK75" s="85" t="str">
        <f>HYPERLINK("https://yt3.ggpht.com/EuhaIByYmSyA-qpY-tKhDbql3ZNKOTJT_1dgP4QVSk8pepAve_Tqn6_578_nAT6b0sp8Evxu=s88-c-k-c0x00ffffff-no-rj")</f>
        <v>https://yt3.ggpht.com/EuhaIByYmSyA-qpY-tKhDbql3ZNKOTJT_1dgP4QVSk8pepAve_Tqn6_578_nAT6b0sp8Evxu=s88-c-k-c0x00ffffff-no-rj</v>
      </c>
      <c r="AL75" s="80">
        <v>0</v>
      </c>
      <c r="AM75" s="80">
        <v>0</v>
      </c>
      <c r="AN75" s="80">
        <v>19</v>
      </c>
      <c r="AO75" s="80" t="b">
        <v>0</v>
      </c>
      <c r="AP75" s="80">
        <v>0</v>
      </c>
      <c r="AQ75" s="80"/>
      <c r="AR75" s="80"/>
      <c r="AS75" s="80" t="s">
        <v>2085</v>
      </c>
      <c r="AT75" s="85" t="str">
        <f>HYPERLINK("https://www.youtube.com/channel/UCFufvdhbQ9oOSsEpp9de5SQ")</f>
        <v>https://www.youtube.com/channel/UCFufvdhbQ9oOSsEpp9de5SQ</v>
      </c>
      <c r="AU75" s="80" t="str">
        <f>REPLACE(INDEX(GroupVertices[Group],MATCH(Vertices[[#This Row],[Vertex]],GroupVertices[Vertex],0)),1,1,"")</f>
        <v>1</v>
      </c>
      <c r="AV75" s="49">
        <v>16</v>
      </c>
      <c r="AW75" s="50">
        <v>6.956521739130435</v>
      </c>
      <c r="AX75" s="49">
        <v>12</v>
      </c>
      <c r="AY75" s="50">
        <v>5.217391304347826</v>
      </c>
      <c r="AZ75" s="49">
        <v>0</v>
      </c>
      <c r="BA75" s="50">
        <v>0</v>
      </c>
      <c r="BB75" s="49">
        <v>202</v>
      </c>
      <c r="BC75" s="50">
        <v>87.82608695652173</v>
      </c>
      <c r="BD75" s="49">
        <v>230</v>
      </c>
      <c r="BE75" s="49"/>
      <c r="BF75" s="49"/>
      <c r="BG75" s="49"/>
      <c r="BH75" s="49"/>
      <c r="BI75" s="49"/>
      <c r="BJ75" s="49"/>
      <c r="BK75" s="111" t="s">
        <v>3467</v>
      </c>
      <c r="BL75" s="111" t="s">
        <v>3816</v>
      </c>
      <c r="BM75" s="111" t="s">
        <v>3918</v>
      </c>
      <c r="BN75" s="111" t="s">
        <v>3918</v>
      </c>
      <c r="BO75" s="2"/>
      <c r="BP75" s="3"/>
      <c r="BQ75" s="3"/>
      <c r="BR75" s="3"/>
      <c r="BS75" s="3"/>
    </row>
    <row r="76" spans="1:71" ht="15">
      <c r="A76" s="65" t="s">
        <v>410</v>
      </c>
      <c r="B76" s="66"/>
      <c r="C76" s="66"/>
      <c r="D76" s="67">
        <v>150</v>
      </c>
      <c r="E76" s="69"/>
      <c r="F76" s="103" t="str">
        <f>HYPERLINK("https://yt3.ggpht.com/ytc/AKedOLTovj60Y-NPt5-afUoDuQIMVlrAuh8PTePkRQMd9g=s88-c-k-c0x00ffffff-no-rj")</f>
        <v>https://yt3.ggpht.com/ytc/AKedOLTovj60Y-NPt5-afUoDuQIMVlrAuh8PTePkRQMd9g=s88-c-k-c0x00ffffff-no-rj</v>
      </c>
      <c r="G76" s="66"/>
      <c r="H76" s="70" t="s">
        <v>1478</v>
      </c>
      <c r="I76" s="71"/>
      <c r="J76" s="71" t="s">
        <v>159</v>
      </c>
      <c r="K76" s="70" t="s">
        <v>1478</v>
      </c>
      <c r="L76" s="74">
        <v>1</v>
      </c>
      <c r="M76" s="75">
        <v>3548.78125</v>
      </c>
      <c r="N76" s="75">
        <v>9851.9560546875</v>
      </c>
      <c r="O76" s="76"/>
      <c r="P76" s="77"/>
      <c r="Q76" s="77"/>
      <c r="R76" s="89"/>
      <c r="S76" s="49">
        <v>0</v>
      </c>
      <c r="T76" s="49">
        <v>1</v>
      </c>
      <c r="U76" s="50">
        <v>0</v>
      </c>
      <c r="V76" s="50">
        <v>0.478122</v>
      </c>
      <c r="W76" s="50">
        <v>0.03471</v>
      </c>
      <c r="X76" s="50">
        <v>0.001935</v>
      </c>
      <c r="Y76" s="50">
        <v>0</v>
      </c>
      <c r="Z76" s="50">
        <v>0</v>
      </c>
      <c r="AA76" s="72">
        <v>76</v>
      </c>
      <c r="AB76" s="72"/>
      <c r="AC76" s="73"/>
      <c r="AD76" s="80" t="s">
        <v>1478</v>
      </c>
      <c r="AE76" s="80"/>
      <c r="AF76" s="80"/>
      <c r="AG76" s="80"/>
      <c r="AH76" s="80"/>
      <c r="AI76" s="80" t="s">
        <v>2061</v>
      </c>
      <c r="AJ76" s="87">
        <v>40172.06875</v>
      </c>
      <c r="AK76" s="85" t="str">
        <f>HYPERLINK("https://yt3.ggpht.com/ytc/AKedOLTovj60Y-NPt5-afUoDuQIMVlrAuh8PTePkRQMd9g=s88-c-k-c0x00ffffff-no-rj")</f>
        <v>https://yt3.ggpht.com/ytc/AKedOLTovj60Y-NPt5-afUoDuQIMVlrAuh8PTePkRQMd9g=s88-c-k-c0x00ffffff-no-rj</v>
      </c>
      <c r="AL76" s="80">
        <v>1631</v>
      </c>
      <c r="AM76" s="80">
        <v>0</v>
      </c>
      <c r="AN76" s="80">
        <v>0</v>
      </c>
      <c r="AO76" s="80" t="b">
        <v>1</v>
      </c>
      <c r="AP76" s="80">
        <v>3</v>
      </c>
      <c r="AQ76" s="80"/>
      <c r="AR76" s="80"/>
      <c r="AS76" s="80" t="s">
        <v>2085</v>
      </c>
      <c r="AT76" s="85" t="str">
        <f>HYPERLINK("https://www.youtube.com/channel/UC9A52USZMcDhwqdOsHJBLdA")</f>
        <v>https://www.youtube.com/channel/UC9A52USZMcDhwqdOsHJBLdA</v>
      </c>
      <c r="AU76" s="80" t="str">
        <f>REPLACE(INDEX(GroupVertices[Group],MATCH(Vertices[[#This Row],[Vertex]],GroupVertices[Vertex],0)),1,1,"")</f>
        <v>1</v>
      </c>
      <c r="AV76" s="49">
        <v>1</v>
      </c>
      <c r="AW76" s="50">
        <v>12.5</v>
      </c>
      <c r="AX76" s="49">
        <v>4</v>
      </c>
      <c r="AY76" s="50">
        <v>50</v>
      </c>
      <c r="AZ76" s="49">
        <v>0</v>
      </c>
      <c r="BA76" s="50">
        <v>0</v>
      </c>
      <c r="BB76" s="49">
        <v>3</v>
      </c>
      <c r="BC76" s="50">
        <v>37.5</v>
      </c>
      <c r="BD76" s="49">
        <v>8</v>
      </c>
      <c r="BE76" s="49"/>
      <c r="BF76" s="49"/>
      <c r="BG76" s="49"/>
      <c r="BH76" s="49"/>
      <c r="BI76" s="49"/>
      <c r="BJ76" s="49"/>
      <c r="BK76" s="111" t="s">
        <v>3468</v>
      </c>
      <c r="BL76" s="111" t="s">
        <v>3468</v>
      </c>
      <c r="BM76" s="111" t="s">
        <v>3919</v>
      </c>
      <c r="BN76" s="111" t="s">
        <v>3919</v>
      </c>
      <c r="BO76" s="2"/>
      <c r="BP76" s="3"/>
      <c r="BQ76" s="3"/>
      <c r="BR76" s="3"/>
      <c r="BS76" s="3"/>
    </row>
    <row r="77" spans="1:71" ht="15">
      <c r="A77" s="65" t="s">
        <v>411</v>
      </c>
      <c r="B77" s="66"/>
      <c r="C77" s="66"/>
      <c r="D77" s="67">
        <v>150</v>
      </c>
      <c r="E77" s="69"/>
      <c r="F77" s="103" t="str">
        <f>HYPERLINK("https://yt3.ggpht.com/ytc/AKedOLRdxhdO8orq0ByWkJgjAJ0wpv3KOCicLWjNOikP=s88-c-k-c0x00ffffff-no-rj")</f>
        <v>https://yt3.ggpht.com/ytc/AKedOLRdxhdO8orq0ByWkJgjAJ0wpv3KOCicLWjNOikP=s88-c-k-c0x00ffffff-no-rj</v>
      </c>
      <c r="G77" s="66"/>
      <c r="H77" s="70" t="s">
        <v>1479</v>
      </c>
      <c r="I77" s="71"/>
      <c r="J77" s="71" t="s">
        <v>159</v>
      </c>
      <c r="K77" s="70" t="s">
        <v>1479</v>
      </c>
      <c r="L77" s="74">
        <v>1</v>
      </c>
      <c r="M77" s="75">
        <v>1062.6331787109375</v>
      </c>
      <c r="N77" s="75">
        <v>8309.1845703125</v>
      </c>
      <c r="O77" s="76"/>
      <c r="P77" s="77"/>
      <c r="Q77" s="77"/>
      <c r="R77" s="89"/>
      <c r="S77" s="49">
        <v>0</v>
      </c>
      <c r="T77" s="49">
        <v>1</v>
      </c>
      <c r="U77" s="50">
        <v>0</v>
      </c>
      <c r="V77" s="50">
        <v>0.478122</v>
      </c>
      <c r="W77" s="50">
        <v>0.03471</v>
      </c>
      <c r="X77" s="50">
        <v>0.001935</v>
      </c>
      <c r="Y77" s="50">
        <v>0</v>
      </c>
      <c r="Z77" s="50">
        <v>0</v>
      </c>
      <c r="AA77" s="72">
        <v>77</v>
      </c>
      <c r="AB77" s="72"/>
      <c r="AC77" s="73"/>
      <c r="AD77" s="80" t="s">
        <v>1479</v>
      </c>
      <c r="AE77" s="80" t="s">
        <v>1964</v>
      </c>
      <c r="AF77" s="80"/>
      <c r="AG77" s="80"/>
      <c r="AH77" s="80"/>
      <c r="AI77" s="80"/>
      <c r="AJ77" s="87">
        <v>39537.20174768518</v>
      </c>
      <c r="AK77" s="85" t="str">
        <f>HYPERLINK("https://yt3.ggpht.com/ytc/AKedOLRdxhdO8orq0ByWkJgjAJ0wpv3KOCicLWjNOikP=s88-c-k-c0x00ffffff-no-rj")</f>
        <v>https://yt3.ggpht.com/ytc/AKedOLRdxhdO8orq0ByWkJgjAJ0wpv3KOCicLWjNOikP=s88-c-k-c0x00ffffff-no-rj</v>
      </c>
      <c r="AL77" s="80">
        <v>26828</v>
      </c>
      <c r="AM77" s="80">
        <v>0</v>
      </c>
      <c r="AN77" s="80">
        <v>13</v>
      </c>
      <c r="AO77" s="80" t="b">
        <v>0</v>
      </c>
      <c r="AP77" s="80">
        <v>22</v>
      </c>
      <c r="AQ77" s="80"/>
      <c r="AR77" s="80"/>
      <c r="AS77" s="80" t="s">
        <v>2085</v>
      </c>
      <c r="AT77" s="85" t="str">
        <f>HYPERLINK("https://www.youtube.com/channel/UCVmJY1uho-bA_lofr8djVJA")</f>
        <v>https://www.youtube.com/channel/UCVmJY1uho-bA_lofr8djVJA</v>
      </c>
      <c r="AU77" s="80" t="str">
        <f>REPLACE(INDEX(GroupVertices[Group],MATCH(Vertices[[#This Row],[Vertex]],GroupVertices[Vertex],0)),1,1,"")</f>
        <v>1</v>
      </c>
      <c r="AV77" s="49">
        <v>0</v>
      </c>
      <c r="AW77" s="50">
        <v>0</v>
      </c>
      <c r="AX77" s="49">
        <v>0</v>
      </c>
      <c r="AY77" s="50">
        <v>0</v>
      </c>
      <c r="AZ77" s="49">
        <v>0</v>
      </c>
      <c r="BA77" s="50">
        <v>0</v>
      </c>
      <c r="BB77" s="49">
        <v>5</v>
      </c>
      <c r="BC77" s="50">
        <v>100</v>
      </c>
      <c r="BD77" s="49">
        <v>5</v>
      </c>
      <c r="BE77" s="49"/>
      <c r="BF77" s="49"/>
      <c r="BG77" s="49"/>
      <c r="BH77" s="49"/>
      <c r="BI77" s="49"/>
      <c r="BJ77" s="49"/>
      <c r="BK77" s="111" t="s">
        <v>3469</v>
      </c>
      <c r="BL77" s="111" t="s">
        <v>3469</v>
      </c>
      <c r="BM77" s="111" t="s">
        <v>3920</v>
      </c>
      <c r="BN77" s="111" t="s">
        <v>3920</v>
      </c>
      <c r="BO77" s="2"/>
      <c r="BP77" s="3"/>
      <c r="BQ77" s="3"/>
      <c r="BR77" s="3"/>
      <c r="BS77" s="3"/>
    </row>
    <row r="78" spans="1:71" ht="15">
      <c r="A78" s="65" t="s">
        <v>412</v>
      </c>
      <c r="B78" s="66"/>
      <c r="C78" s="66"/>
      <c r="D78" s="67">
        <v>150</v>
      </c>
      <c r="E78" s="69"/>
      <c r="F78" s="103" t="str">
        <f>HYPERLINK("https://yt3.ggpht.com/ytc/AKedOLRKITTbK-Zfz6U3tH3IB3EmSLq1ugAOtlMwig=s88-c-k-c0x00ffffff-no-rj")</f>
        <v>https://yt3.ggpht.com/ytc/AKedOLRKITTbK-Zfz6U3tH3IB3EmSLq1ugAOtlMwig=s88-c-k-c0x00ffffff-no-rj</v>
      </c>
      <c r="G78" s="66"/>
      <c r="H78" s="70" t="s">
        <v>1480</v>
      </c>
      <c r="I78" s="71"/>
      <c r="J78" s="71" t="s">
        <v>159</v>
      </c>
      <c r="K78" s="70" t="s">
        <v>1480</v>
      </c>
      <c r="L78" s="74">
        <v>1</v>
      </c>
      <c r="M78" s="75">
        <v>4409.689453125</v>
      </c>
      <c r="N78" s="75">
        <v>9762.890625</v>
      </c>
      <c r="O78" s="76"/>
      <c r="P78" s="77"/>
      <c r="Q78" s="77"/>
      <c r="R78" s="89"/>
      <c r="S78" s="49">
        <v>0</v>
      </c>
      <c r="T78" s="49">
        <v>1</v>
      </c>
      <c r="U78" s="50">
        <v>0</v>
      </c>
      <c r="V78" s="50">
        <v>0.478122</v>
      </c>
      <c r="W78" s="50">
        <v>0.03471</v>
      </c>
      <c r="X78" s="50">
        <v>0.001935</v>
      </c>
      <c r="Y78" s="50">
        <v>0</v>
      </c>
      <c r="Z78" s="50">
        <v>0</v>
      </c>
      <c r="AA78" s="72">
        <v>78</v>
      </c>
      <c r="AB78" s="72"/>
      <c r="AC78" s="73"/>
      <c r="AD78" s="80" t="s">
        <v>1480</v>
      </c>
      <c r="AE78" s="80"/>
      <c r="AF78" s="80"/>
      <c r="AG78" s="80"/>
      <c r="AH78" s="80"/>
      <c r="AI78" s="80"/>
      <c r="AJ78" s="87">
        <v>38890.10559027778</v>
      </c>
      <c r="AK78" s="85" t="str">
        <f>HYPERLINK("https://yt3.ggpht.com/ytc/AKedOLRKITTbK-Zfz6U3tH3IB3EmSLq1ugAOtlMwig=s88-c-k-c0x00ffffff-no-rj")</f>
        <v>https://yt3.ggpht.com/ytc/AKedOLRKITTbK-Zfz6U3tH3IB3EmSLq1ugAOtlMwig=s88-c-k-c0x00ffffff-no-rj</v>
      </c>
      <c r="AL78" s="80">
        <v>21660</v>
      </c>
      <c r="AM78" s="80">
        <v>0</v>
      </c>
      <c r="AN78" s="80">
        <v>20</v>
      </c>
      <c r="AO78" s="80" t="b">
        <v>0</v>
      </c>
      <c r="AP78" s="80">
        <v>12</v>
      </c>
      <c r="AQ78" s="80"/>
      <c r="AR78" s="80"/>
      <c r="AS78" s="80" t="s">
        <v>2085</v>
      </c>
      <c r="AT78" s="85" t="str">
        <f>HYPERLINK("https://www.youtube.com/channel/UCJkq6kQK2Xwng9aROec3P5Q")</f>
        <v>https://www.youtube.com/channel/UCJkq6kQK2Xwng9aROec3P5Q</v>
      </c>
      <c r="AU78" s="80" t="str">
        <f>REPLACE(INDEX(GroupVertices[Group],MATCH(Vertices[[#This Row],[Vertex]],GroupVertices[Vertex],0)),1,1,"")</f>
        <v>1</v>
      </c>
      <c r="AV78" s="49">
        <v>2</v>
      </c>
      <c r="AW78" s="50">
        <v>22.22222222222222</v>
      </c>
      <c r="AX78" s="49">
        <v>1</v>
      </c>
      <c r="AY78" s="50">
        <v>11.11111111111111</v>
      </c>
      <c r="AZ78" s="49">
        <v>0</v>
      </c>
      <c r="BA78" s="50">
        <v>0</v>
      </c>
      <c r="BB78" s="49">
        <v>6</v>
      </c>
      <c r="BC78" s="50">
        <v>66.66666666666667</v>
      </c>
      <c r="BD78" s="49">
        <v>9</v>
      </c>
      <c r="BE78" s="49"/>
      <c r="BF78" s="49"/>
      <c r="BG78" s="49"/>
      <c r="BH78" s="49"/>
      <c r="BI78" s="49"/>
      <c r="BJ78" s="49"/>
      <c r="BK78" s="111" t="s">
        <v>3470</v>
      </c>
      <c r="BL78" s="111" t="s">
        <v>3470</v>
      </c>
      <c r="BM78" s="111" t="s">
        <v>3921</v>
      </c>
      <c r="BN78" s="111" t="s">
        <v>3921</v>
      </c>
      <c r="BO78" s="2"/>
      <c r="BP78" s="3"/>
      <c r="BQ78" s="3"/>
      <c r="BR78" s="3"/>
      <c r="BS78" s="3"/>
    </row>
    <row r="79" spans="1:71" ht="15">
      <c r="A79" s="65" t="s">
        <v>413</v>
      </c>
      <c r="B79" s="66"/>
      <c r="C79" s="66"/>
      <c r="D79" s="67">
        <v>150</v>
      </c>
      <c r="E79" s="69"/>
      <c r="F79" s="103" t="str">
        <f>HYPERLINK("https://yt3.ggpht.com/ytc/AKedOLRINmz8LZokP_F5l8_7fJtBa-rF7gFQRiao8eno=s88-c-k-c0x00ffffff-no-rj")</f>
        <v>https://yt3.ggpht.com/ytc/AKedOLRINmz8LZokP_F5l8_7fJtBa-rF7gFQRiao8eno=s88-c-k-c0x00ffffff-no-rj</v>
      </c>
      <c r="G79" s="66"/>
      <c r="H79" s="70" t="s">
        <v>1481</v>
      </c>
      <c r="I79" s="71"/>
      <c r="J79" s="71" t="s">
        <v>159</v>
      </c>
      <c r="K79" s="70" t="s">
        <v>1481</v>
      </c>
      <c r="L79" s="74">
        <v>1</v>
      </c>
      <c r="M79" s="75">
        <v>3616.07275390625</v>
      </c>
      <c r="N79" s="75">
        <v>9766.525390625</v>
      </c>
      <c r="O79" s="76"/>
      <c r="P79" s="77"/>
      <c r="Q79" s="77"/>
      <c r="R79" s="89"/>
      <c r="S79" s="49">
        <v>0</v>
      </c>
      <c r="T79" s="49">
        <v>1</v>
      </c>
      <c r="U79" s="50">
        <v>0</v>
      </c>
      <c r="V79" s="50">
        <v>0.478122</v>
      </c>
      <c r="W79" s="50">
        <v>0.03471</v>
      </c>
      <c r="X79" s="50">
        <v>0.001935</v>
      </c>
      <c r="Y79" s="50">
        <v>0</v>
      </c>
      <c r="Z79" s="50">
        <v>0</v>
      </c>
      <c r="AA79" s="72">
        <v>79</v>
      </c>
      <c r="AB79" s="72"/>
      <c r="AC79" s="73"/>
      <c r="AD79" s="80" t="s">
        <v>1481</v>
      </c>
      <c r="AE79" s="80" t="s">
        <v>1965</v>
      </c>
      <c r="AF79" s="80"/>
      <c r="AG79" s="80"/>
      <c r="AH79" s="80"/>
      <c r="AI79" s="80"/>
      <c r="AJ79" s="87">
        <v>39025.63873842593</v>
      </c>
      <c r="AK79" s="85" t="str">
        <f>HYPERLINK("https://yt3.ggpht.com/ytc/AKedOLRINmz8LZokP_F5l8_7fJtBa-rF7gFQRiao8eno=s88-c-k-c0x00ffffff-no-rj")</f>
        <v>https://yt3.ggpht.com/ytc/AKedOLRINmz8LZokP_F5l8_7fJtBa-rF7gFQRiao8eno=s88-c-k-c0x00ffffff-no-rj</v>
      </c>
      <c r="AL79" s="80">
        <v>233</v>
      </c>
      <c r="AM79" s="80">
        <v>0</v>
      </c>
      <c r="AN79" s="80">
        <v>39</v>
      </c>
      <c r="AO79" s="80" t="b">
        <v>0</v>
      </c>
      <c r="AP79" s="80">
        <v>1</v>
      </c>
      <c r="AQ79" s="80"/>
      <c r="AR79" s="80"/>
      <c r="AS79" s="80" t="s">
        <v>2085</v>
      </c>
      <c r="AT79" s="85" t="str">
        <f>HYPERLINK("https://www.youtube.com/channel/UCvEQYyis-vvepurg0Nbys_Q")</f>
        <v>https://www.youtube.com/channel/UCvEQYyis-vvepurg0Nbys_Q</v>
      </c>
      <c r="AU79" s="80" t="str">
        <f>REPLACE(INDEX(GroupVertices[Group],MATCH(Vertices[[#This Row],[Vertex]],GroupVertices[Vertex],0)),1,1,"")</f>
        <v>1</v>
      </c>
      <c r="AV79" s="49">
        <v>4</v>
      </c>
      <c r="AW79" s="50">
        <v>3.9603960396039604</v>
      </c>
      <c r="AX79" s="49">
        <v>0</v>
      </c>
      <c r="AY79" s="50">
        <v>0</v>
      </c>
      <c r="AZ79" s="49">
        <v>0</v>
      </c>
      <c r="BA79" s="50">
        <v>0</v>
      </c>
      <c r="BB79" s="49">
        <v>97</v>
      </c>
      <c r="BC79" s="50">
        <v>96.03960396039604</v>
      </c>
      <c r="BD79" s="49">
        <v>101</v>
      </c>
      <c r="BE79" s="49"/>
      <c r="BF79" s="49"/>
      <c r="BG79" s="49"/>
      <c r="BH79" s="49"/>
      <c r="BI79" s="49"/>
      <c r="BJ79" s="49"/>
      <c r="BK79" s="111" t="s">
        <v>3471</v>
      </c>
      <c r="BL79" s="111" t="s">
        <v>3817</v>
      </c>
      <c r="BM79" s="111" t="s">
        <v>3922</v>
      </c>
      <c r="BN79" s="111" t="s">
        <v>3922</v>
      </c>
      <c r="BO79" s="2"/>
      <c r="BP79" s="3"/>
      <c r="BQ79" s="3"/>
      <c r="BR79" s="3"/>
      <c r="BS79" s="3"/>
    </row>
    <row r="80" spans="1:71" ht="15">
      <c r="A80" s="65" t="s">
        <v>414</v>
      </c>
      <c r="B80" s="66"/>
      <c r="C80" s="66"/>
      <c r="D80" s="67">
        <v>150</v>
      </c>
      <c r="E80" s="69"/>
      <c r="F80" s="103" t="str">
        <f>HYPERLINK("https://yt3.ggpht.com/T5eHg1WW0WHlVJ5i_iHBXr5DALGztnLqoq5FvC8Eeka8tHCnJthl8PmKbP5hXFl-Yi68gK6eJg=s88-c-k-c0x00ffffff-no-rj")</f>
        <v>https://yt3.ggpht.com/T5eHg1WW0WHlVJ5i_iHBXr5DALGztnLqoq5FvC8Eeka8tHCnJthl8PmKbP5hXFl-Yi68gK6eJg=s88-c-k-c0x00ffffff-no-rj</v>
      </c>
      <c r="G80" s="66"/>
      <c r="H80" s="70" t="s">
        <v>1482</v>
      </c>
      <c r="I80" s="71"/>
      <c r="J80" s="71" t="s">
        <v>159</v>
      </c>
      <c r="K80" s="70" t="s">
        <v>1482</v>
      </c>
      <c r="L80" s="74">
        <v>1</v>
      </c>
      <c r="M80" s="75">
        <v>2097.0654296875</v>
      </c>
      <c r="N80" s="75">
        <v>3257.521240234375</v>
      </c>
      <c r="O80" s="76"/>
      <c r="P80" s="77"/>
      <c r="Q80" s="77"/>
      <c r="R80" s="89"/>
      <c r="S80" s="49">
        <v>0</v>
      </c>
      <c r="T80" s="49">
        <v>1</v>
      </c>
      <c r="U80" s="50">
        <v>0</v>
      </c>
      <c r="V80" s="50">
        <v>0.478122</v>
      </c>
      <c r="W80" s="50">
        <v>0.03471</v>
      </c>
      <c r="X80" s="50">
        <v>0.001935</v>
      </c>
      <c r="Y80" s="50">
        <v>0</v>
      </c>
      <c r="Z80" s="50">
        <v>0</v>
      </c>
      <c r="AA80" s="72">
        <v>80</v>
      </c>
      <c r="AB80" s="72"/>
      <c r="AC80" s="73"/>
      <c r="AD80" s="80" t="s">
        <v>1482</v>
      </c>
      <c r="AE80" s="80"/>
      <c r="AF80" s="80"/>
      <c r="AG80" s="80"/>
      <c r="AH80" s="80"/>
      <c r="AI80" s="80" t="s">
        <v>2062</v>
      </c>
      <c r="AJ80" s="87">
        <v>39820.29945601852</v>
      </c>
      <c r="AK80" s="85" t="str">
        <f>HYPERLINK("https://yt3.ggpht.com/T5eHg1WW0WHlVJ5i_iHBXr5DALGztnLqoq5FvC8Eeka8tHCnJthl8PmKbP5hXFl-Yi68gK6eJg=s88-c-k-c0x00ffffff-no-rj")</f>
        <v>https://yt3.ggpht.com/T5eHg1WW0WHlVJ5i_iHBXr5DALGztnLqoq5FvC8Eeka8tHCnJthl8PmKbP5hXFl-Yi68gK6eJg=s88-c-k-c0x00ffffff-no-rj</v>
      </c>
      <c r="AL80" s="80">
        <v>640879</v>
      </c>
      <c r="AM80" s="80">
        <v>0</v>
      </c>
      <c r="AN80" s="80">
        <v>720</v>
      </c>
      <c r="AO80" s="80" t="b">
        <v>0</v>
      </c>
      <c r="AP80" s="80">
        <v>132</v>
      </c>
      <c r="AQ80" s="80"/>
      <c r="AR80" s="80"/>
      <c r="AS80" s="80" t="s">
        <v>2085</v>
      </c>
      <c r="AT80" s="85" t="str">
        <f>HYPERLINK("https://www.youtube.com/channel/UChcsUKOjIQn3EN-ixotwjNQ")</f>
        <v>https://www.youtube.com/channel/UChcsUKOjIQn3EN-ixotwjNQ</v>
      </c>
      <c r="AU80" s="80" t="str">
        <f>REPLACE(INDEX(GroupVertices[Group],MATCH(Vertices[[#This Row],[Vertex]],GroupVertices[Vertex],0)),1,1,"")</f>
        <v>1</v>
      </c>
      <c r="AV80" s="49">
        <v>0</v>
      </c>
      <c r="AW80" s="50">
        <v>0</v>
      </c>
      <c r="AX80" s="49">
        <v>1</v>
      </c>
      <c r="AY80" s="50">
        <v>6.666666666666667</v>
      </c>
      <c r="AZ80" s="49">
        <v>0</v>
      </c>
      <c r="BA80" s="50">
        <v>0</v>
      </c>
      <c r="BB80" s="49">
        <v>14</v>
      </c>
      <c r="BC80" s="50">
        <v>93.33333333333333</v>
      </c>
      <c r="BD80" s="49">
        <v>15</v>
      </c>
      <c r="BE80" s="49"/>
      <c r="BF80" s="49"/>
      <c r="BG80" s="49"/>
      <c r="BH80" s="49"/>
      <c r="BI80" s="49"/>
      <c r="BJ80" s="49"/>
      <c r="BK80" s="111" t="s">
        <v>3472</v>
      </c>
      <c r="BL80" s="111" t="s">
        <v>3472</v>
      </c>
      <c r="BM80" s="111" t="s">
        <v>3923</v>
      </c>
      <c r="BN80" s="111" t="s">
        <v>3923</v>
      </c>
      <c r="BO80" s="2"/>
      <c r="BP80" s="3"/>
      <c r="BQ80" s="3"/>
      <c r="BR80" s="3"/>
      <c r="BS80" s="3"/>
    </row>
    <row r="81" spans="1:71" ht="15">
      <c r="A81" s="65" t="s">
        <v>415</v>
      </c>
      <c r="B81" s="66"/>
      <c r="C81" s="66"/>
      <c r="D81" s="67">
        <v>150</v>
      </c>
      <c r="E81" s="69"/>
      <c r="F81" s="103" t="str">
        <f>HYPERLINK("https://yt3.ggpht.com/ytc/AKedOLSnsLulCUpo_mKVyMHFHcBB_cKCdXeTIDaiJZ6-=s88-c-k-c0x00ffffff-no-rj")</f>
        <v>https://yt3.ggpht.com/ytc/AKedOLSnsLulCUpo_mKVyMHFHcBB_cKCdXeTIDaiJZ6-=s88-c-k-c0x00ffffff-no-rj</v>
      </c>
      <c r="G81" s="66"/>
      <c r="H81" s="70" t="s">
        <v>1483</v>
      </c>
      <c r="I81" s="71"/>
      <c r="J81" s="71" t="s">
        <v>159</v>
      </c>
      <c r="K81" s="70" t="s">
        <v>1483</v>
      </c>
      <c r="L81" s="74">
        <v>1</v>
      </c>
      <c r="M81" s="75">
        <v>4659.23095703125</v>
      </c>
      <c r="N81" s="75">
        <v>1025.873291015625</v>
      </c>
      <c r="O81" s="76"/>
      <c r="P81" s="77"/>
      <c r="Q81" s="77"/>
      <c r="R81" s="89"/>
      <c r="S81" s="49">
        <v>0</v>
      </c>
      <c r="T81" s="49">
        <v>1</v>
      </c>
      <c r="U81" s="50">
        <v>0</v>
      </c>
      <c r="V81" s="50">
        <v>0.478122</v>
      </c>
      <c r="W81" s="50">
        <v>0.03471</v>
      </c>
      <c r="X81" s="50">
        <v>0.001935</v>
      </c>
      <c r="Y81" s="50">
        <v>0</v>
      </c>
      <c r="Z81" s="50">
        <v>0</v>
      </c>
      <c r="AA81" s="72">
        <v>81</v>
      </c>
      <c r="AB81" s="72"/>
      <c r="AC81" s="73"/>
      <c r="AD81" s="80" t="s">
        <v>1483</v>
      </c>
      <c r="AE81" s="80"/>
      <c r="AF81" s="80"/>
      <c r="AG81" s="80"/>
      <c r="AH81" s="80"/>
      <c r="AI81" s="80"/>
      <c r="AJ81" s="87">
        <v>40385.263819444444</v>
      </c>
      <c r="AK81" s="85" t="str">
        <f>HYPERLINK("https://yt3.ggpht.com/ytc/AKedOLSnsLulCUpo_mKVyMHFHcBB_cKCdXeTIDaiJZ6-=s88-c-k-c0x00ffffff-no-rj")</f>
        <v>https://yt3.ggpht.com/ytc/AKedOLSnsLulCUpo_mKVyMHFHcBB_cKCdXeTIDaiJZ6-=s88-c-k-c0x00ffffff-no-rj</v>
      </c>
      <c r="AL81" s="80">
        <v>0</v>
      </c>
      <c r="AM81" s="80">
        <v>0</v>
      </c>
      <c r="AN81" s="80">
        <v>4</v>
      </c>
      <c r="AO81" s="80" t="b">
        <v>0</v>
      </c>
      <c r="AP81" s="80">
        <v>0</v>
      </c>
      <c r="AQ81" s="80"/>
      <c r="AR81" s="80"/>
      <c r="AS81" s="80" t="s">
        <v>2085</v>
      </c>
      <c r="AT81" s="85" t="str">
        <f>HYPERLINK("https://www.youtube.com/channel/UCUNy-W4ExRBhmCbCR9dB97A")</f>
        <v>https://www.youtube.com/channel/UCUNy-W4ExRBhmCbCR9dB97A</v>
      </c>
      <c r="AU81" s="80" t="str">
        <f>REPLACE(INDEX(GroupVertices[Group],MATCH(Vertices[[#This Row],[Vertex]],GroupVertices[Vertex],0)),1,1,"")</f>
        <v>1</v>
      </c>
      <c r="AV81" s="49">
        <v>1</v>
      </c>
      <c r="AW81" s="50">
        <v>4.166666666666667</v>
      </c>
      <c r="AX81" s="49">
        <v>0</v>
      </c>
      <c r="AY81" s="50">
        <v>0</v>
      </c>
      <c r="AZ81" s="49">
        <v>0</v>
      </c>
      <c r="BA81" s="50">
        <v>0</v>
      </c>
      <c r="BB81" s="49">
        <v>23</v>
      </c>
      <c r="BC81" s="50">
        <v>95.83333333333333</v>
      </c>
      <c r="BD81" s="49">
        <v>24</v>
      </c>
      <c r="BE81" s="49"/>
      <c r="BF81" s="49"/>
      <c r="BG81" s="49"/>
      <c r="BH81" s="49"/>
      <c r="BI81" s="49"/>
      <c r="BJ81" s="49"/>
      <c r="BK81" s="111" t="s">
        <v>3473</v>
      </c>
      <c r="BL81" s="111" t="s">
        <v>3473</v>
      </c>
      <c r="BM81" s="111" t="s">
        <v>3924</v>
      </c>
      <c r="BN81" s="111" t="s">
        <v>3924</v>
      </c>
      <c r="BO81" s="2"/>
      <c r="BP81" s="3"/>
      <c r="BQ81" s="3"/>
      <c r="BR81" s="3"/>
      <c r="BS81" s="3"/>
    </row>
    <row r="82" spans="1:71" ht="15">
      <c r="A82" s="65" t="s">
        <v>416</v>
      </c>
      <c r="B82" s="66"/>
      <c r="C82" s="66"/>
      <c r="D82" s="67">
        <v>150</v>
      </c>
      <c r="E82" s="69"/>
      <c r="F82" s="103" t="str">
        <f>HYPERLINK("https://yt3.ggpht.com/ytc/AKedOLTl6CGJxV8liYOj4UM8an0zEMG93D_En0u9viPX3g=s88-c-k-c0x00ffffff-no-rj")</f>
        <v>https://yt3.ggpht.com/ytc/AKedOLTl6CGJxV8liYOj4UM8an0zEMG93D_En0u9viPX3g=s88-c-k-c0x00ffffff-no-rj</v>
      </c>
      <c r="G82" s="66"/>
      <c r="H82" s="70" t="s">
        <v>1484</v>
      </c>
      <c r="I82" s="71"/>
      <c r="J82" s="71" t="s">
        <v>159</v>
      </c>
      <c r="K82" s="70" t="s">
        <v>1484</v>
      </c>
      <c r="L82" s="74">
        <v>1</v>
      </c>
      <c r="M82" s="75">
        <v>3279.546142578125</v>
      </c>
      <c r="N82" s="75">
        <v>8667.2197265625</v>
      </c>
      <c r="O82" s="76"/>
      <c r="P82" s="77"/>
      <c r="Q82" s="77"/>
      <c r="R82" s="89"/>
      <c r="S82" s="49">
        <v>0</v>
      </c>
      <c r="T82" s="49">
        <v>1</v>
      </c>
      <c r="U82" s="50">
        <v>0</v>
      </c>
      <c r="V82" s="50">
        <v>0.478122</v>
      </c>
      <c r="W82" s="50">
        <v>0.03471</v>
      </c>
      <c r="X82" s="50">
        <v>0.001935</v>
      </c>
      <c r="Y82" s="50">
        <v>0</v>
      </c>
      <c r="Z82" s="50">
        <v>0</v>
      </c>
      <c r="AA82" s="72">
        <v>82</v>
      </c>
      <c r="AB82" s="72"/>
      <c r="AC82" s="73"/>
      <c r="AD82" s="80" t="s">
        <v>1484</v>
      </c>
      <c r="AE82" s="80"/>
      <c r="AF82" s="80"/>
      <c r="AG82" s="80"/>
      <c r="AH82" s="80"/>
      <c r="AI82" s="80"/>
      <c r="AJ82" s="87">
        <v>38826.314155092594</v>
      </c>
      <c r="AK82" s="85" t="str">
        <f>HYPERLINK("https://yt3.ggpht.com/ytc/AKedOLTl6CGJxV8liYOj4UM8an0zEMG93D_En0u9viPX3g=s88-c-k-c0x00ffffff-no-rj")</f>
        <v>https://yt3.ggpht.com/ytc/AKedOLTl6CGJxV8liYOj4UM8an0zEMG93D_En0u9viPX3g=s88-c-k-c0x00ffffff-no-rj</v>
      </c>
      <c r="AL82" s="80">
        <v>717</v>
      </c>
      <c r="AM82" s="80">
        <v>0</v>
      </c>
      <c r="AN82" s="80">
        <v>11</v>
      </c>
      <c r="AO82" s="80" t="b">
        <v>0</v>
      </c>
      <c r="AP82" s="80">
        <v>7</v>
      </c>
      <c r="AQ82" s="80"/>
      <c r="AR82" s="80"/>
      <c r="AS82" s="80" t="s">
        <v>2085</v>
      </c>
      <c r="AT82" s="85" t="str">
        <f>HYPERLINK("https://www.youtube.com/channel/UCV7dUT5Zv3ymhtQKEIkKbhg")</f>
        <v>https://www.youtube.com/channel/UCV7dUT5Zv3ymhtQKEIkKbhg</v>
      </c>
      <c r="AU82" s="80" t="str">
        <f>REPLACE(INDEX(GroupVertices[Group],MATCH(Vertices[[#This Row],[Vertex]],GroupVertices[Vertex],0)),1,1,"")</f>
        <v>1</v>
      </c>
      <c r="AV82" s="49">
        <v>0</v>
      </c>
      <c r="AW82" s="50">
        <v>0</v>
      </c>
      <c r="AX82" s="49">
        <v>1</v>
      </c>
      <c r="AY82" s="50">
        <v>11.11111111111111</v>
      </c>
      <c r="AZ82" s="49">
        <v>0</v>
      </c>
      <c r="BA82" s="50">
        <v>0</v>
      </c>
      <c r="BB82" s="49">
        <v>8</v>
      </c>
      <c r="BC82" s="50">
        <v>88.88888888888889</v>
      </c>
      <c r="BD82" s="49">
        <v>9</v>
      </c>
      <c r="BE82" s="49"/>
      <c r="BF82" s="49"/>
      <c r="BG82" s="49"/>
      <c r="BH82" s="49"/>
      <c r="BI82" s="49"/>
      <c r="BJ82" s="49"/>
      <c r="BK82" s="111" t="s">
        <v>3474</v>
      </c>
      <c r="BL82" s="111" t="s">
        <v>3474</v>
      </c>
      <c r="BM82" s="111" t="s">
        <v>3925</v>
      </c>
      <c r="BN82" s="111" t="s">
        <v>3925</v>
      </c>
      <c r="BO82" s="2"/>
      <c r="BP82" s="3"/>
      <c r="BQ82" s="3"/>
      <c r="BR82" s="3"/>
      <c r="BS82" s="3"/>
    </row>
    <row r="83" spans="1:71" ht="15">
      <c r="A83" s="65" t="s">
        <v>417</v>
      </c>
      <c r="B83" s="66"/>
      <c r="C83" s="66"/>
      <c r="D83" s="67">
        <v>150</v>
      </c>
      <c r="E83" s="69"/>
      <c r="F83" s="103" t="str">
        <f>HYPERLINK("https://yt3.ggpht.com/ytc/AKedOLTo02rzl96g0gAy2GQwy4azEIbl2Mlb1mHpzVsp=s88-c-k-c0x00ffffff-no-rj")</f>
        <v>https://yt3.ggpht.com/ytc/AKedOLTo02rzl96g0gAy2GQwy4azEIbl2Mlb1mHpzVsp=s88-c-k-c0x00ffffff-no-rj</v>
      </c>
      <c r="G83" s="66"/>
      <c r="H83" s="70" t="s">
        <v>1485</v>
      </c>
      <c r="I83" s="71"/>
      <c r="J83" s="71" t="s">
        <v>159</v>
      </c>
      <c r="K83" s="70" t="s">
        <v>1485</v>
      </c>
      <c r="L83" s="74">
        <v>1</v>
      </c>
      <c r="M83" s="75">
        <v>5527.85595703125</v>
      </c>
      <c r="N83" s="75">
        <v>9484.0908203125</v>
      </c>
      <c r="O83" s="76"/>
      <c r="P83" s="77"/>
      <c r="Q83" s="77"/>
      <c r="R83" s="89"/>
      <c r="S83" s="49">
        <v>0</v>
      </c>
      <c r="T83" s="49">
        <v>1</v>
      </c>
      <c r="U83" s="50">
        <v>0</v>
      </c>
      <c r="V83" s="50">
        <v>0.478122</v>
      </c>
      <c r="W83" s="50">
        <v>0.03471</v>
      </c>
      <c r="X83" s="50">
        <v>0.001935</v>
      </c>
      <c r="Y83" s="50">
        <v>0</v>
      </c>
      <c r="Z83" s="50">
        <v>0</v>
      </c>
      <c r="AA83" s="72">
        <v>83</v>
      </c>
      <c r="AB83" s="72"/>
      <c r="AC83" s="73"/>
      <c r="AD83" s="80" t="s">
        <v>1485</v>
      </c>
      <c r="AE83" s="80"/>
      <c r="AF83" s="80"/>
      <c r="AG83" s="80"/>
      <c r="AH83" s="80"/>
      <c r="AI83" s="80"/>
      <c r="AJ83" s="87">
        <v>40800.06633101852</v>
      </c>
      <c r="AK83" s="85" t="str">
        <f>HYPERLINK("https://yt3.ggpht.com/ytc/AKedOLTo02rzl96g0gAy2GQwy4azEIbl2Mlb1mHpzVsp=s88-c-k-c0x00ffffff-no-rj")</f>
        <v>https://yt3.ggpht.com/ytc/AKedOLTo02rzl96g0gAy2GQwy4azEIbl2Mlb1mHpzVsp=s88-c-k-c0x00ffffff-no-rj</v>
      </c>
      <c r="AL83" s="80">
        <v>0</v>
      </c>
      <c r="AM83" s="80">
        <v>0</v>
      </c>
      <c r="AN83" s="80">
        <v>0</v>
      </c>
      <c r="AO83" s="80" t="b">
        <v>0</v>
      </c>
      <c r="AP83" s="80">
        <v>0</v>
      </c>
      <c r="AQ83" s="80"/>
      <c r="AR83" s="80"/>
      <c r="AS83" s="80" t="s">
        <v>2085</v>
      </c>
      <c r="AT83" s="85" t="str">
        <f>HYPERLINK("https://www.youtube.com/channel/UC_6DgXMGiqWvMAc3BNqkAvA")</f>
        <v>https://www.youtube.com/channel/UC_6DgXMGiqWvMAc3BNqkAvA</v>
      </c>
      <c r="AU83" s="80" t="str">
        <f>REPLACE(INDEX(GroupVertices[Group],MATCH(Vertices[[#This Row],[Vertex]],GroupVertices[Vertex],0)),1,1,"")</f>
        <v>1</v>
      </c>
      <c r="AV83" s="49">
        <v>2</v>
      </c>
      <c r="AW83" s="50">
        <v>14.285714285714286</v>
      </c>
      <c r="AX83" s="49">
        <v>0</v>
      </c>
      <c r="AY83" s="50">
        <v>0</v>
      </c>
      <c r="AZ83" s="49">
        <v>0</v>
      </c>
      <c r="BA83" s="50">
        <v>0</v>
      </c>
      <c r="BB83" s="49">
        <v>12</v>
      </c>
      <c r="BC83" s="50">
        <v>85.71428571428571</v>
      </c>
      <c r="BD83" s="49">
        <v>14</v>
      </c>
      <c r="BE83" s="49"/>
      <c r="BF83" s="49"/>
      <c r="BG83" s="49"/>
      <c r="BH83" s="49"/>
      <c r="BI83" s="49"/>
      <c r="BJ83" s="49"/>
      <c r="BK83" s="111" t="s">
        <v>3475</v>
      </c>
      <c r="BL83" s="111" t="s">
        <v>3475</v>
      </c>
      <c r="BM83" s="111" t="s">
        <v>3926</v>
      </c>
      <c r="BN83" s="111" t="s">
        <v>3926</v>
      </c>
      <c r="BO83" s="2"/>
      <c r="BP83" s="3"/>
      <c r="BQ83" s="3"/>
      <c r="BR83" s="3"/>
      <c r="BS83" s="3"/>
    </row>
    <row r="84" spans="1:71" ht="15">
      <c r="A84" s="65" t="s">
        <v>418</v>
      </c>
      <c r="B84" s="66"/>
      <c r="C84" s="66"/>
      <c r="D84" s="67">
        <v>150</v>
      </c>
      <c r="E84" s="69"/>
      <c r="F84" s="103" t="str">
        <f>HYPERLINK("https://yt3.ggpht.com/ytc/AKedOLTbpQb_IM1gsUqGdGONZC4EAwxHJXviPVTjlp0nwg=s88-c-k-c0x00ffffff-no-rj")</f>
        <v>https://yt3.ggpht.com/ytc/AKedOLTbpQb_IM1gsUqGdGONZC4EAwxHJXviPVTjlp0nwg=s88-c-k-c0x00ffffff-no-rj</v>
      </c>
      <c r="G84" s="66"/>
      <c r="H84" s="70" t="s">
        <v>1486</v>
      </c>
      <c r="I84" s="71"/>
      <c r="J84" s="71" t="s">
        <v>159</v>
      </c>
      <c r="K84" s="70" t="s">
        <v>1486</v>
      </c>
      <c r="L84" s="74">
        <v>1</v>
      </c>
      <c r="M84" s="75">
        <v>6414.03173828125</v>
      </c>
      <c r="N84" s="75">
        <v>7410.859375</v>
      </c>
      <c r="O84" s="76"/>
      <c r="P84" s="77"/>
      <c r="Q84" s="77"/>
      <c r="R84" s="89"/>
      <c r="S84" s="49">
        <v>0</v>
      </c>
      <c r="T84" s="49">
        <v>1</v>
      </c>
      <c r="U84" s="50">
        <v>0</v>
      </c>
      <c r="V84" s="50">
        <v>0.478122</v>
      </c>
      <c r="W84" s="50">
        <v>0.03471</v>
      </c>
      <c r="X84" s="50">
        <v>0.001935</v>
      </c>
      <c r="Y84" s="50">
        <v>0</v>
      </c>
      <c r="Z84" s="50">
        <v>0</v>
      </c>
      <c r="AA84" s="72">
        <v>84</v>
      </c>
      <c r="AB84" s="72"/>
      <c r="AC84" s="73"/>
      <c r="AD84" s="80" t="s">
        <v>1486</v>
      </c>
      <c r="AE84" s="80" t="s">
        <v>1966</v>
      </c>
      <c r="AF84" s="80"/>
      <c r="AG84" s="80"/>
      <c r="AH84" s="80"/>
      <c r="AI84" s="80"/>
      <c r="AJ84" s="87">
        <v>40486.068564814814</v>
      </c>
      <c r="AK84" s="85" t="str">
        <f>HYPERLINK("https://yt3.ggpht.com/ytc/AKedOLTbpQb_IM1gsUqGdGONZC4EAwxHJXviPVTjlp0nwg=s88-c-k-c0x00ffffff-no-rj")</f>
        <v>https://yt3.ggpht.com/ytc/AKedOLTbpQb_IM1gsUqGdGONZC4EAwxHJXviPVTjlp0nwg=s88-c-k-c0x00ffffff-no-rj</v>
      </c>
      <c r="AL84" s="80">
        <v>2307</v>
      </c>
      <c r="AM84" s="80">
        <v>0</v>
      </c>
      <c r="AN84" s="80">
        <v>23</v>
      </c>
      <c r="AO84" s="80" t="b">
        <v>0</v>
      </c>
      <c r="AP84" s="80">
        <v>4</v>
      </c>
      <c r="AQ84" s="80"/>
      <c r="AR84" s="80"/>
      <c r="AS84" s="80" t="s">
        <v>2085</v>
      </c>
      <c r="AT84" s="85" t="str">
        <f>HYPERLINK("https://www.youtube.com/channel/UCAwS---SMb4W58j0U6MscFw")</f>
        <v>https://www.youtube.com/channel/UCAwS---SMb4W58j0U6MscFw</v>
      </c>
      <c r="AU84" s="80" t="str">
        <f>REPLACE(INDEX(GroupVertices[Group],MATCH(Vertices[[#This Row],[Vertex]],GroupVertices[Vertex],0)),1,1,"")</f>
        <v>1</v>
      </c>
      <c r="AV84" s="49">
        <v>2</v>
      </c>
      <c r="AW84" s="50">
        <v>5.128205128205129</v>
      </c>
      <c r="AX84" s="49">
        <v>1</v>
      </c>
      <c r="AY84" s="50">
        <v>2.5641025641025643</v>
      </c>
      <c r="AZ84" s="49">
        <v>0</v>
      </c>
      <c r="BA84" s="50">
        <v>0</v>
      </c>
      <c r="BB84" s="49">
        <v>36</v>
      </c>
      <c r="BC84" s="50">
        <v>92.3076923076923</v>
      </c>
      <c r="BD84" s="49">
        <v>39</v>
      </c>
      <c r="BE84" s="49"/>
      <c r="BF84" s="49"/>
      <c r="BG84" s="49"/>
      <c r="BH84" s="49"/>
      <c r="BI84" s="49"/>
      <c r="BJ84" s="49"/>
      <c r="BK84" s="111" t="s">
        <v>3476</v>
      </c>
      <c r="BL84" s="111" t="s">
        <v>3476</v>
      </c>
      <c r="BM84" s="111" t="s">
        <v>3927</v>
      </c>
      <c r="BN84" s="111" t="s">
        <v>3927</v>
      </c>
      <c r="BO84" s="2"/>
      <c r="BP84" s="3"/>
      <c r="BQ84" s="3"/>
      <c r="BR84" s="3"/>
      <c r="BS84" s="3"/>
    </row>
    <row r="85" spans="1:71" ht="15">
      <c r="A85" s="65" t="s">
        <v>419</v>
      </c>
      <c r="B85" s="66"/>
      <c r="C85" s="66"/>
      <c r="D85" s="67">
        <v>150</v>
      </c>
      <c r="E85" s="69"/>
      <c r="F85" s="103" t="str">
        <f>HYPERLINK("https://yt3.ggpht.com/ytc/AKedOLR5AZ_B41KDaJoLuH1UwJ0GHcc5VvYcYB1HJA=s88-c-k-c0x00ffffff-no-rj")</f>
        <v>https://yt3.ggpht.com/ytc/AKedOLR5AZ_B41KDaJoLuH1UwJ0GHcc5VvYcYB1HJA=s88-c-k-c0x00ffffff-no-rj</v>
      </c>
      <c r="G85" s="66"/>
      <c r="H85" s="70" t="s">
        <v>1487</v>
      </c>
      <c r="I85" s="71"/>
      <c r="J85" s="71" t="s">
        <v>159</v>
      </c>
      <c r="K85" s="70" t="s">
        <v>1487</v>
      </c>
      <c r="L85" s="74">
        <v>1</v>
      </c>
      <c r="M85" s="75">
        <v>3722.2529296875</v>
      </c>
      <c r="N85" s="75">
        <v>8336.310546875</v>
      </c>
      <c r="O85" s="76"/>
      <c r="P85" s="77"/>
      <c r="Q85" s="77"/>
      <c r="R85" s="89"/>
      <c r="S85" s="49">
        <v>0</v>
      </c>
      <c r="T85" s="49">
        <v>1</v>
      </c>
      <c r="U85" s="50">
        <v>0</v>
      </c>
      <c r="V85" s="50">
        <v>0.478122</v>
      </c>
      <c r="W85" s="50">
        <v>0.03471</v>
      </c>
      <c r="X85" s="50">
        <v>0.001935</v>
      </c>
      <c r="Y85" s="50">
        <v>0</v>
      </c>
      <c r="Z85" s="50">
        <v>0</v>
      </c>
      <c r="AA85" s="72">
        <v>85</v>
      </c>
      <c r="AB85" s="72"/>
      <c r="AC85" s="73"/>
      <c r="AD85" s="80" t="s">
        <v>1487</v>
      </c>
      <c r="AE85" s="80"/>
      <c r="AF85" s="80"/>
      <c r="AG85" s="80"/>
      <c r="AH85" s="80"/>
      <c r="AI85" s="80"/>
      <c r="AJ85" s="87">
        <v>39389.63181712963</v>
      </c>
      <c r="AK85" s="85" t="str">
        <f>HYPERLINK("https://yt3.ggpht.com/ytc/AKedOLR5AZ_B41KDaJoLuH1UwJ0GHcc5VvYcYB1HJA=s88-c-k-c0x00ffffff-no-rj")</f>
        <v>https://yt3.ggpht.com/ytc/AKedOLR5AZ_B41KDaJoLuH1UwJ0GHcc5VvYcYB1HJA=s88-c-k-c0x00ffffff-no-rj</v>
      </c>
      <c r="AL85" s="80">
        <v>84932</v>
      </c>
      <c r="AM85" s="80">
        <v>0</v>
      </c>
      <c r="AN85" s="80">
        <v>52</v>
      </c>
      <c r="AO85" s="80" t="b">
        <v>0</v>
      </c>
      <c r="AP85" s="80">
        <v>104</v>
      </c>
      <c r="AQ85" s="80"/>
      <c r="AR85" s="80"/>
      <c r="AS85" s="80" t="s">
        <v>2085</v>
      </c>
      <c r="AT85" s="85" t="str">
        <f>HYPERLINK("https://www.youtube.com/channel/UCnBCrWFGwSo0iw57PmtgXOQ")</f>
        <v>https://www.youtube.com/channel/UCnBCrWFGwSo0iw57PmtgXOQ</v>
      </c>
      <c r="AU85" s="80" t="str">
        <f>REPLACE(INDEX(GroupVertices[Group],MATCH(Vertices[[#This Row],[Vertex]],GroupVertices[Vertex],0)),1,1,"")</f>
        <v>1</v>
      </c>
      <c r="AV85" s="49">
        <v>0</v>
      </c>
      <c r="AW85" s="50">
        <v>0</v>
      </c>
      <c r="AX85" s="49">
        <v>2</v>
      </c>
      <c r="AY85" s="50">
        <v>28.571428571428573</v>
      </c>
      <c r="AZ85" s="49">
        <v>0</v>
      </c>
      <c r="BA85" s="50">
        <v>0</v>
      </c>
      <c r="BB85" s="49">
        <v>5</v>
      </c>
      <c r="BC85" s="50">
        <v>71.42857142857143</v>
      </c>
      <c r="BD85" s="49">
        <v>7</v>
      </c>
      <c r="BE85" s="49"/>
      <c r="BF85" s="49"/>
      <c r="BG85" s="49"/>
      <c r="BH85" s="49"/>
      <c r="BI85" s="49"/>
      <c r="BJ85" s="49"/>
      <c r="BK85" s="111" t="s">
        <v>3477</v>
      </c>
      <c r="BL85" s="111" t="s">
        <v>3477</v>
      </c>
      <c r="BM85" s="111" t="s">
        <v>3928</v>
      </c>
      <c r="BN85" s="111" t="s">
        <v>3928</v>
      </c>
      <c r="BO85" s="2"/>
      <c r="BP85" s="3"/>
      <c r="BQ85" s="3"/>
      <c r="BR85" s="3"/>
      <c r="BS85" s="3"/>
    </row>
    <row r="86" spans="1:71" ht="15">
      <c r="A86" s="65" t="s">
        <v>420</v>
      </c>
      <c r="B86" s="66"/>
      <c r="C86" s="66"/>
      <c r="D86" s="67">
        <v>150</v>
      </c>
      <c r="E86" s="69"/>
      <c r="F86" s="103" t="str">
        <f>HYPERLINK("https://yt3.ggpht.com/ytc/AKedOLTYgvvmBlwf4KGASB5i6uWJC-dUlzKubhYZk0hx=s88-c-k-c0x00ffffff-no-rj")</f>
        <v>https://yt3.ggpht.com/ytc/AKedOLTYgvvmBlwf4KGASB5i6uWJC-dUlzKubhYZk0hx=s88-c-k-c0x00ffffff-no-rj</v>
      </c>
      <c r="G86" s="66"/>
      <c r="H86" s="70" t="s">
        <v>1488</v>
      </c>
      <c r="I86" s="71"/>
      <c r="J86" s="71" t="s">
        <v>159</v>
      </c>
      <c r="K86" s="70" t="s">
        <v>1488</v>
      </c>
      <c r="L86" s="74">
        <v>1</v>
      </c>
      <c r="M86" s="75">
        <v>1700.6890869140625</v>
      </c>
      <c r="N86" s="75">
        <v>2664.582275390625</v>
      </c>
      <c r="O86" s="76"/>
      <c r="P86" s="77"/>
      <c r="Q86" s="77"/>
      <c r="R86" s="89"/>
      <c r="S86" s="49">
        <v>0</v>
      </c>
      <c r="T86" s="49">
        <v>1</v>
      </c>
      <c r="U86" s="50">
        <v>0</v>
      </c>
      <c r="V86" s="50">
        <v>0.478122</v>
      </c>
      <c r="W86" s="50">
        <v>0.03471</v>
      </c>
      <c r="X86" s="50">
        <v>0.001935</v>
      </c>
      <c r="Y86" s="50">
        <v>0</v>
      </c>
      <c r="Z86" s="50">
        <v>0</v>
      </c>
      <c r="AA86" s="72">
        <v>86</v>
      </c>
      <c r="AB86" s="72"/>
      <c r="AC86" s="73"/>
      <c r="AD86" s="80" t="s">
        <v>1488</v>
      </c>
      <c r="AE86" s="80" t="s">
        <v>1967</v>
      </c>
      <c r="AF86" s="80"/>
      <c r="AG86" s="80"/>
      <c r="AH86" s="80"/>
      <c r="AI86" s="80"/>
      <c r="AJ86" s="87">
        <v>39177.09289351852</v>
      </c>
      <c r="AK86" s="85" t="str">
        <f>HYPERLINK("https://yt3.ggpht.com/ytc/AKedOLTYgvvmBlwf4KGASB5i6uWJC-dUlzKubhYZk0hx=s88-c-k-c0x00ffffff-no-rj")</f>
        <v>https://yt3.ggpht.com/ytc/AKedOLTYgvvmBlwf4KGASB5i6uWJC-dUlzKubhYZk0hx=s88-c-k-c0x00ffffff-no-rj</v>
      </c>
      <c r="AL86" s="80">
        <v>0</v>
      </c>
      <c r="AM86" s="80">
        <v>0</v>
      </c>
      <c r="AN86" s="80">
        <v>3</v>
      </c>
      <c r="AO86" s="80" t="b">
        <v>0</v>
      </c>
      <c r="AP86" s="80">
        <v>0</v>
      </c>
      <c r="AQ86" s="80"/>
      <c r="AR86" s="80"/>
      <c r="AS86" s="80" t="s">
        <v>2085</v>
      </c>
      <c r="AT86" s="85" t="str">
        <f>HYPERLINK("https://www.youtube.com/channel/UCQeHyoOmC4fF7wKK0qbbwWw")</f>
        <v>https://www.youtube.com/channel/UCQeHyoOmC4fF7wKK0qbbwWw</v>
      </c>
      <c r="AU86" s="80" t="str">
        <f>REPLACE(INDEX(GroupVertices[Group],MATCH(Vertices[[#This Row],[Vertex]],GroupVertices[Vertex],0)),1,1,"")</f>
        <v>1</v>
      </c>
      <c r="AV86" s="49">
        <v>0</v>
      </c>
      <c r="AW86" s="50">
        <v>0</v>
      </c>
      <c r="AX86" s="49">
        <v>1</v>
      </c>
      <c r="AY86" s="50">
        <v>7.142857142857143</v>
      </c>
      <c r="AZ86" s="49">
        <v>0</v>
      </c>
      <c r="BA86" s="50">
        <v>0</v>
      </c>
      <c r="BB86" s="49">
        <v>13</v>
      </c>
      <c r="BC86" s="50">
        <v>92.85714285714286</v>
      </c>
      <c r="BD86" s="49">
        <v>14</v>
      </c>
      <c r="BE86" s="49"/>
      <c r="BF86" s="49"/>
      <c r="BG86" s="49"/>
      <c r="BH86" s="49"/>
      <c r="BI86" s="49"/>
      <c r="BJ86" s="49"/>
      <c r="BK86" s="111" t="s">
        <v>3478</v>
      </c>
      <c r="BL86" s="111" t="s">
        <v>3478</v>
      </c>
      <c r="BM86" s="111" t="s">
        <v>3929</v>
      </c>
      <c r="BN86" s="111" t="s">
        <v>3929</v>
      </c>
      <c r="BO86" s="2"/>
      <c r="BP86" s="3"/>
      <c r="BQ86" s="3"/>
      <c r="BR86" s="3"/>
      <c r="BS86" s="3"/>
    </row>
    <row r="87" spans="1:71" ht="15">
      <c r="A87" s="65" t="s">
        <v>421</v>
      </c>
      <c r="B87" s="66"/>
      <c r="C87" s="66"/>
      <c r="D87" s="67">
        <v>150</v>
      </c>
      <c r="E87" s="69"/>
      <c r="F87" s="103" t="str">
        <f>HYPERLINK("https://yt3.ggpht.com/ytc/AKedOLSlK70MCWCEZyo0ofkXpxOFUeE67AXVV6NWrYV6ww=s88-c-k-c0x00ffffff-no-rj")</f>
        <v>https://yt3.ggpht.com/ytc/AKedOLSlK70MCWCEZyo0ofkXpxOFUeE67AXVV6NWrYV6ww=s88-c-k-c0x00ffffff-no-rj</v>
      </c>
      <c r="G87" s="66"/>
      <c r="H87" s="70" t="s">
        <v>1489</v>
      </c>
      <c r="I87" s="71"/>
      <c r="J87" s="71" t="s">
        <v>159</v>
      </c>
      <c r="K87" s="70" t="s">
        <v>1489</v>
      </c>
      <c r="L87" s="74">
        <v>1</v>
      </c>
      <c r="M87" s="75">
        <v>7035.35009765625</v>
      </c>
      <c r="N87" s="75">
        <v>8106.98388671875</v>
      </c>
      <c r="O87" s="76"/>
      <c r="P87" s="77"/>
      <c r="Q87" s="77"/>
      <c r="R87" s="89"/>
      <c r="S87" s="49">
        <v>0</v>
      </c>
      <c r="T87" s="49">
        <v>1</v>
      </c>
      <c r="U87" s="50">
        <v>0</v>
      </c>
      <c r="V87" s="50">
        <v>0.478122</v>
      </c>
      <c r="W87" s="50">
        <v>0.03471</v>
      </c>
      <c r="X87" s="50">
        <v>0.001935</v>
      </c>
      <c r="Y87" s="50">
        <v>0</v>
      </c>
      <c r="Z87" s="50">
        <v>0</v>
      </c>
      <c r="AA87" s="72">
        <v>87</v>
      </c>
      <c r="AB87" s="72"/>
      <c r="AC87" s="73"/>
      <c r="AD87" s="80" t="s">
        <v>1489</v>
      </c>
      <c r="AE87" s="80" t="s">
        <v>1968</v>
      </c>
      <c r="AF87" s="80"/>
      <c r="AG87" s="80"/>
      <c r="AH87" s="80"/>
      <c r="AI87" s="80"/>
      <c r="AJ87" s="87">
        <v>40332.78090277778</v>
      </c>
      <c r="AK87" s="85" t="str">
        <f>HYPERLINK("https://yt3.ggpht.com/ytc/AKedOLSlK70MCWCEZyo0ofkXpxOFUeE67AXVV6NWrYV6ww=s88-c-k-c0x00ffffff-no-rj")</f>
        <v>https://yt3.ggpht.com/ytc/AKedOLSlK70MCWCEZyo0ofkXpxOFUeE67AXVV6NWrYV6ww=s88-c-k-c0x00ffffff-no-rj</v>
      </c>
      <c r="AL87" s="80">
        <v>244</v>
      </c>
      <c r="AM87" s="80">
        <v>0</v>
      </c>
      <c r="AN87" s="80">
        <v>11</v>
      </c>
      <c r="AO87" s="80" t="b">
        <v>0</v>
      </c>
      <c r="AP87" s="80">
        <v>2</v>
      </c>
      <c r="AQ87" s="80"/>
      <c r="AR87" s="80"/>
      <c r="AS87" s="80" t="s">
        <v>2085</v>
      </c>
      <c r="AT87" s="85" t="str">
        <f>HYPERLINK("https://www.youtube.com/channel/UCmXeLhU-jhO_904i5g-3rYQ")</f>
        <v>https://www.youtube.com/channel/UCmXeLhU-jhO_904i5g-3rYQ</v>
      </c>
      <c r="AU87" s="80" t="str">
        <f>REPLACE(INDEX(GroupVertices[Group],MATCH(Vertices[[#This Row],[Vertex]],GroupVertices[Vertex],0)),1,1,"")</f>
        <v>1</v>
      </c>
      <c r="AV87" s="49">
        <v>0</v>
      </c>
      <c r="AW87" s="50">
        <v>0</v>
      </c>
      <c r="AX87" s="49">
        <v>0</v>
      </c>
      <c r="AY87" s="50">
        <v>0</v>
      </c>
      <c r="AZ87" s="49">
        <v>0</v>
      </c>
      <c r="BA87" s="50">
        <v>0</v>
      </c>
      <c r="BB87" s="49">
        <v>5</v>
      </c>
      <c r="BC87" s="50">
        <v>100</v>
      </c>
      <c r="BD87" s="49">
        <v>5</v>
      </c>
      <c r="BE87" s="49"/>
      <c r="BF87" s="49"/>
      <c r="BG87" s="49"/>
      <c r="BH87" s="49"/>
      <c r="BI87" s="49"/>
      <c r="BJ87" s="49"/>
      <c r="BK87" s="111" t="s">
        <v>3479</v>
      </c>
      <c r="BL87" s="111" t="s">
        <v>3479</v>
      </c>
      <c r="BM87" s="111" t="s">
        <v>3930</v>
      </c>
      <c r="BN87" s="111" t="s">
        <v>3930</v>
      </c>
      <c r="BO87" s="2"/>
      <c r="BP87" s="3"/>
      <c r="BQ87" s="3"/>
      <c r="BR87" s="3"/>
      <c r="BS87" s="3"/>
    </row>
    <row r="88" spans="1:71" ht="15">
      <c r="A88" s="65" t="s">
        <v>422</v>
      </c>
      <c r="B88" s="66"/>
      <c r="C88" s="66"/>
      <c r="D88" s="67">
        <v>150</v>
      </c>
      <c r="E88" s="69"/>
      <c r="F88" s="103" t="str">
        <f>HYPERLINK("https://yt3.ggpht.com/ytc/AKedOLQOUqLeUhGmLd3b6pp1ofV3Hml20q84n3AS7W1A=s88-c-k-c0x00ffffff-no-rj")</f>
        <v>https://yt3.ggpht.com/ytc/AKedOLQOUqLeUhGmLd3b6pp1ofV3Hml20q84n3AS7W1A=s88-c-k-c0x00ffffff-no-rj</v>
      </c>
      <c r="G88" s="66"/>
      <c r="H88" s="70" t="s">
        <v>1490</v>
      </c>
      <c r="I88" s="71"/>
      <c r="J88" s="71" t="s">
        <v>159</v>
      </c>
      <c r="K88" s="70" t="s">
        <v>1490</v>
      </c>
      <c r="L88" s="74">
        <v>1</v>
      </c>
      <c r="M88" s="75">
        <v>5413.7451171875</v>
      </c>
      <c r="N88" s="75">
        <v>1286.1002197265625</v>
      </c>
      <c r="O88" s="76"/>
      <c r="P88" s="77"/>
      <c r="Q88" s="77"/>
      <c r="R88" s="89"/>
      <c r="S88" s="49">
        <v>0</v>
      </c>
      <c r="T88" s="49">
        <v>1</v>
      </c>
      <c r="U88" s="50">
        <v>0</v>
      </c>
      <c r="V88" s="50">
        <v>0.478122</v>
      </c>
      <c r="W88" s="50">
        <v>0.03471</v>
      </c>
      <c r="X88" s="50">
        <v>0.001935</v>
      </c>
      <c r="Y88" s="50">
        <v>0</v>
      </c>
      <c r="Z88" s="50">
        <v>0</v>
      </c>
      <c r="AA88" s="72">
        <v>88</v>
      </c>
      <c r="AB88" s="72"/>
      <c r="AC88" s="73"/>
      <c r="AD88" s="80" t="s">
        <v>1490</v>
      </c>
      <c r="AE88" s="80"/>
      <c r="AF88" s="80"/>
      <c r="AG88" s="80"/>
      <c r="AH88" s="80"/>
      <c r="AI88" s="80"/>
      <c r="AJ88" s="87">
        <v>40281.93467592593</v>
      </c>
      <c r="AK88" s="85" t="str">
        <f>HYPERLINK("https://yt3.ggpht.com/ytc/AKedOLQOUqLeUhGmLd3b6pp1ofV3Hml20q84n3AS7W1A=s88-c-k-c0x00ffffff-no-rj")</f>
        <v>https://yt3.ggpht.com/ytc/AKedOLQOUqLeUhGmLd3b6pp1ofV3Hml20q84n3AS7W1A=s88-c-k-c0x00ffffff-no-rj</v>
      </c>
      <c r="AL88" s="80">
        <v>0</v>
      </c>
      <c r="AM88" s="80">
        <v>0</v>
      </c>
      <c r="AN88" s="80">
        <v>5</v>
      </c>
      <c r="AO88" s="80" t="b">
        <v>0</v>
      </c>
      <c r="AP88" s="80">
        <v>0</v>
      </c>
      <c r="AQ88" s="80"/>
      <c r="AR88" s="80"/>
      <c r="AS88" s="80" t="s">
        <v>2085</v>
      </c>
      <c r="AT88" s="85" t="str">
        <f>HYPERLINK("https://www.youtube.com/channel/UC8uVo-4Qkswfhh1JnIDHU1A")</f>
        <v>https://www.youtube.com/channel/UC8uVo-4Qkswfhh1JnIDHU1A</v>
      </c>
      <c r="AU88" s="80" t="str">
        <f>REPLACE(INDEX(GroupVertices[Group],MATCH(Vertices[[#This Row],[Vertex]],GroupVertices[Vertex],0)),1,1,"")</f>
        <v>1</v>
      </c>
      <c r="AV88" s="49">
        <v>2</v>
      </c>
      <c r="AW88" s="50">
        <v>9.090909090909092</v>
      </c>
      <c r="AX88" s="49">
        <v>0</v>
      </c>
      <c r="AY88" s="50">
        <v>0</v>
      </c>
      <c r="AZ88" s="49">
        <v>0</v>
      </c>
      <c r="BA88" s="50">
        <v>0</v>
      </c>
      <c r="BB88" s="49">
        <v>20</v>
      </c>
      <c r="BC88" s="50">
        <v>90.9090909090909</v>
      </c>
      <c r="BD88" s="49">
        <v>22</v>
      </c>
      <c r="BE88" s="49"/>
      <c r="BF88" s="49"/>
      <c r="BG88" s="49"/>
      <c r="BH88" s="49"/>
      <c r="BI88" s="49"/>
      <c r="BJ88" s="49"/>
      <c r="BK88" s="111" t="s">
        <v>3480</v>
      </c>
      <c r="BL88" s="111" t="s">
        <v>3480</v>
      </c>
      <c r="BM88" s="111" t="s">
        <v>3931</v>
      </c>
      <c r="BN88" s="111" t="s">
        <v>3931</v>
      </c>
      <c r="BO88" s="2"/>
      <c r="BP88" s="3"/>
      <c r="BQ88" s="3"/>
      <c r="BR88" s="3"/>
      <c r="BS88" s="3"/>
    </row>
    <row r="89" spans="1:71" ht="15">
      <c r="A89" s="65" t="s">
        <v>423</v>
      </c>
      <c r="B89" s="66"/>
      <c r="C89" s="66"/>
      <c r="D89" s="67">
        <v>150</v>
      </c>
      <c r="E89" s="69"/>
      <c r="F89" s="103" t="str">
        <f>HYPERLINK("https://yt3.ggpht.com/ytc/AKedOLRa3NEj-AZB7uy7Z8xxBW8f_j_yUjsvggg-dVxjCw=s88-c-k-c0x00ffffff-no-rj")</f>
        <v>https://yt3.ggpht.com/ytc/AKedOLRa3NEj-AZB7uy7Z8xxBW8f_j_yUjsvggg-dVxjCw=s88-c-k-c0x00ffffff-no-rj</v>
      </c>
      <c r="G89" s="66"/>
      <c r="H89" s="70" t="s">
        <v>1491</v>
      </c>
      <c r="I89" s="71"/>
      <c r="J89" s="71" t="s">
        <v>159</v>
      </c>
      <c r="K89" s="70" t="s">
        <v>1491</v>
      </c>
      <c r="L89" s="74">
        <v>1</v>
      </c>
      <c r="M89" s="75">
        <v>7457.7939453125</v>
      </c>
      <c r="N89" s="75">
        <v>2227.7685546875</v>
      </c>
      <c r="O89" s="76"/>
      <c r="P89" s="77"/>
      <c r="Q89" s="77"/>
      <c r="R89" s="89"/>
      <c r="S89" s="49">
        <v>0</v>
      </c>
      <c r="T89" s="49">
        <v>1</v>
      </c>
      <c r="U89" s="50">
        <v>0</v>
      </c>
      <c r="V89" s="50">
        <v>0.478122</v>
      </c>
      <c r="W89" s="50">
        <v>0.03471</v>
      </c>
      <c r="X89" s="50">
        <v>0.001935</v>
      </c>
      <c r="Y89" s="50">
        <v>0</v>
      </c>
      <c r="Z89" s="50">
        <v>0</v>
      </c>
      <c r="AA89" s="72">
        <v>89</v>
      </c>
      <c r="AB89" s="72"/>
      <c r="AC89" s="73"/>
      <c r="AD89" s="80" t="s">
        <v>1491</v>
      </c>
      <c r="AE89" s="80"/>
      <c r="AF89" s="80"/>
      <c r="AG89" s="80"/>
      <c r="AH89" s="80"/>
      <c r="AI89" s="80"/>
      <c r="AJ89" s="87">
        <v>40181.857256944444</v>
      </c>
      <c r="AK89" s="85" t="str">
        <f>HYPERLINK("https://yt3.ggpht.com/ytc/AKedOLRa3NEj-AZB7uy7Z8xxBW8f_j_yUjsvggg-dVxjCw=s88-c-k-c0x00ffffff-no-rj")</f>
        <v>https://yt3.ggpht.com/ytc/AKedOLRa3NEj-AZB7uy7Z8xxBW8f_j_yUjsvggg-dVxjCw=s88-c-k-c0x00ffffff-no-rj</v>
      </c>
      <c r="AL89" s="80">
        <v>0</v>
      </c>
      <c r="AM89" s="80">
        <v>0</v>
      </c>
      <c r="AN89" s="80">
        <v>14</v>
      </c>
      <c r="AO89" s="80" t="b">
        <v>0</v>
      </c>
      <c r="AP89" s="80">
        <v>0</v>
      </c>
      <c r="AQ89" s="80"/>
      <c r="AR89" s="80"/>
      <c r="AS89" s="80" t="s">
        <v>2085</v>
      </c>
      <c r="AT89" s="85" t="str">
        <f>HYPERLINK("https://www.youtube.com/channel/UCzGAjyMHa46G5irNmSYkoww")</f>
        <v>https://www.youtube.com/channel/UCzGAjyMHa46G5irNmSYkoww</v>
      </c>
      <c r="AU89" s="80" t="str">
        <f>REPLACE(INDEX(GroupVertices[Group],MATCH(Vertices[[#This Row],[Vertex]],GroupVertices[Vertex],0)),1,1,"")</f>
        <v>1</v>
      </c>
      <c r="AV89" s="49">
        <v>0</v>
      </c>
      <c r="AW89" s="50">
        <v>0</v>
      </c>
      <c r="AX89" s="49">
        <v>0</v>
      </c>
      <c r="AY89" s="50">
        <v>0</v>
      </c>
      <c r="AZ89" s="49">
        <v>0</v>
      </c>
      <c r="BA89" s="50">
        <v>0</v>
      </c>
      <c r="BB89" s="49">
        <v>19</v>
      </c>
      <c r="BC89" s="50">
        <v>100</v>
      </c>
      <c r="BD89" s="49">
        <v>19</v>
      </c>
      <c r="BE89" s="49"/>
      <c r="BF89" s="49"/>
      <c r="BG89" s="49"/>
      <c r="BH89" s="49"/>
      <c r="BI89" s="49"/>
      <c r="BJ89" s="49"/>
      <c r="BK89" s="111" t="s">
        <v>3481</v>
      </c>
      <c r="BL89" s="111" t="s">
        <v>3481</v>
      </c>
      <c r="BM89" s="111" t="s">
        <v>3932</v>
      </c>
      <c r="BN89" s="111" t="s">
        <v>3932</v>
      </c>
      <c r="BO89" s="2"/>
      <c r="BP89" s="3"/>
      <c r="BQ89" s="3"/>
      <c r="BR89" s="3"/>
      <c r="BS89" s="3"/>
    </row>
    <row r="90" spans="1:71" ht="15">
      <c r="A90" s="65" t="s">
        <v>424</v>
      </c>
      <c r="B90" s="66"/>
      <c r="C90" s="66"/>
      <c r="D90" s="67">
        <v>150</v>
      </c>
      <c r="E90" s="69"/>
      <c r="F90" s="103" t="str">
        <f>HYPERLINK("https://yt3.ggpht.com/ytc/AKedOLRGH6qs-RJUK0o6ndzC00Syi3mGOEzgm3wLdaN2aQ=s88-c-k-c0x00ffffff-no-rj")</f>
        <v>https://yt3.ggpht.com/ytc/AKedOLRGH6qs-RJUK0o6ndzC00Syi3mGOEzgm3wLdaN2aQ=s88-c-k-c0x00ffffff-no-rj</v>
      </c>
      <c r="G90" s="66"/>
      <c r="H90" s="70" t="s">
        <v>1492</v>
      </c>
      <c r="I90" s="71"/>
      <c r="J90" s="71" t="s">
        <v>159</v>
      </c>
      <c r="K90" s="70" t="s">
        <v>1492</v>
      </c>
      <c r="L90" s="74">
        <v>1</v>
      </c>
      <c r="M90" s="75">
        <v>866.835693359375</v>
      </c>
      <c r="N90" s="75">
        <v>3283.027099609375</v>
      </c>
      <c r="O90" s="76"/>
      <c r="P90" s="77"/>
      <c r="Q90" s="77"/>
      <c r="R90" s="89"/>
      <c r="S90" s="49">
        <v>0</v>
      </c>
      <c r="T90" s="49">
        <v>1</v>
      </c>
      <c r="U90" s="50">
        <v>0</v>
      </c>
      <c r="V90" s="50">
        <v>0.478122</v>
      </c>
      <c r="W90" s="50">
        <v>0.03471</v>
      </c>
      <c r="X90" s="50">
        <v>0.001935</v>
      </c>
      <c r="Y90" s="50">
        <v>0</v>
      </c>
      <c r="Z90" s="50">
        <v>0</v>
      </c>
      <c r="AA90" s="72">
        <v>90</v>
      </c>
      <c r="AB90" s="72"/>
      <c r="AC90" s="73"/>
      <c r="AD90" s="80" t="s">
        <v>1492</v>
      </c>
      <c r="AE90" s="80"/>
      <c r="AF90" s="80"/>
      <c r="AG90" s="80"/>
      <c r="AH90" s="80"/>
      <c r="AI90" s="80" t="s">
        <v>2063</v>
      </c>
      <c r="AJ90" s="87">
        <v>39904.34222222222</v>
      </c>
      <c r="AK90" s="85" t="str">
        <f>HYPERLINK("https://yt3.ggpht.com/ytc/AKedOLRGH6qs-RJUK0o6ndzC00Syi3mGOEzgm3wLdaN2aQ=s88-c-k-c0x00ffffff-no-rj")</f>
        <v>https://yt3.ggpht.com/ytc/AKedOLRGH6qs-RJUK0o6ndzC00Syi3mGOEzgm3wLdaN2aQ=s88-c-k-c0x00ffffff-no-rj</v>
      </c>
      <c r="AL90" s="80">
        <v>42906</v>
      </c>
      <c r="AM90" s="80">
        <v>0</v>
      </c>
      <c r="AN90" s="80">
        <v>90</v>
      </c>
      <c r="AO90" s="80" t="b">
        <v>0</v>
      </c>
      <c r="AP90" s="80">
        <v>9</v>
      </c>
      <c r="AQ90" s="80"/>
      <c r="AR90" s="80"/>
      <c r="AS90" s="80" t="s">
        <v>2085</v>
      </c>
      <c r="AT90" s="85" t="str">
        <f>HYPERLINK("https://www.youtube.com/channel/UCSTY_QywABvaN4FXATnRIXA")</f>
        <v>https://www.youtube.com/channel/UCSTY_QywABvaN4FXATnRIXA</v>
      </c>
      <c r="AU90" s="80" t="str">
        <f>REPLACE(INDEX(GroupVertices[Group],MATCH(Vertices[[#This Row],[Vertex]],GroupVertices[Vertex],0)),1,1,"")</f>
        <v>1</v>
      </c>
      <c r="AV90" s="49">
        <v>4</v>
      </c>
      <c r="AW90" s="50">
        <v>3.5398230088495577</v>
      </c>
      <c r="AX90" s="49">
        <v>2</v>
      </c>
      <c r="AY90" s="50">
        <v>1.7699115044247788</v>
      </c>
      <c r="AZ90" s="49">
        <v>0</v>
      </c>
      <c r="BA90" s="50">
        <v>0</v>
      </c>
      <c r="BB90" s="49">
        <v>107</v>
      </c>
      <c r="BC90" s="50">
        <v>94.69026548672566</v>
      </c>
      <c r="BD90" s="49">
        <v>113</v>
      </c>
      <c r="BE90" s="49"/>
      <c r="BF90" s="49"/>
      <c r="BG90" s="49"/>
      <c r="BH90" s="49"/>
      <c r="BI90" s="49"/>
      <c r="BJ90" s="49"/>
      <c r="BK90" s="111" t="s">
        <v>3482</v>
      </c>
      <c r="BL90" s="111" t="s">
        <v>3482</v>
      </c>
      <c r="BM90" s="111" t="s">
        <v>3933</v>
      </c>
      <c r="BN90" s="111" t="s">
        <v>3933</v>
      </c>
      <c r="BO90" s="2"/>
      <c r="BP90" s="3"/>
      <c r="BQ90" s="3"/>
      <c r="BR90" s="3"/>
      <c r="BS90" s="3"/>
    </row>
    <row r="91" spans="1:71" ht="15">
      <c r="A91" s="65" t="s">
        <v>425</v>
      </c>
      <c r="B91" s="66"/>
      <c r="C91" s="66"/>
      <c r="D91" s="67">
        <v>150</v>
      </c>
      <c r="E91" s="69"/>
      <c r="F91" s="103" t="str">
        <f>HYPERLINK("https://yt3.ggpht.com/ytc/AKedOLQPR8SnBSYeVEHXjv3WyLxYDZN38KHP8XR65O1EJg=s88-c-k-c0x00ffffff-no-rj")</f>
        <v>https://yt3.ggpht.com/ytc/AKedOLQPR8SnBSYeVEHXjv3WyLxYDZN38KHP8XR65O1EJg=s88-c-k-c0x00ffffff-no-rj</v>
      </c>
      <c r="G91" s="66"/>
      <c r="H91" s="70" t="s">
        <v>1493</v>
      </c>
      <c r="I91" s="71"/>
      <c r="J91" s="71" t="s">
        <v>159</v>
      </c>
      <c r="K91" s="70" t="s">
        <v>1493</v>
      </c>
      <c r="L91" s="74">
        <v>1</v>
      </c>
      <c r="M91" s="75">
        <v>3282.712158203125</v>
      </c>
      <c r="N91" s="75">
        <v>1721.973388671875</v>
      </c>
      <c r="O91" s="76"/>
      <c r="P91" s="77"/>
      <c r="Q91" s="77"/>
      <c r="R91" s="89"/>
      <c r="S91" s="49">
        <v>0</v>
      </c>
      <c r="T91" s="49">
        <v>1</v>
      </c>
      <c r="U91" s="50">
        <v>0</v>
      </c>
      <c r="V91" s="50">
        <v>0.478122</v>
      </c>
      <c r="W91" s="50">
        <v>0.03471</v>
      </c>
      <c r="X91" s="50">
        <v>0.001935</v>
      </c>
      <c r="Y91" s="50">
        <v>0</v>
      </c>
      <c r="Z91" s="50">
        <v>0</v>
      </c>
      <c r="AA91" s="72">
        <v>91</v>
      </c>
      <c r="AB91" s="72"/>
      <c r="AC91" s="73"/>
      <c r="AD91" s="80" t="s">
        <v>1493</v>
      </c>
      <c r="AE91" s="80"/>
      <c r="AF91" s="80"/>
      <c r="AG91" s="80"/>
      <c r="AH91" s="80"/>
      <c r="AI91" s="80" t="s">
        <v>2064</v>
      </c>
      <c r="AJ91" s="87">
        <v>40704.00460648148</v>
      </c>
      <c r="AK91" s="85" t="str">
        <f>HYPERLINK("https://yt3.ggpht.com/ytc/AKedOLQPR8SnBSYeVEHXjv3WyLxYDZN38KHP8XR65O1EJg=s88-c-k-c0x00ffffff-no-rj")</f>
        <v>https://yt3.ggpht.com/ytc/AKedOLQPR8SnBSYeVEHXjv3WyLxYDZN38KHP8XR65O1EJg=s88-c-k-c0x00ffffff-no-rj</v>
      </c>
      <c r="AL91" s="80">
        <v>15727</v>
      </c>
      <c r="AM91" s="80">
        <v>0</v>
      </c>
      <c r="AN91" s="80">
        <v>37</v>
      </c>
      <c r="AO91" s="80" t="b">
        <v>0</v>
      </c>
      <c r="AP91" s="80">
        <v>2</v>
      </c>
      <c r="AQ91" s="80"/>
      <c r="AR91" s="80"/>
      <c r="AS91" s="80" t="s">
        <v>2085</v>
      </c>
      <c r="AT91" s="85" t="str">
        <f>HYPERLINK("https://www.youtube.com/channel/UCPrGDitzcCE-AIYo3ePy-Qg")</f>
        <v>https://www.youtube.com/channel/UCPrGDitzcCE-AIYo3ePy-Qg</v>
      </c>
      <c r="AU91" s="80" t="str">
        <f>REPLACE(INDEX(GroupVertices[Group],MATCH(Vertices[[#This Row],[Vertex]],GroupVertices[Vertex],0)),1,1,"")</f>
        <v>1</v>
      </c>
      <c r="AV91" s="49">
        <v>0</v>
      </c>
      <c r="AW91" s="50">
        <v>0</v>
      </c>
      <c r="AX91" s="49">
        <v>0</v>
      </c>
      <c r="AY91" s="50">
        <v>0</v>
      </c>
      <c r="AZ91" s="49">
        <v>0</v>
      </c>
      <c r="BA91" s="50">
        <v>0</v>
      </c>
      <c r="BB91" s="49">
        <v>17</v>
      </c>
      <c r="BC91" s="50">
        <v>100</v>
      </c>
      <c r="BD91" s="49">
        <v>17</v>
      </c>
      <c r="BE91" s="49"/>
      <c r="BF91" s="49"/>
      <c r="BG91" s="49"/>
      <c r="BH91" s="49"/>
      <c r="BI91" s="49"/>
      <c r="BJ91" s="49"/>
      <c r="BK91" s="111" t="s">
        <v>3483</v>
      </c>
      <c r="BL91" s="111" t="s">
        <v>3483</v>
      </c>
      <c r="BM91" s="111" t="s">
        <v>3934</v>
      </c>
      <c r="BN91" s="111" t="s">
        <v>3934</v>
      </c>
      <c r="BO91" s="2"/>
      <c r="BP91" s="3"/>
      <c r="BQ91" s="3"/>
      <c r="BR91" s="3"/>
      <c r="BS91" s="3"/>
    </row>
    <row r="92" spans="1:71" ht="15">
      <c r="A92" s="65" t="s">
        <v>426</v>
      </c>
      <c r="B92" s="66"/>
      <c r="C92" s="66"/>
      <c r="D92" s="67">
        <v>150</v>
      </c>
      <c r="E92" s="69"/>
      <c r="F92" s="103" t="str">
        <f>HYPERLINK("https://yt3.ggpht.com/ytc/AKedOLQN_R5M5JsxMswBHgDKm3It9fzy-OyMzJdDWkSG=s88-c-k-c0x00ffffff-no-rj")</f>
        <v>https://yt3.ggpht.com/ytc/AKedOLQN_R5M5JsxMswBHgDKm3It9fzy-OyMzJdDWkSG=s88-c-k-c0x00ffffff-no-rj</v>
      </c>
      <c r="G92" s="66"/>
      <c r="H92" s="70" t="s">
        <v>1494</v>
      </c>
      <c r="I92" s="71"/>
      <c r="J92" s="71" t="s">
        <v>159</v>
      </c>
      <c r="K92" s="70" t="s">
        <v>1494</v>
      </c>
      <c r="L92" s="74">
        <v>1</v>
      </c>
      <c r="M92" s="75">
        <v>1725.5111083984375</v>
      </c>
      <c r="N92" s="75">
        <v>5162.865234375</v>
      </c>
      <c r="O92" s="76"/>
      <c r="P92" s="77"/>
      <c r="Q92" s="77"/>
      <c r="R92" s="89"/>
      <c r="S92" s="49">
        <v>0</v>
      </c>
      <c r="T92" s="49">
        <v>1</v>
      </c>
      <c r="U92" s="50">
        <v>0</v>
      </c>
      <c r="V92" s="50">
        <v>0.478122</v>
      </c>
      <c r="W92" s="50">
        <v>0.03471</v>
      </c>
      <c r="X92" s="50">
        <v>0.001935</v>
      </c>
      <c r="Y92" s="50">
        <v>0</v>
      </c>
      <c r="Z92" s="50">
        <v>0</v>
      </c>
      <c r="AA92" s="72">
        <v>92</v>
      </c>
      <c r="AB92" s="72"/>
      <c r="AC92" s="73"/>
      <c r="AD92" s="80" t="s">
        <v>1494</v>
      </c>
      <c r="AE92" s="80"/>
      <c r="AF92" s="80"/>
      <c r="AG92" s="80"/>
      <c r="AH92" s="80"/>
      <c r="AI92" s="80"/>
      <c r="AJ92" s="87">
        <v>40944.865590277775</v>
      </c>
      <c r="AK92" s="85" t="str">
        <f>HYPERLINK("https://yt3.ggpht.com/ytc/AKedOLQN_R5M5JsxMswBHgDKm3It9fzy-OyMzJdDWkSG=s88-c-k-c0x00ffffff-no-rj")</f>
        <v>https://yt3.ggpht.com/ytc/AKedOLQN_R5M5JsxMswBHgDKm3It9fzy-OyMzJdDWkSG=s88-c-k-c0x00ffffff-no-rj</v>
      </c>
      <c r="AL92" s="80">
        <v>3502</v>
      </c>
      <c r="AM92" s="80">
        <v>0</v>
      </c>
      <c r="AN92" s="80">
        <v>14</v>
      </c>
      <c r="AO92" s="80" t="b">
        <v>0</v>
      </c>
      <c r="AP92" s="80">
        <v>6</v>
      </c>
      <c r="AQ92" s="80"/>
      <c r="AR92" s="80"/>
      <c r="AS92" s="80" t="s">
        <v>2085</v>
      </c>
      <c r="AT92" s="85" t="str">
        <f>HYPERLINK("https://www.youtube.com/channel/UC1SiIVeKEpTKK_Amm_F3x9w")</f>
        <v>https://www.youtube.com/channel/UC1SiIVeKEpTKK_Amm_F3x9w</v>
      </c>
      <c r="AU92" s="80" t="str">
        <f>REPLACE(INDEX(GroupVertices[Group],MATCH(Vertices[[#This Row],[Vertex]],GroupVertices[Vertex],0)),1,1,"")</f>
        <v>1</v>
      </c>
      <c r="AV92" s="49">
        <v>6</v>
      </c>
      <c r="AW92" s="50">
        <v>3.141361256544503</v>
      </c>
      <c r="AX92" s="49">
        <v>10</v>
      </c>
      <c r="AY92" s="50">
        <v>5.2356020942408374</v>
      </c>
      <c r="AZ92" s="49">
        <v>0</v>
      </c>
      <c r="BA92" s="50">
        <v>0</v>
      </c>
      <c r="BB92" s="49">
        <v>175</v>
      </c>
      <c r="BC92" s="50">
        <v>91.62303664921465</v>
      </c>
      <c r="BD92" s="49">
        <v>191</v>
      </c>
      <c r="BE92" s="49"/>
      <c r="BF92" s="49"/>
      <c r="BG92" s="49"/>
      <c r="BH92" s="49"/>
      <c r="BI92" s="49"/>
      <c r="BJ92" s="49"/>
      <c r="BK92" s="111" t="s">
        <v>3484</v>
      </c>
      <c r="BL92" s="111" t="s">
        <v>3818</v>
      </c>
      <c r="BM92" s="111" t="s">
        <v>3935</v>
      </c>
      <c r="BN92" s="111" t="s">
        <v>3935</v>
      </c>
      <c r="BO92" s="2"/>
      <c r="BP92" s="3"/>
      <c r="BQ92" s="3"/>
      <c r="BR92" s="3"/>
      <c r="BS92" s="3"/>
    </row>
    <row r="93" spans="1:71" ht="15">
      <c r="A93" s="65" t="s">
        <v>427</v>
      </c>
      <c r="B93" s="66"/>
      <c r="C93" s="66"/>
      <c r="D93" s="67">
        <v>150</v>
      </c>
      <c r="E93" s="69"/>
      <c r="F93" s="103" t="str">
        <f>HYPERLINK("https://yt3.ggpht.com/ytc/AKedOLQOEX_07NFleu-Zw0V0JccR3d3W4egn2EymtRnu=s88-c-k-c0x00ffffff-no-rj")</f>
        <v>https://yt3.ggpht.com/ytc/AKedOLQOEX_07NFleu-Zw0V0JccR3d3W4egn2EymtRnu=s88-c-k-c0x00ffffff-no-rj</v>
      </c>
      <c r="G93" s="66"/>
      <c r="H93" s="70" t="s">
        <v>1495</v>
      </c>
      <c r="I93" s="71"/>
      <c r="J93" s="71" t="s">
        <v>159</v>
      </c>
      <c r="K93" s="70" t="s">
        <v>1495</v>
      </c>
      <c r="L93" s="74">
        <v>1</v>
      </c>
      <c r="M93" s="75">
        <v>5432.64013671875</v>
      </c>
      <c r="N93" s="75">
        <v>7629.11328125</v>
      </c>
      <c r="O93" s="76"/>
      <c r="P93" s="77"/>
      <c r="Q93" s="77"/>
      <c r="R93" s="89"/>
      <c r="S93" s="49">
        <v>0</v>
      </c>
      <c r="T93" s="49">
        <v>1</v>
      </c>
      <c r="U93" s="50">
        <v>0</v>
      </c>
      <c r="V93" s="50">
        <v>0.478122</v>
      </c>
      <c r="W93" s="50">
        <v>0.03471</v>
      </c>
      <c r="X93" s="50">
        <v>0.001935</v>
      </c>
      <c r="Y93" s="50">
        <v>0</v>
      </c>
      <c r="Z93" s="50">
        <v>0</v>
      </c>
      <c r="AA93" s="72">
        <v>93</v>
      </c>
      <c r="AB93" s="72"/>
      <c r="AC93" s="73"/>
      <c r="AD93" s="80" t="s">
        <v>1495</v>
      </c>
      <c r="AE93" s="80" t="s">
        <v>1969</v>
      </c>
      <c r="AF93" s="80"/>
      <c r="AG93" s="80"/>
      <c r="AH93" s="80"/>
      <c r="AI93" s="80"/>
      <c r="AJ93" s="87">
        <v>40839.97318287037</v>
      </c>
      <c r="AK93" s="85" t="str">
        <f>HYPERLINK("https://yt3.ggpht.com/ytc/AKedOLQOEX_07NFleu-Zw0V0JccR3d3W4egn2EymtRnu=s88-c-k-c0x00ffffff-no-rj")</f>
        <v>https://yt3.ggpht.com/ytc/AKedOLQOEX_07NFleu-Zw0V0JccR3d3W4egn2EymtRnu=s88-c-k-c0x00ffffff-no-rj</v>
      </c>
      <c r="AL93" s="80">
        <v>137</v>
      </c>
      <c r="AM93" s="80">
        <v>0</v>
      </c>
      <c r="AN93" s="80">
        <v>19</v>
      </c>
      <c r="AO93" s="80" t="b">
        <v>0</v>
      </c>
      <c r="AP93" s="80">
        <v>9</v>
      </c>
      <c r="AQ93" s="80"/>
      <c r="AR93" s="80"/>
      <c r="AS93" s="80" t="s">
        <v>2085</v>
      </c>
      <c r="AT93" s="85" t="str">
        <f>HYPERLINK("https://www.youtube.com/channel/UCEYbT6ad_ujYYDu6E1ev3Zw")</f>
        <v>https://www.youtube.com/channel/UCEYbT6ad_ujYYDu6E1ev3Zw</v>
      </c>
      <c r="AU93" s="80" t="str">
        <f>REPLACE(INDEX(GroupVertices[Group],MATCH(Vertices[[#This Row],[Vertex]],GroupVertices[Vertex],0)),1,1,"")</f>
        <v>1</v>
      </c>
      <c r="AV93" s="49">
        <v>5</v>
      </c>
      <c r="AW93" s="50">
        <v>11.904761904761905</v>
      </c>
      <c r="AX93" s="49">
        <v>1</v>
      </c>
      <c r="AY93" s="50">
        <v>2.380952380952381</v>
      </c>
      <c r="AZ93" s="49">
        <v>0</v>
      </c>
      <c r="BA93" s="50">
        <v>0</v>
      </c>
      <c r="BB93" s="49">
        <v>36</v>
      </c>
      <c r="BC93" s="50">
        <v>85.71428571428571</v>
      </c>
      <c r="BD93" s="49">
        <v>42</v>
      </c>
      <c r="BE93" s="49"/>
      <c r="BF93" s="49"/>
      <c r="BG93" s="49"/>
      <c r="BH93" s="49"/>
      <c r="BI93" s="49"/>
      <c r="BJ93" s="49"/>
      <c r="BK93" s="111" t="s">
        <v>3485</v>
      </c>
      <c r="BL93" s="111" t="s">
        <v>3485</v>
      </c>
      <c r="BM93" s="111" t="s">
        <v>3936</v>
      </c>
      <c r="BN93" s="111" t="s">
        <v>3936</v>
      </c>
      <c r="BO93" s="2"/>
      <c r="BP93" s="3"/>
      <c r="BQ93" s="3"/>
      <c r="BR93" s="3"/>
      <c r="BS93" s="3"/>
    </row>
    <row r="94" spans="1:71" ht="15">
      <c r="A94" s="65" t="s">
        <v>428</v>
      </c>
      <c r="B94" s="66"/>
      <c r="C94" s="66"/>
      <c r="D94" s="67">
        <v>150</v>
      </c>
      <c r="E94" s="69"/>
      <c r="F94" s="103" t="str">
        <f>HYPERLINK("https://yt3.ggpht.com/ytc/AKedOLSKWJNG6p-xD1FnkN3LfOyixs8r3g9D29PhRw=s88-c-k-c0x00ffffff-no-rj")</f>
        <v>https://yt3.ggpht.com/ytc/AKedOLSKWJNG6p-xD1FnkN3LfOyixs8r3g9D29PhRw=s88-c-k-c0x00ffffff-no-rj</v>
      </c>
      <c r="G94" s="66"/>
      <c r="H94" s="70" t="s">
        <v>1496</v>
      </c>
      <c r="I94" s="71"/>
      <c r="J94" s="71" t="s">
        <v>159</v>
      </c>
      <c r="K94" s="70" t="s">
        <v>1496</v>
      </c>
      <c r="L94" s="74">
        <v>1</v>
      </c>
      <c r="M94" s="75">
        <v>6340.400390625</v>
      </c>
      <c r="N94" s="75">
        <v>1685.689697265625</v>
      </c>
      <c r="O94" s="76"/>
      <c r="P94" s="77"/>
      <c r="Q94" s="77"/>
      <c r="R94" s="89"/>
      <c r="S94" s="49">
        <v>0</v>
      </c>
      <c r="T94" s="49">
        <v>1</v>
      </c>
      <c r="U94" s="50">
        <v>0</v>
      </c>
      <c r="V94" s="50">
        <v>0.478122</v>
      </c>
      <c r="W94" s="50">
        <v>0.03471</v>
      </c>
      <c r="X94" s="50">
        <v>0.001935</v>
      </c>
      <c r="Y94" s="50">
        <v>0</v>
      </c>
      <c r="Z94" s="50">
        <v>0</v>
      </c>
      <c r="AA94" s="72">
        <v>94</v>
      </c>
      <c r="AB94" s="72"/>
      <c r="AC94" s="73"/>
      <c r="AD94" s="80" t="s">
        <v>1496</v>
      </c>
      <c r="AE94" s="80"/>
      <c r="AF94" s="80"/>
      <c r="AG94" s="80"/>
      <c r="AH94" s="80"/>
      <c r="AI94" s="80"/>
      <c r="AJ94" s="87">
        <v>39636.98902777778</v>
      </c>
      <c r="AK94" s="85" t="str">
        <f>HYPERLINK("https://yt3.ggpht.com/ytc/AKedOLSKWJNG6p-xD1FnkN3LfOyixs8r3g9D29PhRw=s88-c-k-c0x00ffffff-no-rj")</f>
        <v>https://yt3.ggpht.com/ytc/AKedOLSKWJNG6p-xD1FnkN3LfOyixs8r3g9D29PhRw=s88-c-k-c0x00ffffff-no-rj</v>
      </c>
      <c r="AL94" s="80">
        <v>250</v>
      </c>
      <c r="AM94" s="80">
        <v>0</v>
      </c>
      <c r="AN94" s="80">
        <v>19</v>
      </c>
      <c r="AO94" s="80" t="b">
        <v>0</v>
      </c>
      <c r="AP94" s="80">
        <v>3</v>
      </c>
      <c r="AQ94" s="80"/>
      <c r="AR94" s="80"/>
      <c r="AS94" s="80" t="s">
        <v>2085</v>
      </c>
      <c r="AT94" s="85" t="str">
        <f>HYPERLINK("https://www.youtube.com/channel/UCc96p0qymoYTTv0clM3w4Yg")</f>
        <v>https://www.youtube.com/channel/UCc96p0qymoYTTv0clM3w4Yg</v>
      </c>
      <c r="AU94" s="80" t="str">
        <f>REPLACE(INDEX(GroupVertices[Group],MATCH(Vertices[[#This Row],[Vertex]],GroupVertices[Vertex],0)),1,1,"")</f>
        <v>1</v>
      </c>
      <c r="AV94" s="49">
        <v>6</v>
      </c>
      <c r="AW94" s="50">
        <v>3.468208092485549</v>
      </c>
      <c r="AX94" s="49">
        <v>5</v>
      </c>
      <c r="AY94" s="50">
        <v>2.8901734104046244</v>
      </c>
      <c r="AZ94" s="49">
        <v>0</v>
      </c>
      <c r="BA94" s="50">
        <v>0</v>
      </c>
      <c r="BB94" s="49">
        <v>162</v>
      </c>
      <c r="BC94" s="50">
        <v>93.64161849710983</v>
      </c>
      <c r="BD94" s="49">
        <v>173</v>
      </c>
      <c r="BE94" s="49"/>
      <c r="BF94" s="49"/>
      <c r="BG94" s="49"/>
      <c r="BH94" s="49"/>
      <c r="BI94" s="49"/>
      <c r="BJ94" s="49"/>
      <c r="BK94" s="111" t="s">
        <v>3486</v>
      </c>
      <c r="BL94" s="111" t="s">
        <v>3819</v>
      </c>
      <c r="BM94" s="111" t="s">
        <v>3937</v>
      </c>
      <c r="BN94" s="111" t="s">
        <v>3937</v>
      </c>
      <c r="BO94" s="2"/>
      <c r="BP94" s="3"/>
      <c r="BQ94" s="3"/>
      <c r="BR94" s="3"/>
      <c r="BS94" s="3"/>
    </row>
    <row r="95" spans="1:71" ht="15">
      <c r="A95" s="65" t="s">
        <v>429</v>
      </c>
      <c r="B95" s="66"/>
      <c r="C95" s="66"/>
      <c r="D95" s="67">
        <v>150</v>
      </c>
      <c r="E95" s="69"/>
      <c r="F95" s="103" t="str">
        <f>HYPERLINK("https://yt3.ggpht.com/ytc/AKedOLQE1Jc8l1QmxcaZCz0tXSIdVBeGaKkLZj5w8KTb=s88-c-k-c0x00ffffff-no-rj")</f>
        <v>https://yt3.ggpht.com/ytc/AKedOLQE1Jc8l1QmxcaZCz0tXSIdVBeGaKkLZj5w8KTb=s88-c-k-c0x00ffffff-no-rj</v>
      </c>
      <c r="G95" s="66"/>
      <c r="H95" s="70" t="s">
        <v>1497</v>
      </c>
      <c r="I95" s="71"/>
      <c r="J95" s="71" t="s">
        <v>159</v>
      </c>
      <c r="K95" s="70" t="s">
        <v>1497</v>
      </c>
      <c r="L95" s="74">
        <v>1</v>
      </c>
      <c r="M95" s="75">
        <v>4088.93359375</v>
      </c>
      <c r="N95" s="75">
        <v>408.23052978515625</v>
      </c>
      <c r="O95" s="76"/>
      <c r="P95" s="77"/>
      <c r="Q95" s="77"/>
      <c r="R95" s="89"/>
      <c r="S95" s="49">
        <v>0</v>
      </c>
      <c r="T95" s="49">
        <v>1</v>
      </c>
      <c r="U95" s="50">
        <v>0</v>
      </c>
      <c r="V95" s="50">
        <v>0.478122</v>
      </c>
      <c r="W95" s="50">
        <v>0.03471</v>
      </c>
      <c r="X95" s="50">
        <v>0.001935</v>
      </c>
      <c r="Y95" s="50">
        <v>0</v>
      </c>
      <c r="Z95" s="50">
        <v>0</v>
      </c>
      <c r="AA95" s="72">
        <v>95</v>
      </c>
      <c r="AB95" s="72"/>
      <c r="AC95" s="73"/>
      <c r="AD95" s="80" t="s">
        <v>1497</v>
      </c>
      <c r="AE95" s="80" t="s">
        <v>1970</v>
      </c>
      <c r="AF95" s="80"/>
      <c r="AG95" s="80"/>
      <c r="AH95" s="80"/>
      <c r="AI95" s="80"/>
      <c r="AJ95" s="87">
        <v>39858.816782407404</v>
      </c>
      <c r="AK95" s="85" t="str">
        <f>HYPERLINK("https://yt3.ggpht.com/ytc/AKedOLQE1Jc8l1QmxcaZCz0tXSIdVBeGaKkLZj5w8KTb=s88-c-k-c0x00ffffff-no-rj")</f>
        <v>https://yt3.ggpht.com/ytc/AKedOLQE1Jc8l1QmxcaZCz0tXSIdVBeGaKkLZj5w8KTb=s88-c-k-c0x00ffffff-no-rj</v>
      </c>
      <c r="AL95" s="80">
        <v>132989</v>
      </c>
      <c r="AM95" s="80">
        <v>0</v>
      </c>
      <c r="AN95" s="80">
        <v>56</v>
      </c>
      <c r="AO95" s="80" t="b">
        <v>0</v>
      </c>
      <c r="AP95" s="80">
        <v>3</v>
      </c>
      <c r="AQ95" s="80"/>
      <c r="AR95" s="80"/>
      <c r="AS95" s="80" t="s">
        <v>2085</v>
      </c>
      <c r="AT95" s="85" t="str">
        <f>HYPERLINK("https://www.youtube.com/channel/UCViUti-gCVt-mzdDCR5bfDA")</f>
        <v>https://www.youtube.com/channel/UCViUti-gCVt-mzdDCR5bfDA</v>
      </c>
      <c r="AU95" s="80" t="str">
        <f>REPLACE(INDEX(GroupVertices[Group],MATCH(Vertices[[#This Row],[Vertex]],GroupVertices[Vertex],0)),1,1,"")</f>
        <v>1</v>
      </c>
      <c r="AV95" s="49">
        <v>1</v>
      </c>
      <c r="AW95" s="50">
        <v>100</v>
      </c>
      <c r="AX95" s="49">
        <v>0</v>
      </c>
      <c r="AY95" s="50">
        <v>0</v>
      </c>
      <c r="AZ95" s="49">
        <v>0</v>
      </c>
      <c r="BA95" s="50">
        <v>0</v>
      </c>
      <c r="BB95" s="49">
        <v>0</v>
      </c>
      <c r="BC95" s="50">
        <v>0</v>
      </c>
      <c r="BD95" s="49">
        <v>1</v>
      </c>
      <c r="BE95" s="49"/>
      <c r="BF95" s="49"/>
      <c r="BG95" s="49"/>
      <c r="BH95" s="49"/>
      <c r="BI95" s="49"/>
      <c r="BJ95" s="49"/>
      <c r="BK95" s="111" t="s">
        <v>2916</v>
      </c>
      <c r="BL95" s="111" t="s">
        <v>2916</v>
      </c>
      <c r="BM95" s="111" t="s">
        <v>1927</v>
      </c>
      <c r="BN95" s="111" t="s">
        <v>1927</v>
      </c>
      <c r="BO95" s="2"/>
      <c r="BP95" s="3"/>
      <c r="BQ95" s="3"/>
      <c r="BR95" s="3"/>
      <c r="BS95" s="3"/>
    </row>
    <row r="96" spans="1:71" ht="15">
      <c r="A96" s="65" t="s">
        <v>430</v>
      </c>
      <c r="B96" s="66"/>
      <c r="C96" s="66"/>
      <c r="D96" s="67">
        <v>150</v>
      </c>
      <c r="E96" s="69"/>
      <c r="F96" s="103" t="str">
        <f>HYPERLINK("https://yt3.ggpht.com/ytc/AKedOLR9BWMNk04tAohjFGiXAgdzl05UxS-XYPjdbA=s88-c-k-c0x00ffffff-no-rj")</f>
        <v>https://yt3.ggpht.com/ytc/AKedOLR9BWMNk04tAohjFGiXAgdzl05UxS-XYPjdbA=s88-c-k-c0x00ffffff-no-rj</v>
      </c>
      <c r="G96" s="66"/>
      <c r="H96" s="70" t="s">
        <v>1498</v>
      </c>
      <c r="I96" s="71"/>
      <c r="J96" s="71" t="s">
        <v>159</v>
      </c>
      <c r="K96" s="70" t="s">
        <v>1498</v>
      </c>
      <c r="L96" s="74">
        <v>1</v>
      </c>
      <c r="M96" s="75">
        <v>1080.4722900390625</v>
      </c>
      <c r="N96" s="75">
        <v>1931.0435791015625</v>
      </c>
      <c r="O96" s="76"/>
      <c r="P96" s="77"/>
      <c r="Q96" s="77"/>
      <c r="R96" s="89"/>
      <c r="S96" s="49">
        <v>0</v>
      </c>
      <c r="T96" s="49">
        <v>1</v>
      </c>
      <c r="U96" s="50">
        <v>0</v>
      </c>
      <c r="V96" s="50">
        <v>0.478122</v>
      </c>
      <c r="W96" s="50">
        <v>0.03471</v>
      </c>
      <c r="X96" s="50">
        <v>0.001935</v>
      </c>
      <c r="Y96" s="50">
        <v>0</v>
      </c>
      <c r="Z96" s="50">
        <v>0</v>
      </c>
      <c r="AA96" s="72">
        <v>96</v>
      </c>
      <c r="AB96" s="72"/>
      <c r="AC96" s="73"/>
      <c r="AD96" s="80" t="s">
        <v>1498</v>
      </c>
      <c r="AE96" s="80"/>
      <c r="AF96" s="80"/>
      <c r="AG96" s="80"/>
      <c r="AH96" s="80"/>
      <c r="AI96" s="80"/>
      <c r="AJ96" s="87">
        <v>39860.180601851855</v>
      </c>
      <c r="AK96" s="85" t="str">
        <f>HYPERLINK("https://yt3.ggpht.com/ytc/AKedOLR9BWMNk04tAohjFGiXAgdzl05UxS-XYPjdbA=s88-c-k-c0x00ffffff-no-rj")</f>
        <v>https://yt3.ggpht.com/ytc/AKedOLR9BWMNk04tAohjFGiXAgdzl05UxS-XYPjdbA=s88-c-k-c0x00ffffff-no-rj</v>
      </c>
      <c r="AL96" s="80">
        <v>0</v>
      </c>
      <c r="AM96" s="80">
        <v>0</v>
      </c>
      <c r="AN96" s="80">
        <v>2</v>
      </c>
      <c r="AO96" s="80" t="b">
        <v>0</v>
      </c>
      <c r="AP96" s="80">
        <v>0</v>
      </c>
      <c r="AQ96" s="80"/>
      <c r="AR96" s="80"/>
      <c r="AS96" s="80" t="s">
        <v>2085</v>
      </c>
      <c r="AT96" s="85" t="str">
        <f>HYPERLINK("https://www.youtube.com/channel/UCCicWyaGhArRdcW_NgvVrAw")</f>
        <v>https://www.youtube.com/channel/UCCicWyaGhArRdcW_NgvVrAw</v>
      </c>
      <c r="AU96" s="80" t="str">
        <f>REPLACE(INDEX(GroupVertices[Group],MATCH(Vertices[[#This Row],[Vertex]],GroupVertices[Vertex],0)),1,1,"")</f>
        <v>1</v>
      </c>
      <c r="AV96" s="49">
        <v>0</v>
      </c>
      <c r="AW96" s="50">
        <v>0</v>
      </c>
      <c r="AX96" s="49">
        <v>0</v>
      </c>
      <c r="AY96" s="50">
        <v>0</v>
      </c>
      <c r="AZ96" s="49">
        <v>0</v>
      </c>
      <c r="BA96" s="50">
        <v>0</v>
      </c>
      <c r="BB96" s="49">
        <v>12</v>
      </c>
      <c r="BC96" s="50">
        <v>100</v>
      </c>
      <c r="BD96" s="49">
        <v>12</v>
      </c>
      <c r="BE96" s="49"/>
      <c r="BF96" s="49"/>
      <c r="BG96" s="49"/>
      <c r="BH96" s="49"/>
      <c r="BI96" s="49"/>
      <c r="BJ96" s="49"/>
      <c r="BK96" s="111" t="s">
        <v>3487</v>
      </c>
      <c r="BL96" s="111" t="s">
        <v>3487</v>
      </c>
      <c r="BM96" s="111" t="s">
        <v>3938</v>
      </c>
      <c r="BN96" s="111" t="s">
        <v>3938</v>
      </c>
      <c r="BO96" s="2"/>
      <c r="BP96" s="3"/>
      <c r="BQ96" s="3"/>
      <c r="BR96" s="3"/>
      <c r="BS96" s="3"/>
    </row>
    <row r="97" spans="1:71" ht="15">
      <c r="A97" s="65" t="s">
        <v>431</v>
      </c>
      <c r="B97" s="66"/>
      <c r="C97" s="66"/>
      <c r="D97" s="67">
        <v>150</v>
      </c>
      <c r="E97" s="69"/>
      <c r="F97" s="103" t="str">
        <f>HYPERLINK("https://yt3.ggpht.com/ytc/AKedOLT1eVUd6636WQKkqY7KraknltLxlz7RB_B9-hz-VA=s88-c-k-c0x00ffffff-no-rj")</f>
        <v>https://yt3.ggpht.com/ytc/AKedOLT1eVUd6636WQKkqY7KraknltLxlz7RB_B9-hz-VA=s88-c-k-c0x00ffffff-no-rj</v>
      </c>
      <c r="G97" s="66"/>
      <c r="H97" s="70" t="s">
        <v>1499</v>
      </c>
      <c r="I97" s="71"/>
      <c r="J97" s="71" t="s">
        <v>159</v>
      </c>
      <c r="K97" s="70" t="s">
        <v>1499</v>
      </c>
      <c r="L97" s="74">
        <v>1</v>
      </c>
      <c r="M97" s="75">
        <v>6456.822265625</v>
      </c>
      <c r="N97" s="75">
        <v>3990.7138671875</v>
      </c>
      <c r="O97" s="76"/>
      <c r="P97" s="77"/>
      <c r="Q97" s="77"/>
      <c r="R97" s="89"/>
      <c r="S97" s="49">
        <v>0</v>
      </c>
      <c r="T97" s="49">
        <v>1</v>
      </c>
      <c r="U97" s="50">
        <v>0</v>
      </c>
      <c r="V97" s="50">
        <v>0.478122</v>
      </c>
      <c r="W97" s="50">
        <v>0.03471</v>
      </c>
      <c r="X97" s="50">
        <v>0.001935</v>
      </c>
      <c r="Y97" s="50">
        <v>0</v>
      </c>
      <c r="Z97" s="50">
        <v>0</v>
      </c>
      <c r="AA97" s="72">
        <v>97</v>
      </c>
      <c r="AB97" s="72"/>
      <c r="AC97" s="73"/>
      <c r="AD97" s="80" t="s">
        <v>1499</v>
      </c>
      <c r="AE97" s="80"/>
      <c r="AF97" s="80"/>
      <c r="AG97" s="80"/>
      <c r="AH97" s="80"/>
      <c r="AI97" s="80" t="s">
        <v>1499</v>
      </c>
      <c r="AJ97" s="87">
        <v>39807.9515625</v>
      </c>
      <c r="AK97" s="85" t="str">
        <f>HYPERLINK("https://yt3.ggpht.com/ytc/AKedOLT1eVUd6636WQKkqY7KraknltLxlz7RB_B9-hz-VA=s88-c-k-c0x00ffffff-no-rj")</f>
        <v>https://yt3.ggpht.com/ytc/AKedOLT1eVUd6636WQKkqY7KraknltLxlz7RB_B9-hz-VA=s88-c-k-c0x00ffffff-no-rj</v>
      </c>
      <c r="AL97" s="80">
        <v>42203</v>
      </c>
      <c r="AM97" s="80">
        <v>0</v>
      </c>
      <c r="AN97" s="80">
        <v>481</v>
      </c>
      <c r="AO97" s="80" t="b">
        <v>0</v>
      </c>
      <c r="AP97" s="80">
        <v>28</v>
      </c>
      <c r="AQ97" s="80"/>
      <c r="AR97" s="80"/>
      <c r="AS97" s="80" t="s">
        <v>2085</v>
      </c>
      <c r="AT97" s="85" t="str">
        <f>HYPERLINK("https://www.youtube.com/channel/UCwAQe7QX61bTdOycRtPLv0Q")</f>
        <v>https://www.youtube.com/channel/UCwAQe7QX61bTdOycRtPLv0Q</v>
      </c>
      <c r="AU97" s="80" t="str">
        <f>REPLACE(INDEX(GroupVertices[Group],MATCH(Vertices[[#This Row],[Vertex]],GroupVertices[Vertex],0)),1,1,"")</f>
        <v>1</v>
      </c>
      <c r="AV97" s="49">
        <v>1</v>
      </c>
      <c r="AW97" s="50">
        <v>5.2631578947368425</v>
      </c>
      <c r="AX97" s="49">
        <v>0</v>
      </c>
      <c r="AY97" s="50">
        <v>0</v>
      </c>
      <c r="AZ97" s="49">
        <v>0</v>
      </c>
      <c r="BA97" s="50">
        <v>0</v>
      </c>
      <c r="BB97" s="49">
        <v>18</v>
      </c>
      <c r="BC97" s="50">
        <v>94.73684210526316</v>
      </c>
      <c r="BD97" s="49">
        <v>19</v>
      </c>
      <c r="BE97" s="49"/>
      <c r="BF97" s="49"/>
      <c r="BG97" s="49"/>
      <c r="BH97" s="49"/>
      <c r="BI97" s="49"/>
      <c r="BJ97" s="49"/>
      <c r="BK97" s="111" t="s">
        <v>3488</v>
      </c>
      <c r="BL97" s="111" t="s">
        <v>3488</v>
      </c>
      <c r="BM97" s="111" t="s">
        <v>3939</v>
      </c>
      <c r="BN97" s="111" t="s">
        <v>3939</v>
      </c>
      <c r="BO97" s="2"/>
      <c r="BP97" s="3"/>
      <c r="BQ97" s="3"/>
      <c r="BR97" s="3"/>
      <c r="BS97" s="3"/>
    </row>
    <row r="98" spans="1:71" ht="15">
      <c r="A98" s="65" t="s">
        <v>432</v>
      </c>
      <c r="B98" s="66"/>
      <c r="C98" s="66"/>
      <c r="D98" s="67">
        <v>150</v>
      </c>
      <c r="E98" s="69"/>
      <c r="F98" s="103" t="str">
        <f>HYPERLINK("https://yt3.ggpht.com/ytc/AKedOLQu64j3BCq1GjYTlwH_qq5CI6UyS-osqrfsY84=s88-c-k-c0x00ffffff-no-rj")</f>
        <v>https://yt3.ggpht.com/ytc/AKedOLQu64j3BCq1GjYTlwH_qq5CI6UyS-osqrfsY84=s88-c-k-c0x00ffffff-no-rj</v>
      </c>
      <c r="G98" s="66"/>
      <c r="H98" s="70" t="s">
        <v>1500</v>
      </c>
      <c r="I98" s="71"/>
      <c r="J98" s="71" t="s">
        <v>159</v>
      </c>
      <c r="K98" s="70" t="s">
        <v>1500</v>
      </c>
      <c r="L98" s="74">
        <v>1</v>
      </c>
      <c r="M98" s="75">
        <v>7152.67578125</v>
      </c>
      <c r="N98" s="75">
        <v>2257.4970703125</v>
      </c>
      <c r="O98" s="76"/>
      <c r="P98" s="77"/>
      <c r="Q98" s="77"/>
      <c r="R98" s="89"/>
      <c r="S98" s="49">
        <v>0</v>
      </c>
      <c r="T98" s="49">
        <v>1</v>
      </c>
      <c r="U98" s="50">
        <v>0</v>
      </c>
      <c r="V98" s="50">
        <v>0.478122</v>
      </c>
      <c r="W98" s="50">
        <v>0.03471</v>
      </c>
      <c r="X98" s="50">
        <v>0.001935</v>
      </c>
      <c r="Y98" s="50">
        <v>0</v>
      </c>
      <c r="Z98" s="50">
        <v>0</v>
      </c>
      <c r="AA98" s="72">
        <v>98</v>
      </c>
      <c r="AB98" s="72"/>
      <c r="AC98" s="73"/>
      <c r="AD98" s="80" t="s">
        <v>1500</v>
      </c>
      <c r="AE98" s="80" t="s">
        <v>1971</v>
      </c>
      <c r="AF98" s="80"/>
      <c r="AG98" s="80"/>
      <c r="AH98" s="80"/>
      <c r="AI98" s="80"/>
      <c r="AJ98" s="87">
        <v>38959.65576388889</v>
      </c>
      <c r="AK98" s="85" t="str">
        <f>HYPERLINK("https://yt3.ggpht.com/ytc/AKedOLQu64j3BCq1GjYTlwH_qq5CI6UyS-osqrfsY84=s88-c-k-c0x00ffffff-no-rj")</f>
        <v>https://yt3.ggpht.com/ytc/AKedOLQu64j3BCq1GjYTlwH_qq5CI6UyS-osqrfsY84=s88-c-k-c0x00ffffff-no-rj</v>
      </c>
      <c r="AL98" s="80">
        <v>1185</v>
      </c>
      <c r="AM98" s="80">
        <v>0</v>
      </c>
      <c r="AN98" s="80">
        <v>99</v>
      </c>
      <c r="AO98" s="80" t="b">
        <v>0</v>
      </c>
      <c r="AP98" s="80">
        <v>2</v>
      </c>
      <c r="AQ98" s="80"/>
      <c r="AR98" s="80"/>
      <c r="AS98" s="80" t="s">
        <v>2085</v>
      </c>
      <c r="AT98" s="85" t="str">
        <f>HYPERLINK("https://www.youtube.com/channel/UCxlr2X_1Kf3efsrMWTU0XGw")</f>
        <v>https://www.youtube.com/channel/UCxlr2X_1Kf3efsrMWTU0XGw</v>
      </c>
      <c r="AU98" s="80" t="str">
        <f>REPLACE(INDEX(GroupVertices[Group],MATCH(Vertices[[#This Row],[Vertex]],GroupVertices[Vertex],0)),1,1,"")</f>
        <v>1</v>
      </c>
      <c r="AV98" s="49">
        <v>12</v>
      </c>
      <c r="AW98" s="50">
        <v>3.022670025188917</v>
      </c>
      <c r="AX98" s="49">
        <v>12</v>
      </c>
      <c r="AY98" s="50">
        <v>3.022670025188917</v>
      </c>
      <c r="AZ98" s="49">
        <v>0</v>
      </c>
      <c r="BA98" s="50">
        <v>0</v>
      </c>
      <c r="BB98" s="49">
        <v>373</v>
      </c>
      <c r="BC98" s="50">
        <v>93.95465994962217</v>
      </c>
      <c r="BD98" s="49">
        <v>397</v>
      </c>
      <c r="BE98" s="49"/>
      <c r="BF98" s="49"/>
      <c r="BG98" s="49"/>
      <c r="BH98" s="49"/>
      <c r="BI98" s="49"/>
      <c r="BJ98" s="49"/>
      <c r="BK98" s="111" t="s">
        <v>3489</v>
      </c>
      <c r="BL98" s="111" t="s">
        <v>3820</v>
      </c>
      <c r="BM98" s="111" t="s">
        <v>3940</v>
      </c>
      <c r="BN98" s="111" t="s">
        <v>4256</v>
      </c>
      <c r="BO98" s="2"/>
      <c r="BP98" s="3"/>
      <c r="BQ98" s="3"/>
      <c r="BR98" s="3"/>
      <c r="BS98" s="3"/>
    </row>
    <row r="99" spans="1:71" ht="15">
      <c r="A99" s="65" t="s">
        <v>433</v>
      </c>
      <c r="B99" s="66"/>
      <c r="C99" s="66"/>
      <c r="D99" s="67">
        <v>150</v>
      </c>
      <c r="E99" s="69"/>
      <c r="F99" s="103" t="str">
        <f>HYPERLINK("https://yt3.ggpht.com/Q5RgugSa7JPQOUO42jOAk0_trxljhviYNQprqqWKh1odA--hUJ6KUV1HFfRHvGUtnljX8jfG=s88-c-k-c0x00ffffff-no-rj")</f>
        <v>https://yt3.ggpht.com/Q5RgugSa7JPQOUO42jOAk0_trxljhviYNQprqqWKh1odA--hUJ6KUV1HFfRHvGUtnljX8jfG=s88-c-k-c0x00ffffff-no-rj</v>
      </c>
      <c r="G99" s="66"/>
      <c r="H99" s="70" t="s">
        <v>1501</v>
      </c>
      <c r="I99" s="71"/>
      <c r="J99" s="71" t="s">
        <v>159</v>
      </c>
      <c r="K99" s="70" t="s">
        <v>1501</v>
      </c>
      <c r="L99" s="74">
        <v>1</v>
      </c>
      <c r="M99" s="75">
        <v>5964.2763671875</v>
      </c>
      <c r="N99" s="75">
        <v>2442.810791015625</v>
      </c>
      <c r="O99" s="76"/>
      <c r="P99" s="77"/>
      <c r="Q99" s="77"/>
      <c r="R99" s="89"/>
      <c r="S99" s="49">
        <v>0</v>
      </c>
      <c r="T99" s="49">
        <v>1</v>
      </c>
      <c r="U99" s="50">
        <v>0</v>
      </c>
      <c r="V99" s="50">
        <v>0.478122</v>
      </c>
      <c r="W99" s="50">
        <v>0.03471</v>
      </c>
      <c r="X99" s="50">
        <v>0.001935</v>
      </c>
      <c r="Y99" s="50">
        <v>0</v>
      </c>
      <c r="Z99" s="50">
        <v>0</v>
      </c>
      <c r="AA99" s="72">
        <v>99</v>
      </c>
      <c r="AB99" s="72"/>
      <c r="AC99" s="73"/>
      <c r="AD99" s="80" t="s">
        <v>1501</v>
      </c>
      <c r="AE99" s="80" t="s">
        <v>1972</v>
      </c>
      <c r="AF99" s="80"/>
      <c r="AG99" s="80"/>
      <c r="AH99" s="80"/>
      <c r="AI99" s="80"/>
      <c r="AJ99" s="87">
        <v>40307.43070601852</v>
      </c>
      <c r="AK99" s="85" t="str">
        <f>HYPERLINK("https://yt3.ggpht.com/Q5RgugSa7JPQOUO42jOAk0_trxljhviYNQprqqWKh1odA--hUJ6KUV1HFfRHvGUtnljX8jfG=s88-c-k-c0x00ffffff-no-rj")</f>
        <v>https://yt3.ggpht.com/Q5RgugSa7JPQOUO42jOAk0_trxljhviYNQprqqWKh1odA--hUJ6KUV1HFfRHvGUtnljX8jfG=s88-c-k-c0x00ffffff-no-rj</v>
      </c>
      <c r="AL99" s="80">
        <v>125</v>
      </c>
      <c r="AM99" s="80">
        <v>0</v>
      </c>
      <c r="AN99" s="80">
        <v>3</v>
      </c>
      <c r="AO99" s="80" t="b">
        <v>0</v>
      </c>
      <c r="AP99" s="80">
        <v>2</v>
      </c>
      <c r="AQ99" s="80"/>
      <c r="AR99" s="80"/>
      <c r="AS99" s="80" t="s">
        <v>2085</v>
      </c>
      <c r="AT99" s="85" t="str">
        <f>HYPERLINK("https://www.youtube.com/channel/UCD7z5qCfaEUzzE9XroaV_ew")</f>
        <v>https://www.youtube.com/channel/UCD7z5qCfaEUzzE9XroaV_ew</v>
      </c>
      <c r="AU99" s="80" t="str">
        <f>REPLACE(INDEX(GroupVertices[Group],MATCH(Vertices[[#This Row],[Vertex]],GroupVertices[Vertex],0)),1,1,"")</f>
        <v>1</v>
      </c>
      <c r="AV99" s="49">
        <v>0</v>
      </c>
      <c r="AW99" s="50">
        <v>0</v>
      </c>
      <c r="AX99" s="49">
        <v>0</v>
      </c>
      <c r="AY99" s="50">
        <v>0</v>
      </c>
      <c r="AZ99" s="49">
        <v>0</v>
      </c>
      <c r="BA99" s="50">
        <v>0</v>
      </c>
      <c r="BB99" s="49">
        <v>8</v>
      </c>
      <c r="BC99" s="50">
        <v>100</v>
      </c>
      <c r="BD99" s="49">
        <v>8</v>
      </c>
      <c r="BE99" s="49"/>
      <c r="BF99" s="49"/>
      <c r="BG99" s="49"/>
      <c r="BH99" s="49"/>
      <c r="BI99" s="49"/>
      <c r="BJ99" s="49"/>
      <c r="BK99" s="111" t="s">
        <v>3490</v>
      </c>
      <c r="BL99" s="111" t="s">
        <v>3490</v>
      </c>
      <c r="BM99" s="111" t="s">
        <v>3941</v>
      </c>
      <c r="BN99" s="111" t="s">
        <v>3941</v>
      </c>
      <c r="BO99" s="2"/>
      <c r="BP99" s="3"/>
      <c r="BQ99" s="3"/>
      <c r="BR99" s="3"/>
      <c r="BS99" s="3"/>
    </row>
    <row r="100" spans="1:71" ht="15">
      <c r="A100" s="65" t="s">
        <v>434</v>
      </c>
      <c r="B100" s="66"/>
      <c r="C100" s="66"/>
      <c r="D100" s="67">
        <v>150</v>
      </c>
      <c r="E100" s="69"/>
      <c r="F100" s="103" t="str">
        <f>HYPERLINK("https://yt3.ggpht.com/ytc/AKedOLRu85oqvW7JhEogj2_JM2Ii_5HB2jQHh08OJqE4=s88-c-k-c0x00ffffff-no-rj")</f>
        <v>https://yt3.ggpht.com/ytc/AKedOLRu85oqvW7JhEogj2_JM2Ii_5HB2jQHh08OJqE4=s88-c-k-c0x00ffffff-no-rj</v>
      </c>
      <c r="G100" s="66"/>
      <c r="H100" s="70" t="s">
        <v>1502</v>
      </c>
      <c r="I100" s="71"/>
      <c r="J100" s="71" t="s">
        <v>159</v>
      </c>
      <c r="K100" s="70" t="s">
        <v>1502</v>
      </c>
      <c r="L100" s="74">
        <v>1</v>
      </c>
      <c r="M100" s="75">
        <v>5111.009765625</v>
      </c>
      <c r="N100" s="75">
        <v>9387.66015625</v>
      </c>
      <c r="O100" s="76"/>
      <c r="P100" s="77"/>
      <c r="Q100" s="77"/>
      <c r="R100" s="89"/>
      <c r="S100" s="49">
        <v>0</v>
      </c>
      <c r="T100" s="49">
        <v>1</v>
      </c>
      <c r="U100" s="50">
        <v>0</v>
      </c>
      <c r="V100" s="50">
        <v>0.478122</v>
      </c>
      <c r="W100" s="50">
        <v>0.03471</v>
      </c>
      <c r="X100" s="50">
        <v>0.001935</v>
      </c>
      <c r="Y100" s="50">
        <v>0</v>
      </c>
      <c r="Z100" s="50">
        <v>0</v>
      </c>
      <c r="AA100" s="72">
        <v>100</v>
      </c>
      <c r="AB100" s="72"/>
      <c r="AC100" s="73"/>
      <c r="AD100" s="80" t="s">
        <v>1502</v>
      </c>
      <c r="AE100" s="80" t="s">
        <v>1973</v>
      </c>
      <c r="AF100" s="80"/>
      <c r="AG100" s="80"/>
      <c r="AH100" s="80"/>
      <c r="AI100" s="80"/>
      <c r="AJ100" s="87">
        <v>39648.722025462965</v>
      </c>
      <c r="AK100" s="85" t="str">
        <f>HYPERLINK("https://yt3.ggpht.com/ytc/AKedOLRu85oqvW7JhEogj2_JM2Ii_5HB2jQHh08OJqE4=s88-c-k-c0x00ffffff-no-rj")</f>
        <v>https://yt3.ggpht.com/ytc/AKedOLRu85oqvW7JhEogj2_JM2Ii_5HB2jQHh08OJqE4=s88-c-k-c0x00ffffff-no-rj</v>
      </c>
      <c r="AL100" s="80">
        <v>48673</v>
      </c>
      <c r="AM100" s="80">
        <v>0</v>
      </c>
      <c r="AN100" s="80">
        <v>88</v>
      </c>
      <c r="AO100" s="80" t="b">
        <v>0</v>
      </c>
      <c r="AP100" s="80">
        <v>41</v>
      </c>
      <c r="AQ100" s="80"/>
      <c r="AR100" s="80"/>
      <c r="AS100" s="80" t="s">
        <v>2085</v>
      </c>
      <c r="AT100" s="85" t="str">
        <f>HYPERLINK("https://www.youtube.com/channel/UCzOfJgHp5LlnvNR4gQllD-w")</f>
        <v>https://www.youtube.com/channel/UCzOfJgHp5LlnvNR4gQllD-w</v>
      </c>
      <c r="AU100" s="80" t="str">
        <f>REPLACE(INDEX(GroupVertices[Group],MATCH(Vertices[[#This Row],[Vertex]],GroupVertices[Vertex],0)),1,1,"")</f>
        <v>1</v>
      </c>
      <c r="AV100" s="49">
        <v>0</v>
      </c>
      <c r="AW100" s="50">
        <v>0</v>
      </c>
      <c r="AX100" s="49">
        <v>0</v>
      </c>
      <c r="AY100" s="50">
        <v>0</v>
      </c>
      <c r="AZ100" s="49">
        <v>0</v>
      </c>
      <c r="BA100" s="50">
        <v>0</v>
      </c>
      <c r="BB100" s="49">
        <v>15</v>
      </c>
      <c r="BC100" s="50">
        <v>100</v>
      </c>
      <c r="BD100" s="49">
        <v>15</v>
      </c>
      <c r="BE100" s="49"/>
      <c r="BF100" s="49"/>
      <c r="BG100" s="49"/>
      <c r="BH100" s="49"/>
      <c r="BI100" s="49"/>
      <c r="BJ100" s="49"/>
      <c r="BK100" s="111" t="s">
        <v>3491</v>
      </c>
      <c r="BL100" s="111" t="s">
        <v>3491</v>
      </c>
      <c r="BM100" s="111" t="s">
        <v>3942</v>
      </c>
      <c r="BN100" s="111" t="s">
        <v>3942</v>
      </c>
      <c r="BO100" s="2"/>
      <c r="BP100" s="3"/>
      <c r="BQ100" s="3"/>
      <c r="BR100" s="3"/>
      <c r="BS100" s="3"/>
    </row>
    <row r="101" spans="1:71" ht="15">
      <c r="A101" s="65" t="s">
        <v>435</v>
      </c>
      <c r="B101" s="66"/>
      <c r="C101" s="66"/>
      <c r="D101" s="67">
        <v>150</v>
      </c>
      <c r="E101" s="69"/>
      <c r="F101" s="103" t="str">
        <f>HYPERLINK("https://yt3.ggpht.com/ytc/AKedOLQV-T836crRG22JD-cQE2Gtta6Bq9ZAJ0icJaSjEA=s88-c-k-c0x00ffffff-no-rj")</f>
        <v>https://yt3.ggpht.com/ytc/AKedOLQV-T836crRG22JD-cQE2Gtta6Bq9ZAJ0icJaSjEA=s88-c-k-c0x00ffffff-no-rj</v>
      </c>
      <c r="G101" s="66"/>
      <c r="H101" s="70" t="s">
        <v>1503</v>
      </c>
      <c r="I101" s="71"/>
      <c r="J101" s="71" t="s">
        <v>159</v>
      </c>
      <c r="K101" s="70" t="s">
        <v>1503</v>
      </c>
      <c r="L101" s="74">
        <v>1</v>
      </c>
      <c r="M101" s="75">
        <v>2710.551025390625</v>
      </c>
      <c r="N101" s="75">
        <v>9340.9853515625</v>
      </c>
      <c r="O101" s="76"/>
      <c r="P101" s="77"/>
      <c r="Q101" s="77"/>
      <c r="R101" s="89"/>
      <c r="S101" s="49">
        <v>0</v>
      </c>
      <c r="T101" s="49">
        <v>1</v>
      </c>
      <c r="U101" s="50">
        <v>0</v>
      </c>
      <c r="V101" s="50">
        <v>0.478122</v>
      </c>
      <c r="W101" s="50">
        <v>0.03471</v>
      </c>
      <c r="X101" s="50">
        <v>0.001935</v>
      </c>
      <c r="Y101" s="50">
        <v>0</v>
      </c>
      <c r="Z101" s="50">
        <v>0</v>
      </c>
      <c r="AA101" s="72">
        <v>101</v>
      </c>
      <c r="AB101" s="72"/>
      <c r="AC101" s="73"/>
      <c r="AD101" s="80" t="s">
        <v>1503</v>
      </c>
      <c r="AE101" s="80"/>
      <c r="AF101" s="80"/>
      <c r="AG101" s="80"/>
      <c r="AH101" s="80"/>
      <c r="AI101" s="80"/>
      <c r="AJ101" s="87">
        <v>39183.44875</v>
      </c>
      <c r="AK101" s="85" t="str">
        <f>HYPERLINK("https://yt3.ggpht.com/ytc/AKedOLQV-T836crRG22JD-cQE2Gtta6Bq9ZAJ0icJaSjEA=s88-c-k-c0x00ffffff-no-rj")</f>
        <v>https://yt3.ggpht.com/ytc/AKedOLQV-T836crRG22JD-cQE2Gtta6Bq9ZAJ0icJaSjEA=s88-c-k-c0x00ffffff-no-rj</v>
      </c>
      <c r="AL101" s="80">
        <v>0</v>
      </c>
      <c r="AM101" s="80">
        <v>0</v>
      </c>
      <c r="AN101" s="80">
        <v>0</v>
      </c>
      <c r="AO101" s="80" t="b">
        <v>1</v>
      </c>
      <c r="AP101" s="80">
        <v>0</v>
      </c>
      <c r="AQ101" s="80"/>
      <c r="AR101" s="80"/>
      <c r="AS101" s="80" t="s">
        <v>2085</v>
      </c>
      <c r="AT101" s="85" t="str">
        <f>HYPERLINK("https://www.youtube.com/channel/UCKgK_4vy5F___TN3PkqCBTA")</f>
        <v>https://www.youtube.com/channel/UCKgK_4vy5F___TN3PkqCBTA</v>
      </c>
      <c r="AU101" s="80" t="str">
        <f>REPLACE(INDEX(GroupVertices[Group],MATCH(Vertices[[#This Row],[Vertex]],GroupVertices[Vertex],0)),1,1,"")</f>
        <v>1</v>
      </c>
      <c r="AV101" s="49">
        <v>0</v>
      </c>
      <c r="AW101" s="50">
        <v>0</v>
      </c>
      <c r="AX101" s="49">
        <v>0</v>
      </c>
      <c r="AY101" s="50">
        <v>0</v>
      </c>
      <c r="AZ101" s="49">
        <v>0</v>
      </c>
      <c r="BA101" s="50">
        <v>0</v>
      </c>
      <c r="BB101" s="49">
        <v>6</v>
      </c>
      <c r="BC101" s="50">
        <v>100</v>
      </c>
      <c r="BD101" s="49">
        <v>6</v>
      </c>
      <c r="BE101" s="49"/>
      <c r="BF101" s="49"/>
      <c r="BG101" s="49"/>
      <c r="BH101" s="49"/>
      <c r="BI101" s="49"/>
      <c r="BJ101" s="49"/>
      <c r="BK101" s="111" t="s">
        <v>3492</v>
      </c>
      <c r="BL101" s="111" t="s">
        <v>3492</v>
      </c>
      <c r="BM101" s="111" t="s">
        <v>3943</v>
      </c>
      <c r="BN101" s="111" t="s">
        <v>3943</v>
      </c>
      <c r="BO101" s="2"/>
      <c r="BP101" s="3"/>
      <c r="BQ101" s="3"/>
      <c r="BR101" s="3"/>
      <c r="BS101" s="3"/>
    </row>
    <row r="102" spans="1:71" ht="15">
      <c r="A102" s="65" t="s">
        <v>436</v>
      </c>
      <c r="B102" s="66"/>
      <c r="C102" s="66"/>
      <c r="D102" s="67">
        <v>150</v>
      </c>
      <c r="E102" s="69"/>
      <c r="F102" s="103" t="str">
        <f>HYPERLINK("https://yt3.ggpht.com/ytc/AKedOLRDulZjVSQJHGh47HhrUv3nYSffnXhBr3q2YA=s88-c-k-c0x00ffffff-no-rj")</f>
        <v>https://yt3.ggpht.com/ytc/AKedOLRDulZjVSQJHGh47HhrUv3nYSffnXhBr3q2YA=s88-c-k-c0x00ffffff-no-rj</v>
      </c>
      <c r="G102" s="66"/>
      <c r="H102" s="70" t="s">
        <v>1504</v>
      </c>
      <c r="I102" s="71"/>
      <c r="J102" s="71" t="s">
        <v>159</v>
      </c>
      <c r="K102" s="70" t="s">
        <v>1504</v>
      </c>
      <c r="L102" s="74">
        <v>1</v>
      </c>
      <c r="M102" s="75">
        <v>252.73648071289062</v>
      </c>
      <c r="N102" s="75">
        <v>6376.5927734375</v>
      </c>
      <c r="O102" s="76"/>
      <c r="P102" s="77"/>
      <c r="Q102" s="77"/>
      <c r="R102" s="89"/>
      <c r="S102" s="49">
        <v>0</v>
      </c>
      <c r="T102" s="49">
        <v>1</v>
      </c>
      <c r="U102" s="50">
        <v>0</v>
      </c>
      <c r="V102" s="50">
        <v>0.478122</v>
      </c>
      <c r="W102" s="50">
        <v>0.03471</v>
      </c>
      <c r="X102" s="50">
        <v>0.001935</v>
      </c>
      <c r="Y102" s="50">
        <v>0</v>
      </c>
      <c r="Z102" s="50">
        <v>0</v>
      </c>
      <c r="AA102" s="72">
        <v>102</v>
      </c>
      <c r="AB102" s="72"/>
      <c r="AC102" s="73"/>
      <c r="AD102" s="80" t="s">
        <v>1504</v>
      </c>
      <c r="AE102" s="80"/>
      <c r="AF102" s="80"/>
      <c r="AG102" s="80"/>
      <c r="AH102" s="80"/>
      <c r="AI102" s="80"/>
      <c r="AJ102" s="87">
        <v>39711.76752314815</v>
      </c>
      <c r="AK102" s="85" t="str">
        <f>HYPERLINK("https://yt3.ggpht.com/ytc/AKedOLRDulZjVSQJHGh47HhrUv3nYSffnXhBr3q2YA=s88-c-k-c0x00ffffff-no-rj")</f>
        <v>https://yt3.ggpht.com/ytc/AKedOLRDulZjVSQJHGh47HhrUv3nYSffnXhBr3q2YA=s88-c-k-c0x00ffffff-no-rj</v>
      </c>
      <c r="AL102" s="80">
        <v>0</v>
      </c>
      <c r="AM102" s="80">
        <v>0</v>
      </c>
      <c r="AN102" s="80">
        <v>6</v>
      </c>
      <c r="AO102" s="80" t="b">
        <v>0</v>
      </c>
      <c r="AP102" s="80">
        <v>0</v>
      </c>
      <c r="AQ102" s="80"/>
      <c r="AR102" s="80"/>
      <c r="AS102" s="80" t="s">
        <v>2085</v>
      </c>
      <c r="AT102" s="85" t="str">
        <f>HYPERLINK("https://www.youtube.com/channel/UCalKrFmeBM-gF2su6yGVEfA")</f>
        <v>https://www.youtube.com/channel/UCalKrFmeBM-gF2su6yGVEfA</v>
      </c>
      <c r="AU102" s="80" t="str">
        <f>REPLACE(INDEX(GroupVertices[Group],MATCH(Vertices[[#This Row],[Vertex]],GroupVertices[Vertex],0)),1,1,"")</f>
        <v>1</v>
      </c>
      <c r="AV102" s="49">
        <v>17</v>
      </c>
      <c r="AW102" s="50">
        <v>2.4566473988439306</v>
      </c>
      <c r="AX102" s="49">
        <v>17</v>
      </c>
      <c r="AY102" s="50">
        <v>2.4566473988439306</v>
      </c>
      <c r="AZ102" s="49">
        <v>0</v>
      </c>
      <c r="BA102" s="50">
        <v>0</v>
      </c>
      <c r="BB102" s="49">
        <v>658</v>
      </c>
      <c r="BC102" s="50">
        <v>95.08670520231213</v>
      </c>
      <c r="BD102" s="49">
        <v>692</v>
      </c>
      <c r="BE102" s="49"/>
      <c r="BF102" s="49"/>
      <c r="BG102" s="49"/>
      <c r="BH102" s="49"/>
      <c r="BI102" s="49"/>
      <c r="BJ102" s="49"/>
      <c r="BK102" s="111" t="s">
        <v>3493</v>
      </c>
      <c r="BL102" s="111" t="s">
        <v>3821</v>
      </c>
      <c r="BM102" s="111" t="s">
        <v>3944</v>
      </c>
      <c r="BN102" s="111" t="s">
        <v>4257</v>
      </c>
      <c r="BO102" s="2"/>
      <c r="BP102" s="3"/>
      <c r="BQ102" s="3"/>
      <c r="BR102" s="3"/>
      <c r="BS102" s="3"/>
    </row>
    <row r="103" spans="1:71" ht="15">
      <c r="A103" s="65" t="s">
        <v>437</v>
      </c>
      <c r="B103" s="66"/>
      <c r="C103" s="66"/>
      <c r="D103" s="67">
        <v>150</v>
      </c>
      <c r="E103" s="69"/>
      <c r="F103" s="103" t="str">
        <f>HYPERLINK("https://yt3.ggpht.com/ytc/AKedOLRLPZdGGfk6owSWYnWPIUnuX-I7zYh2NYrKjRh9=s88-c-k-c0x00ffffff-no-rj")</f>
        <v>https://yt3.ggpht.com/ytc/AKedOLRLPZdGGfk6owSWYnWPIUnuX-I7zYh2NYrKjRh9=s88-c-k-c0x00ffffff-no-rj</v>
      </c>
      <c r="G103" s="66"/>
      <c r="H103" s="70" t="s">
        <v>1505</v>
      </c>
      <c r="I103" s="71"/>
      <c r="J103" s="71" t="s">
        <v>159</v>
      </c>
      <c r="K103" s="70" t="s">
        <v>1505</v>
      </c>
      <c r="L103" s="74">
        <v>1</v>
      </c>
      <c r="M103" s="75">
        <v>9892.853515625</v>
      </c>
      <c r="N103" s="75">
        <v>7767.63916015625</v>
      </c>
      <c r="O103" s="76"/>
      <c r="P103" s="77"/>
      <c r="Q103" s="77"/>
      <c r="R103" s="89"/>
      <c r="S103" s="49">
        <v>0</v>
      </c>
      <c r="T103" s="49">
        <v>2</v>
      </c>
      <c r="U103" s="50">
        <v>0</v>
      </c>
      <c r="V103" s="50">
        <v>0.478632</v>
      </c>
      <c r="W103" s="50">
        <v>0.036546</v>
      </c>
      <c r="X103" s="50">
        <v>0.002044</v>
      </c>
      <c r="Y103" s="50">
        <v>0.5</v>
      </c>
      <c r="Z103" s="50">
        <v>0</v>
      </c>
      <c r="AA103" s="72">
        <v>103</v>
      </c>
      <c r="AB103" s="72"/>
      <c r="AC103" s="73"/>
      <c r="AD103" s="80" t="s">
        <v>1505</v>
      </c>
      <c r="AE103" s="80"/>
      <c r="AF103" s="80"/>
      <c r="AG103" s="80"/>
      <c r="AH103" s="80"/>
      <c r="AI103" s="80"/>
      <c r="AJ103" s="87">
        <v>39300.099178240744</v>
      </c>
      <c r="AK103" s="85" t="str">
        <f>HYPERLINK("https://yt3.ggpht.com/ytc/AKedOLRLPZdGGfk6owSWYnWPIUnuX-I7zYh2NYrKjRh9=s88-c-k-c0x00ffffff-no-rj")</f>
        <v>https://yt3.ggpht.com/ytc/AKedOLRLPZdGGfk6owSWYnWPIUnuX-I7zYh2NYrKjRh9=s88-c-k-c0x00ffffff-no-rj</v>
      </c>
      <c r="AL103" s="80">
        <v>0</v>
      </c>
      <c r="AM103" s="80">
        <v>0</v>
      </c>
      <c r="AN103" s="80">
        <v>15</v>
      </c>
      <c r="AO103" s="80" t="b">
        <v>0</v>
      </c>
      <c r="AP103" s="80">
        <v>0</v>
      </c>
      <c r="AQ103" s="80"/>
      <c r="AR103" s="80"/>
      <c r="AS103" s="80" t="s">
        <v>2085</v>
      </c>
      <c r="AT103" s="85" t="str">
        <f>HYPERLINK("https://www.youtube.com/channel/UCqJ4icbP_lB6SxjqE9vhvEQ")</f>
        <v>https://www.youtube.com/channel/UCqJ4icbP_lB6SxjqE9vhvEQ</v>
      </c>
      <c r="AU103" s="80" t="str">
        <f>REPLACE(INDEX(GroupVertices[Group],MATCH(Vertices[[#This Row],[Vertex]],GroupVertices[Vertex],0)),1,1,"")</f>
        <v>3</v>
      </c>
      <c r="AV103" s="49">
        <v>2</v>
      </c>
      <c r="AW103" s="50">
        <v>1.3245033112582782</v>
      </c>
      <c r="AX103" s="49">
        <v>4</v>
      </c>
      <c r="AY103" s="50">
        <v>2.6490066225165565</v>
      </c>
      <c r="AZ103" s="49">
        <v>0</v>
      </c>
      <c r="BA103" s="50">
        <v>0</v>
      </c>
      <c r="BB103" s="49">
        <v>145</v>
      </c>
      <c r="BC103" s="50">
        <v>96.02649006622516</v>
      </c>
      <c r="BD103" s="49">
        <v>151</v>
      </c>
      <c r="BE103" s="49" t="s">
        <v>3246</v>
      </c>
      <c r="BF103" s="49" t="s">
        <v>3246</v>
      </c>
      <c r="BG103" s="49" t="s">
        <v>1922</v>
      </c>
      <c r="BH103" s="49" t="s">
        <v>1922</v>
      </c>
      <c r="BI103" s="49"/>
      <c r="BJ103" s="49"/>
      <c r="BK103" s="111" t="s">
        <v>3494</v>
      </c>
      <c r="BL103" s="111" t="s">
        <v>3494</v>
      </c>
      <c r="BM103" s="111" t="s">
        <v>3945</v>
      </c>
      <c r="BN103" s="111" t="s">
        <v>3945</v>
      </c>
      <c r="BO103" s="2"/>
      <c r="BP103" s="3"/>
      <c r="BQ103" s="3"/>
      <c r="BR103" s="3"/>
      <c r="BS103" s="3"/>
    </row>
    <row r="104" spans="1:71" ht="15">
      <c r="A104" s="65" t="s">
        <v>439</v>
      </c>
      <c r="B104" s="66"/>
      <c r="C104" s="66"/>
      <c r="D104" s="67">
        <v>150.35935738444195</v>
      </c>
      <c r="E104" s="69"/>
      <c r="F104" s="103" t="str">
        <f>HYPERLINK("https://yt3.ggpht.com/ytc/AKedOLRydj7o4YEJHp2jkw8on7_Ruitg57QK3tnOP04n=s88-c-k-c0x00ffffff-no-rj")</f>
        <v>https://yt3.ggpht.com/ytc/AKedOLRydj7o4YEJHp2jkw8on7_Ruitg57QK3tnOP04n=s88-c-k-c0x00ffffff-no-rj</v>
      </c>
      <c r="G104" s="66"/>
      <c r="H104" s="70" t="s">
        <v>1507</v>
      </c>
      <c r="I104" s="71"/>
      <c r="J104" s="71" t="s">
        <v>75</v>
      </c>
      <c r="K104" s="70" t="s">
        <v>1507</v>
      </c>
      <c r="L104" s="74">
        <v>1.1500108779642453</v>
      </c>
      <c r="M104" s="75">
        <v>9633.404296875</v>
      </c>
      <c r="N104" s="75">
        <v>7623.35888671875</v>
      </c>
      <c r="O104" s="76"/>
      <c r="P104" s="77"/>
      <c r="Q104" s="77"/>
      <c r="R104" s="89"/>
      <c r="S104" s="49">
        <v>2</v>
      </c>
      <c r="T104" s="49">
        <v>1</v>
      </c>
      <c r="U104" s="50">
        <v>3</v>
      </c>
      <c r="V104" s="50">
        <v>0.480171</v>
      </c>
      <c r="W104" s="50">
        <v>0.038305</v>
      </c>
      <c r="X104" s="50">
        <v>0.002171</v>
      </c>
      <c r="Y104" s="50">
        <v>0.3333333333333333</v>
      </c>
      <c r="Z104" s="50">
        <v>0</v>
      </c>
      <c r="AA104" s="72">
        <v>104</v>
      </c>
      <c r="AB104" s="72"/>
      <c r="AC104" s="73"/>
      <c r="AD104" s="80" t="s">
        <v>1507</v>
      </c>
      <c r="AE104" s="80"/>
      <c r="AF104" s="80"/>
      <c r="AG104" s="80"/>
      <c r="AH104" s="80"/>
      <c r="AI104" s="80"/>
      <c r="AJ104" s="87">
        <v>39587.497199074074</v>
      </c>
      <c r="AK104" s="85" t="str">
        <f>HYPERLINK("https://yt3.ggpht.com/ytc/AKedOLRydj7o4YEJHp2jkw8on7_Ruitg57QK3tnOP04n=s88-c-k-c0x00ffffff-no-rj")</f>
        <v>https://yt3.ggpht.com/ytc/AKedOLRydj7o4YEJHp2jkw8on7_Ruitg57QK3tnOP04n=s88-c-k-c0x00ffffff-no-rj</v>
      </c>
      <c r="AL104" s="80">
        <v>5989</v>
      </c>
      <c r="AM104" s="80">
        <v>0</v>
      </c>
      <c r="AN104" s="80">
        <v>5</v>
      </c>
      <c r="AO104" s="80" t="b">
        <v>0</v>
      </c>
      <c r="AP104" s="80">
        <v>1</v>
      </c>
      <c r="AQ104" s="80"/>
      <c r="AR104" s="80"/>
      <c r="AS104" s="80" t="s">
        <v>2085</v>
      </c>
      <c r="AT104" s="85" t="str">
        <f>HYPERLINK("https://www.youtube.com/channel/UC8arHXt-X0QMxaO3HBnMShQ")</f>
        <v>https://www.youtube.com/channel/UC8arHXt-X0QMxaO3HBnMShQ</v>
      </c>
      <c r="AU104" s="80" t="str">
        <f>REPLACE(INDEX(GroupVertices[Group],MATCH(Vertices[[#This Row],[Vertex]],GroupVertices[Vertex],0)),1,1,"")</f>
        <v>3</v>
      </c>
      <c r="AV104" s="49">
        <v>1</v>
      </c>
      <c r="AW104" s="50">
        <v>3.3333333333333335</v>
      </c>
      <c r="AX104" s="49">
        <v>1</v>
      </c>
      <c r="AY104" s="50">
        <v>3.3333333333333335</v>
      </c>
      <c r="AZ104" s="49">
        <v>0</v>
      </c>
      <c r="BA104" s="50">
        <v>0</v>
      </c>
      <c r="BB104" s="49">
        <v>28</v>
      </c>
      <c r="BC104" s="50">
        <v>93.33333333333333</v>
      </c>
      <c r="BD104" s="49">
        <v>30</v>
      </c>
      <c r="BE104" s="49"/>
      <c r="BF104" s="49"/>
      <c r="BG104" s="49"/>
      <c r="BH104" s="49"/>
      <c r="BI104" s="49"/>
      <c r="BJ104" s="49"/>
      <c r="BK104" s="111" t="s">
        <v>3495</v>
      </c>
      <c r="BL104" s="111" t="s">
        <v>3495</v>
      </c>
      <c r="BM104" s="111" t="s">
        <v>3946</v>
      </c>
      <c r="BN104" s="111" t="s">
        <v>3946</v>
      </c>
      <c r="BO104" s="2"/>
      <c r="BP104" s="3"/>
      <c r="BQ104" s="3"/>
      <c r="BR104" s="3"/>
      <c r="BS104" s="3"/>
    </row>
    <row r="105" spans="1:71" ht="15">
      <c r="A105" s="65" t="s">
        <v>438</v>
      </c>
      <c r="B105" s="66"/>
      <c r="C105" s="66"/>
      <c r="D105" s="67">
        <v>364.11710822998873</v>
      </c>
      <c r="E105" s="69"/>
      <c r="F105" s="103" t="str">
        <f>HYPERLINK("https://yt3.ggpht.com/ytc/AKedOLRMgk-vlHzjjKNuN6k_ewU6RGU6yYLp5qXeoTKVEw=s88-c-k-c0x00ffffff-no-rj")</f>
        <v>https://yt3.ggpht.com/ytc/AKedOLRMgk-vlHzjjKNuN6k_ewU6RGU6yYLp5qXeoTKVEw=s88-c-k-c0x00ffffff-no-rj</v>
      </c>
      <c r="G105" s="66"/>
      <c r="H105" s="70" t="s">
        <v>1506</v>
      </c>
      <c r="I105" s="71"/>
      <c r="J105" s="71" t="s">
        <v>75</v>
      </c>
      <c r="K105" s="70" t="s">
        <v>1506</v>
      </c>
      <c r="L105" s="74">
        <v>90.38148145369614</v>
      </c>
      <c r="M105" s="75">
        <v>9388.181640625</v>
      </c>
      <c r="N105" s="75">
        <v>7387.77587890625</v>
      </c>
      <c r="O105" s="76"/>
      <c r="P105" s="77"/>
      <c r="Q105" s="77"/>
      <c r="R105" s="89"/>
      <c r="S105" s="49">
        <v>2</v>
      </c>
      <c r="T105" s="49">
        <v>3</v>
      </c>
      <c r="U105" s="50">
        <v>1787.5</v>
      </c>
      <c r="V105" s="50">
        <v>0.48172</v>
      </c>
      <c r="W105" s="50">
        <v>0.038489</v>
      </c>
      <c r="X105" s="50">
        <v>0.002743</v>
      </c>
      <c r="Y105" s="50">
        <v>0.1</v>
      </c>
      <c r="Z105" s="50">
        <v>0</v>
      </c>
      <c r="AA105" s="72">
        <v>105</v>
      </c>
      <c r="AB105" s="72"/>
      <c r="AC105" s="73"/>
      <c r="AD105" s="80" t="s">
        <v>1506</v>
      </c>
      <c r="AE105" s="80"/>
      <c r="AF105" s="80"/>
      <c r="AG105" s="80"/>
      <c r="AH105" s="80"/>
      <c r="AI105" s="80"/>
      <c r="AJ105" s="87">
        <v>42624.72081018519</v>
      </c>
      <c r="AK105" s="85" t="str">
        <f>HYPERLINK("https://yt3.ggpht.com/ytc/AKedOLRMgk-vlHzjjKNuN6k_ewU6RGU6yYLp5qXeoTKVEw=s88-c-k-c0x00ffffff-no-rj")</f>
        <v>https://yt3.ggpht.com/ytc/AKedOLRMgk-vlHzjjKNuN6k_ewU6RGU6yYLp5qXeoTKVEw=s88-c-k-c0x00ffffff-no-rj</v>
      </c>
      <c r="AL105" s="80">
        <v>1608</v>
      </c>
      <c r="AM105" s="80">
        <v>0</v>
      </c>
      <c r="AN105" s="80">
        <v>13</v>
      </c>
      <c r="AO105" s="80" t="b">
        <v>0</v>
      </c>
      <c r="AP105" s="80">
        <v>2</v>
      </c>
      <c r="AQ105" s="80"/>
      <c r="AR105" s="80"/>
      <c r="AS105" s="80" t="s">
        <v>2085</v>
      </c>
      <c r="AT105" s="85" t="str">
        <f>HYPERLINK("https://www.youtube.com/channel/UCyqRPzzVpb3nxouv8ngDnrA")</f>
        <v>https://www.youtube.com/channel/UCyqRPzzVpb3nxouv8ngDnrA</v>
      </c>
      <c r="AU105" s="80" t="str">
        <f>REPLACE(INDEX(GroupVertices[Group],MATCH(Vertices[[#This Row],[Vertex]],GroupVertices[Vertex],0)),1,1,"")</f>
        <v>3</v>
      </c>
      <c r="AV105" s="49">
        <v>5</v>
      </c>
      <c r="AW105" s="50">
        <v>1.1111111111111112</v>
      </c>
      <c r="AX105" s="49">
        <v>10</v>
      </c>
      <c r="AY105" s="50">
        <v>2.2222222222222223</v>
      </c>
      <c r="AZ105" s="49">
        <v>0</v>
      </c>
      <c r="BA105" s="50">
        <v>0</v>
      </c>
      <c r="BB105" s="49">
        <v>435</v>
      </c>
      <c r="BC105" s="50">
        <v>96.66666666666667</v>
      </c>
      <c r="BD105" s="49">
        <v>450</v>
      </c>
      <c r="BE105" s="49"/>
      <c r="BF105" s="49"/>
      <c r="BG105" s="49"/>
      <c r="BH105" s="49"/>
      <c r="BI105" s="49"/>
      <c r="BJ105" s="49"/>
      <c r="BK105" s="111" t="s">
        <v>3496</v>
      </c>
      <c r="BL105" s="111" t="s">
        <v>3496</v>
      </c>
      <c r="BM105" s="111" t="s">
        <v>3375</v>
      </c>
      <c r="BN105" s="111" t="s">
        <v>4258</v>
      </c>
      <c r="BO105" s="2"/>
      <c r="BP105" s="3"/>
      <c r="BQ105" s="3"/>
      <c r="BR105" s="3"/>
      <c r="BS105" s="3"/>
    </row>
    <row r="106" spans="1:71" ht="15">
      <c r="A106" s="65" t="s">
        <v>440</v>
      </c>
      <c r="B106" s="66"/>
      <c r="C106" s="66"/>
      <c r="D106" s="67">
        <v>150</v>
      </c>
      <c r="E106" s="69"/>
      <c r="F106" s="103" t="str">
        <f>HYPERLINK("https://yt3.ggpht.com/ytc/AKedOLTuw8JeM99S0Iudtct6QFtOYIvgSeFcL7vb4Q=s88-c-k-c0x00ffffff-no-rj")</f>
        <v>https://yt3.ggpht.com/ytc/AKedOLTuw8JeM99S0Iudtct6QFtOYIvgSeFcL7vb4Q=s88-c-k-c0x00ffffff-no-rj</v>
      </c>
      <c r="G106" s="66"/>
      <c r="H106" s="70" t="s">
        <v>1508</v>
      </c>
      <c r="I106" s="71"/>
      <c r="J106" s="71" t="s">
        <v>159</v>
      </c>
      <c r="K106" s="70" t="s">
        <v>1508</v>
      </c>
      <c r="L106" s="74">
        <v>1</v>
      </c>
      <c r="M106" s="75">
        <v>7469.318359375</v>
      </c>
      <c r="N106" s="75">
        <v>4657.5302734375</v>
      </c>
      <c r="O106" s="76"/>
      <c r="P106" s="77"/>
      <c r="Q106" s="77"/>
      <c r="R106" s="89"/>
      <c r="S106" s="49">
        <v>0</v>
      </c>
      <c r="T106" s="49">
        <v>1</v>
      </c>
      <c r="U106" s="50">
        <v>0</v>
      </c>
      <c r="V106" s="50">
        <v>0.478122</v>
      </c>
      <c r="W106" s="50">
        <v>0.03471</v>
      </c>
      <c r="X106" s="50">
        <v>0.001935</v>
      </c>
      <c r="Y106" s="50">
        <v>0</v>
      </c>
      <c r="Z106" s="50">
        <v>0</v>
      </c>
      <c r="AA106" s="72">
        <v>106</v>
      </c>
      <c r="AB106" s="72"/>
      <c r="AC106" s="73"/>
      <c r="AD106" s="80" t="s">
        <v>1508</v>
      </c>
      <c r="AE106" s="80"/>
      <c r="AF106" s="80"/>
      <c r="AG106" s="80"/>
      <c r="AH106" s="80"/>
      <c r="AI106" s="80"/>
      <c r="AJ106" s="87">
        <v>40991.85841435185</v>
      </c>
      <c r="AK106" s="85" t="str">
        <f>HYPERLINK("https://yt3.ggpht.com/ytc/AKedOLTuw8JeM99S0Iudtct6QFtOYIvgSeFcL7vb4Q=s88-c-k-c0x00ffffff-no-rj")</f>
        <v>https://yt3.ggpht.com/ytc/AKedOLTuw8JeM99S0Iudtct6QFtOYIvgSeFcL7vb4Q=s88-c-k-c0x00ffffff-no-rj</v>
      </c>
      <c r="AL106" s="80">
        <v>0</v>
      </c>
      <c r="AM106" s="80">
        <v>0</v>
      </c>
      <c r="AN106" s="80">
        <v>0</v>
      </c>
      <c r="AO106" s="80" t="b">
        <v>0</v>
      </c>
      <c r="AP106" s="80">
        <v>0</v>
      </c>
      <c r="AQ106" s="80"/>
      <c r="AR106" s="80"/>
      <c r="AS106" s="80" t="s">
        <v>2085</v>
      </c>
      <c r="AT106" s="85" t="str">
        <f>HYPERLINK("https://www.youtube.com/channel/UCQ6uCr5xhqJYoPqMsNUl8dQ")</f>
        <v>https://www.youtube.com/channel/UCQ6uCr5xhqJYoPqMsNUl8dQ</v>
      </c>
      <c r="AU106" s="80" t="str">
        <f>REPLACE(INDEX(GroupVertices[Group],MATCH(Vertices[[#This Row],[Vertex]],GroupVertices[Vertex],0)),1,1,"")</f>
        <v>1</v>
      </c>
      <c r="AV106" s="49">
        <v>0</v>
      </c>
      <c r="AW106" s="50">
        <v>0</v>
      </c>
      <c r="AX106" s="49">
        <v>0</v>
      </c>
      <c r="AY106" s="50">
        <v>0</v>
      </c>
      <c r="AZ106" s="49">
        <v>0</v>
      </c>
      <c r="BA106" s="50">
        <v>0</v>
      </c>
      <c r="BB106" s="49">
        <v>5</v>
      </c>
      <c r="BC106" s="50">
        <v>100</v>
      </c>
      <c r="BD106" s="49">
        <v>5</v>
      </c>
      <c r="BE106" s="49"/>
      <c r="BF106" s="49"/>
      <c r="BG106" s="49"/>
      <c r="BH106" s="49"/>
      <c r="BI106" s="49"/>
      <c r="BJ106" s="49"/>
      <c r="BK106" s="111" t="s">
        <v>2543</v>
      </c>
      <c r="BL106" s="111" t="s">
        <v>2543</v>
      </c>
      <c r="BM106" s="111" t="s">
        <v>1927</v>
      </c>
      <c r="BN106" s="111" t="s">
        <v>1927</v>
      </c>
      <c r="BO106" s="2"/>
      <c r="BP106" s="3"/>
      <c r="BQ106" s="3"/>
      <c r="BR106" s="3"/>
      <c r="BS106" s="3"/>
    </row>
    <row r="107" spans="1:71" ht="15">
      <c r="A107" s="65" t="s">
        <v>441</v>
      </c>
      <c r="B107" s="66"/>
      <c r="C107" s="66"/>
      <c r="D107" s="67">
        <v>150</v>
      </c>
      <c r="E107" s="69"/>
      <c r="F107" s="103" t="str">
        <f>HYPERLINK("https://yt3.ggpht.com/ytc/AKedOLQ6tefShAXiOsAs9hgqFVS-CtxdgeyqeOcmXGFy=s88-c-k-c0x00ffffff-no-rj")</f>
        <v>https://yt3.ggpht.com/ytc/AKedOLQ6tefShAXiOsAs9hgqFVS-CtxdgeyqeOcmXGFy=s88-c-k-c0x00ffffff-no-rj</v>
      </c>
      <c r="G107" s="66"/>
      <c r="H107" s="70" t="s">
        <v>1509</v>
      </c>
      <c r="I107" s="71"/>
      <c r="J107" s="71" t="s">
        <v>159</v>
      </c>
      <c r="K107" s="70" t="s">
        <v>1509</v>
      </c>
      <c r="L107" s="74">
        <v>1</v>
      </c>
      <c r="M107" s="75">
        <v>2285.568359375</v>
      </c>
      <c r="N107" s="75">
        <v>958.0098266601562</v>
      </c>
      <c r="O107" s="76"/>
      <c r="P107" s="77"/>
      <c r="Q107" s="77"/>
      <c r="R107" s="89"/>
      <c r="S107" s="49">
        <v>0</v>
      </c>
      <c r="T107" s="49">
        <v>1</v>
      </c>
      <c r="U107" s="50">
        <v>0</v>
      </c>
      <c r="V107" s="50">
        <v>0.478122</v>
      </c>
      <c r="W107" s="50">
        <v>0.03471</v>
      </c>
      <c r="X107" s="50">
        <v>0.001935</v>
      </c>
      <c r="Y107" s="50">
        <v>0</v>
      </c>
      <c r="Z107" s="50">
        <v>0</v>
      </c>
      <c r="AA107" s="72">
        <v>107</v>
      </c>
      <c r="AB107" s="72"/>
      <c r="AC107" s="73"/>
      <c r="AD107" s="80" t="s">
        <v>1509</v>
      </c>
      <c r="AE107" s="80"/>
      <c r="AF107" s="80"/>
      <c r="AG107" s="80"/>
      <c r="AH107" s="80"/>
      <c r="AI107" s="80"/>
      <c r="AJ107" s="87">
        <v>40464.16011574074</v>
      </c>
      <c r="AK107" s="85" t="str">
        <f>HYPERLINK("https://yt3.ggpht.com/ytc/AKedOLQ6tefShAXiOsAs9hgqFVS-CtxdgeyqeOcmXGFy=s88-c-k-c0x00ffffff-no-rj")</f>
        <v>https://yt3.ggpht.com/ytc/AKedOLQ6tefShAXiOsAs9hgqFVS-CtxdgeyqeOcmXGFy=s88-c-k-c0x00ffffff-no-rj</v>
      </c>
      <c r="AL107" s="80">
        <v>612</v>
      </c>
      <c r="AM107" s="80">
        <v>0</v>
      </c>
      <c r="AN107" s="80">
        <v>1190</v>
      </c>
      <c r="AO107" s="80" t="b">
        <v>0</v>
      </c>
      <c r="AP107" s="80">
        <v>5</v>
      </c>
      <c r="AQ107" s="80"/>
      <c r="AR107" s="80"/>
      <c r="AS107" s="80" t="s">
        <v>2085</v>
      </c>
      <c r="AT107" s="85" t="str">
        <f>HYPERLINK("https://www.youtube.com/channel/UCpgmN2y1t17F3EckpZk79NQ")</f>
        <v>https://www.youtube.com/channel/UCpgmN2y1t17F3EckpZk79NQ</v>
      </c>
      <c r="AU107" s="80" t="str">
        <f>REPLACE(INDEX(GroupVertices[Group],MATCH(Vertices[[#This Row],[Vertex]],GroupVertices[Vertex],0)),1,1,"")</f>
        <v>1</v>
      </c>
      <c r="AV107" s="49">
        <v>0</v>
      </c>
      <c r="AW107" s="50">
        <v>0</v>
      </c>
      <c r="AX107" s="49">
        <v>0</v>
      </c>
      <c r="AY107" s="50">
        <v>0</v>
      </c>
      <c r="AZ107" s="49">
        <v>0</v>
      </c>
      <c r="BA107" s="50">
        <v>0</v>
      </c>
      <c r="BB107" s="49">
        <v>8</v>
      </c>
      <c r="BC107" s="50">
        <v>100</v>
      </c>
      <c r="BD107" s="49">
        <v>8</v>
      </c>
      <c r="BE107" s="49"/>
      <c r="BF107" s="49"/>
      <c r="BG107" s="49"/>
      <c r="BH107" s="49"/>
      <c r="BI107" s="49"/>
      <c r="BJ107" s="49"/>
      <c r="BK107" s="111" t="s">
        <v>3497</v>
      </c>
      <c r="BL107" s="111" t="s">
        <v>3497</v>
      </c>
      <c r="BM107" s="111" t="s">
        <v>3947</v>
      </c>
      <c r="BN107" s="111" t="s">
        <v>3947</v>
      </c>
      <c r="BO107" s="2"/>
      <c r="BP107" s="3"/>
      <c r="BQ107" s="3"/>
      <c r="BR107" s="3"/>
      <c r="BS107" s="3"/>
    </row>
    <row r="108" spans="1:71" ht="15">
      <c r="A108" s="65" t="s">
        <v>442</v>
      </c>
      <c r="B108" s="66"/>
      <c r="C108" s="66"/>
      <c r="D108" s="67">
        <v>150</v>
      </c>
      <c r="E108" s="69"/>
      <c r="F108" s="103" t="str">
        <f>HYPERLINK("https://yt3.ggpht.com/ytc/AKedOLQxWFpmbAHGqgjS3kIhyZ3ApXlsI2ru-mWLzQ=s88-c-k-c0x00ffffff-no-rj")</f>
        <v>https://yt3.ggpht.com/ytc/AKedOLQxWFpmbAHGqgjS3kIhyZ3ApXlsI2ru-mWLzQ=s88-c-k-c0x00ffffff-no-rj</v>
      </c>
      <c r="G108" s="66"/>
      <c r="H108" s="70" t="s">
        <v>1510</v>
      </c>
      <c r="I108" s="71"/>
      <c r="J108" s="71" t="s">
        <v>159</v>
      </c>
      <c r="K108" s="70" t="s">
        <v>1510</v>
      </c>
      <c r="L108" s="74">
        <v>1</v>
      </c>
      <c r="M108" s="75">
        <v>1750.763916015625</v>
      </c>
      <c r="N108" s="75">
        <v>1096.736083984375</v>
      </c>
      <c r="O108" s="76"/>
      <c r="P108" s="77"/>
      <c r="Q108" s="77"/>
      <c r="R108" s="89"/>
      <c r="S108" s="49">
        <v>0</v>
      </c>
      <c r="T108" s="49">
        <v>1</v>
      </c>
      <c r="U108" s="50">
        <v>0</v>
      </c>
      <c r="V108" s="50">
        <v>0.478122</v>
      </c>
      <c r="W108" s="50">
        <v>0.03471</v>
      </c>
      <c r="X108" s="50">
        <v>0.001935</v>
      </c>
      <c r="Y108" s="50">
        <v>0</v>
      </c>
      <c r="Z108" s="50">
        <v>0</v>
      </c>
      <c r="AA108" s="72">
        <v>108</v>
      </c>
      <c r="AB108" s="72"/>
      <c r="AC108" s="73"/>
      <c r="AD108" s="80" t="s">
        <v>1510</v>
      </c>
      <c r="AE108" s="80" t="s">
        <v>1974</v>
      </c>
      <c r="AF108" s="80"/>
      <c r="AG108" s="80"/>
      <c r="AH108" s="80"/>
      <c r="AI108" s="80"/>
      <c r="AJ108" s="87">
        <v>40103.318460648145</v>
      </c>
      <c r="AK108" s="85" t="str">
        <f>HYPERLINK("https://yt3.ggpht.com/ytc/AKedOLQxWFpmbAHGqgjS3kIhyZ3ApXlsI2ru-mWLzQ=s88-c-k-c0x00ffffff-no-rj")</f>
        <v>https://yt3.ggpht.com/ytc/AKedOLQxWFpmbAHGqgjS3kIhyZ3ApXlsI2ru-mWLzQ=s88-c-k-c0x00ffffff-no-rj</v>
      </c>
      <c r="AL108" s="80">
        <v>37722</v>
      </c>
      <c r="AM108" s="80">
        <v>0</v>
      </c>
      <c r="AN108" s="80">
        <v>24</v>
      </c>
      <c r="AO108" s="80" t="b">
        <v>0</v>
      </c>
      <c r="AP108" s="80">
        <v>39</v>
      </c>
      <c r="AQ108" s="80"/>
      <c r="AR108" s="80"/>
      <c r="AS108" s="80" t="s">
        <v>2085</v>
      </c>
      <c r="AT108" s="85" t="str">
        <f>HYPERLINK("https://www.youtube.com/channel/UC4cRm0eDbP5GfY6lQkF4Cjw")</f>
        <v>https://www.youtube.com/channel/UC4cRm0eDbP5GfY6lQkF4Cjw</v>
      </c>
      <c r="AU108" s="80" t="str">
        <f>REPLACE(INDEX(GroupVertices[Group],MATCH(Vertices[[#This Row],[Vertex]],GroupVertices[Vertex],0)),1,1,"")</f>
        <v>1</v>
      </c>
      <c r="AV108" s="49">
        <v>1</v>
      </c>
      <c r="AW108" s="50">
        <v>12.5</v>
      </c>
      <c r="AX108" s="49">
        <v>0</v>
      </c>
      <c r="AY108" s="50">
        <v>0</v>
      </c>
      <c r="AZ108" s="49">
        <v>0</v>
      </c>
      <c r="BA108" s="50">
        <v>0</v>
      </c>
      <c r="BB108" s="49">
        <v>7</v>
      </c>
      <c r="BC108" s="50">
        <v>87.5</v>
      </c>
      <c r="BD108" s="49">
        <v>8</v>
      </c>
      <c r="BE108" s="49"/>
      <c r="BF108" s="49"/>
      <c r="BG108" s="49"/>
      <c r="BH108" s="49"/>
      <c r="BI108" s="49"/>
      <c r="BJ108" s="49"/>
      <c r="BK108" s="111" t="s">
        <v>3498</v>
      </c>
      <c r="BL108" s="111" t="s">
        <v>3498</v>
      </c>
      <c r="BM108" s="111" t="s">
        <v>3948</v>
      </c>
      <c r="BN108" s="111" t="s">
        <v>3948</v>
      </c>
      <c r="BO108" s="2"/>
      <c r="BP108" s="3"/>
      <c r="BQ108" s="3"/>
      <c r="BR108" s="3"/>
      <c r="BS108" s="3"/>
    </row>
    <row r="109" spans="1:71" ht="15">
      <c r="A109" s="65" t="s">
        <v>443</v>
      </c>
      <c r="B109" s="66"/>
      <c r="C109" s="66"/>
      <c r="D109" s="67">
        <v>150</v>
      </c>
      <c r="E109" s="69"/>
      <c r="F109" s="103" t="str">
        <f>HYPERLINK("https://yt3.ggpht.com/ytc/AKedOLSXhrcts2ogLkCFSiUaOzFLVdglHOLSjSNEiQkRZA=s88-c-k-c0x00ffffff-no-rj")</f>
        <v>https://yt3.ggpht.com/ytc/AKedOLSXhrcts2ogLkCFSiUaOzFLVdglHOLSjSNEiQkRZA=s88-c-k-c0x00ffffff-no-rj</v>
      </c>
      <c r="G109" s="66"/>
      <c r="H109" s="70" t="s">
        <v>1511</v>
      </c>
      <c r="I109" s="71"/>
      <c r="J109" s="71" t="s">
        <v>159</v>
      </c>
      <c r="K109" s="70" t="s">
        <v>1511</v>
      </c>
      <c r="L109" s="74">
        <v>1</v>
      </c>
      <c r="M109" s="75">
        <v>327.95819091796875</v>
      </c>
      <c r="N109" s="75">
        <v>5406.880859375</v>
      </c>
      <c r="O109" s="76"/>
      <c r="P109" s="77"/>
      <c r="Q109" s="77"/>
      <c r="R109" s="89"/>
      <c r="S109" s="49">
        <v>0</v>
      </c>
      <c r="T109" s="49">
        <v>1</v>
      </c>
      <c r="U109" s="50">
        <v>0</v>
      </c>
      <c r="V109" s="50">
        <v>0.478122</v>
      </c>
      <c r="W109" s="50">
        <v>0.03471</v>
      </c>
      <c r="X109" s="50">
        <v>0.001935</v>
      </c>
      <c r="Y109" s="50">
        <v>0</v>
      </c>
      <c r="Z109" s="50">
        <v>0</v>
      </c>
      <c r="AA109" s="72">
        <v>109</v>
      </c>
      <c r="AB109" s="72"/>
      <c r="AC109" s="73"/>
      <c r="AD109" s="80" t="s">
        <v>1511</v>
      </c>
      <c r="AE109" s="80"/>
      <c r="AF109" s="80"/>
      <c r="AG109" s="80"/>
      <c r="AH109" s="80"/>
      <c r="AI109" s="80"/>
      <c r="AJ109" s="87">
        <v>41073.1202662037</v>
      </c>
      <c r="AK109" s="85" t="str">
        <f>HYPERLINK("https://yt3.ggpht.com/ytc/AKedOLSXhrcts2ogLkCFSiUaOzFLVdglHOLSjSNEiQkRZA=s88-c-k-c0x00ffffff-no-rj")</f>
        <v>https://yt3.ggpht.com/ytc/AKedOLSXhrcts2ogLkCFSiUaOzFLVdglHOLSjSNEiQkRZA=s88-c-k-c0x00ffffff-no-rj</v>
      </c>
      <c r="AL109" s="80">
        <v>0</v>
      </c>
      <c r="AM109" s="80">
        <v>0</v>
      </c>
      <c r="AN109" s="80">
        <v>0</v>
      </c>
      <c r="AO109" s="80" t="b">
        <v>0</v>
      </c>
      <c r="AP109" s="80">
        <v>0</v>
      </c>
      <c r="AQ109" s="80"/>
      <c r="AR109" s="80"/>
      <c r="AS109" s="80" t="s">
        <v>2085</v>
      </c>
      <c r="AT109" s="85" t="str">
        <f>HYPERLINK("https://www.youtube.com/channel/UCc9qu9hmbak_0Nr5weLjSTQ")</f>
        <v>https://www.youtube.com/channel/UCc9qu9hmbak_0Nr5weLjSTQ</v>
      </c>
      <c r="AU109" s="80" t="str">
        <f>REPLACE(INDEX(GroupVertices[Group],MATCH(Vertices[[#This Row],[Vertex]],GroupVertices[Vertex],0)),1,1,"")</f>
        <v>1</v>
      </c>
      <c r="AV109" s="49">
        <v>4</v>
      </c>
      <c r="AW109" s="50">
        <v>2.4390243902439024</v>
      </c>
      <c r="AX109" s="49">
        <v>5</v>
      </c>
      <c r="AY109" s="50">
        <v>3.048780487804878</v>
      </c>
      <c r="AZ109" s="49">
        <v>0</v>
      </c>
      <c r="BA109" s="50">
        <v>0</v>
      </c>
      <c r="BB109" s="49">
        <v>155</v>
      </c>
      <c r="BC109" s="50">
        <v>94.51219512195122</v>
      </c>
      <c r="BD109" s="49">
        <v>164</v>
      </c>
      <c r="BE109" s="49"/>
      <c r="BF109" s="49"/>
      <c r="BG109" s="49"/>
      <c r="BH109" s="49"/>
      <c r="BI109" s="49"/>
      <c r="BJ109" s="49"/>
      <c r="BK109" s="111" t="s">
        <v>3499</v>
      </c>
      <c r="BL109" s="111" t="s">
        <v>3822</v>
      </c>
      <c r="BM109" s="111" t="s">
        <v>3949</v>
      </c>
      <c r="BN109" s="111" t="s">
        <v>3949</v>
      </c>
      <c r="BO109" s="2"/>
      <c r="BP109" s="3"/>
      <c r="BQ109" s="3"/>
      <c r="BR109" s="3"/>
      <c r="BS109" s="3"/>
    </row>
    <row r="110" spans="1:71" ht="15">
      <c r="A110" s="65" t="s">
        <v>444</v>
      </c>
      <c r="B110" s="66"/>
      <c r="C110" s="66"/>
      <c r="D110" s="67">
        <v>150</v>
      </c>
      <c r="E110" s="69"/>
      <c r="F110" s="103" t="str">
        <f>HYPERLINK("https://yt3.ggpht.com/ytc/AKedOLT8g3RQ6bh6CQgh6SpWVxy7VwZbgJwmgx47C6X0=s88-c-k-c0x00ffffff-no-rj")</f>
        <v>https://yt3.ggpht.com/ytc/AKedOLT8g3RQ6bh6CQgh6SpWVxy7VwZbgJwmgx47C6X0=s88-c-k-c0x00ffffff-no-rj</v>
      </c>
      <c r="G110" s="66"/>
      <c r="H110" s="70" t="s">
        <v>1512</v>
      </c>
      <c r="I110" s="71"/>
      <c r="J110" s="71" t="s">
        <v>159</v>
      </c>
      <c r="K110" s="70" t="s">
        <v>1512</v>
      </c>
      <c r="L110" s="74">
        <v>1</v>
      </c>
      <c r="M110" s="75">
        <v>2317.03857421875</v>
      </c>
      <c r="N110" s="75">
        <v>3961.0546875</v>
      </c>
      <c r="O110" s="76"/>
      <c r="P110" s="77"/>
      <c r="Q110" s="77"/>
      <c r="R110" s="89"/>
      <c r="S110" s="49">
        <v>0</v>
      </c>
      <c r="T110" s="49">
        <v>1</v>
      </c>
      <c r="U110" s="50">
        <v>0</v>
      </c>
      <c r="V110" s="50">
        <v>0.478122</v>
      </c>
      <c r="W110" s="50">
        <v>0.03471</v>
      </c>
      <c r="X110" s="50">
        <v>0.001935</v>
      </c>
      <c r="Y110" s="50">
        <v>0</v>
      </c>
      <c r="Z110" s="50">
        <v>0</v>
      </c>
      <c r="AA110" s="72">
        <v>110</v>
      </c>
      <c r="AB110" s="72"/>
      <c r="AC110" s="73"/>
      <c r="AD110" s="80" t="s">
        <v>1512</v>
      </c>
      <c r="AE110" s="80"/>
      <c r="AF110" s="80"/>
      <c r="AG110" s="80"/>
      <c r="AH110" s="80"/>
      <c r="AI110" s="80"/>
      <c r="AJ110" s="87">
        <v>40753.35238425926</v>
      </c>
      <c r="AK110" s="85" t="str">
        <f>HYPERLINK("https://yt3.ggpht.com/ytc/AKedOLT8g3RQ6bh6CQgh6SpWVxy7VwZbgJwmgx47C6X0=s88-c-k-c0x00ffffff-no-rj")</f>
        <v>https://yt3.ggpht.com/ytc/AKedOLT8g3RQ6bh6CQgh6SpWVxy7VwZbgJwmgx47C6X0=s88-c-k-c0x00ffffff-no-rj</v>
      </c>
      <c r="AL110" s="80">
        <v>3092</v>
      </c>
      <c r="AM110" s="80">
        <v>0</v>
      </c>
      <c r="AN110" s="80">
        <v>48</v>
      </c>
      <c r="AO110" s="80" t="b">
        <v>0</v>
      </c>
      <c r="AP110" s="80">
        <v>32</v>
      </c>
      <c r="AQ110" s="80"/>
      <c r="AR110" s="80"/>
      <c r="AS110" s="80" t="s">
        <v>2085</v>
      </c>
      <c r="AT110" s="85" t="str">
        <f>HYPERLINK("https://www.youtube.com/channel/UCSk24Nsn_pSMK0mr6ApUyBw")</f>
        <v>https://www.youtube.com/channel/UCSk24Nsn_pSMK0mr6ApUyBw</v>
      </c>
      <c r="AU110" s="80" t="str">
        <f>REPLACE(INDEX(GroupVertices[Group],MATCH(Vertices[[#This Row],[Vertex]],GroupVertices[Vertex],0)),1,1,"")</f>
        <v>1</v>
      </c>
      <c r="AV110" s="49">
        <v>1</v>
      </c>
      <c r="AW110" s="50">
        <v>5</v>
      </c>
      <c r="AX110" s="49">
        <v>2</v>
      </c>
      <c r="AY110" s="50">
        <v>10</v>
      </c>
      <c r="AZ110" s="49">
        <v>0</v>
      </c>
      <c r="BA110" s="50">
        <v>0</v>
      </c>
      <c r="BB110" s="49">
        <v>17</v>
      </c>
      <c r="BC110" s="50">
        <v>85</v>
      </c>
      <c r="BD110" s="49">
        <v>20</v>
      </c>
      <c r="BE110" s="49"/>
      <c r="BF110" s="49"/>
      <c r="BG110" s="49"/>
      <c r="BH110" s="49"/>
      <c r="BI110" s="49"/>
      <c r="BJ110" s="49"/>
      <c r="BK110" s="111" t="s">
        <v>3500</v>
      </c>
      <c r="BL110" s="111" t="s">
        <v>3500</v>
      </c>
      <c r="BM110" s="111" t="s">
        <v>3950</v>
      </c>
      <c r="BN110" s="111" t="s">
        <v>3950</v>
      </c>
      <c r="BO110" s="2"/>
      <c r="BP110" s="3"/>
      <c r="BQ110" s="3"/>
      <c r="BR110" s="3"/>
      <c r="BS110" s="3"/>
    </row>
    <row r="111" spans="1:71" ht="15">
      <c r="A111" s="65" t="s">
        <v>445</v>
      </c>
      <c r="B111" s="66"/>
      <c r="C111" s="66"/>
      <c r="D111" s="67">
        <v>150</v>
      </c>
      <c r="E111" s="69"/>
      <c r="F111" s="103" t="str">
        <f>HYPERLINK("https://yt3.ggpht.com/ytc/AKedOLTxz4lgo6JZwGPzRsuLFlMAjDhNN22M-YP5CsCl=s88-c-k-c0x00ffffff-no-rj")</f>
        <v>https://yt3.ggpht.com/ytc/AKedOLTxz4lgo6JZwGPzRsuLFlMAjDhNN22M-YP5CsCl=s88-c-k-c0x00ffffff-no-rj</v>
      </c>
      <c r="G111" s="66"/>
      <c r="H111" s="70" t="s">
        <v>1513</v>
      </c>
      <c r="I111" s="71"/>
      <c r="J111" s="71" t="s">
        <v>159</v>
      </c>
      <c r="K111" s="70" t="s">
        <v>1513</v>
      </c>
      <c r="L111" s="74">
        <v>1</v>
      </c>
      <c r="M111" s="75">
        <v>2287.430908203125</v>
      </c>
      <c r="N111" s="75">
        <v>3859.0458984375</v>
      </c>
      <c r="O111" s="76"/>
      <c r="P111" s="77"/>
      <c r="Q111" s="77"/>
      <c r="R111" s="89"/>
      <c r="S111" s="49">
        <v>0</v>
      </c>
      <c r="T111" s="49">
        <v>1</v>
      </c>
      <c r="U111" s="50">
        <v>0</v>
      </c>
      <c r="V111" s="50">
        <v>0.478122</v>
      </c>
      <c r="W111" s="50">
        <v>0.03471</v>
      </c>
      <c r="X111" s="50">
        <v>0.001935</v>
      </c>
      <c r="Y111" s="50">
        <v>0</v>
      </c>
      <c r="Z111" s="50">
        <v>0</v>
      </c>
      <c r="AA111" s="72">
        <v>111</v>
      </c>
      <c r="AB111" s="72"/>
      <c r="AC111" s="73"/>
      <c r="AD111" s="80" t="s">
        <v>1513</v>
      </c>
      <c r="AE111" s="80"/>
      <c r="AF111" s="80"/>
      <c r="AG111" s="80"/>
      <c r="AH111" s="80"/>
      <c r="AI111" s="80"/>
      <c r="AJ111" s="87">
        <v>41019.301828703705</v>
      </c>
      <c r="AK111" s="85" t="str">
        <f>HYPERLINK("https://yt3.ggpht.com/ytc/AKedOLTxz4lgo6JZwGPzRsuLFlMAjDhNN22M-YP5CsCl=s88-c-k-c0x00ffffff-no-rj")</f>
        <v>https://yt3.ggpht.com/ytc/AKedOLTxz4lgo6JZwGPzRsuLFlMAjDhNN22M-YP5CsCl=s88-c-k-c0x00ffffff-no-rj</v>
      </c>
      <c r="AL111" s="80">
        <v>0</v>
      </c>
      <c r="AM111" s="80">
        <v>0</v>
      </c>
      <c r="AN111" s="80">
        <v>7</v>
      </c>
      <c r="AO111" s="80" t="b">
        <v>0</v>
      </c>
      <c r="AP111" s="80">
        <v>0</v>
      </c>
      <c r="AQ111" s="80"/>
      <c r="AR111" s="80"/>
      <c r="AS111" s="80" t="s">
        <v>2085</v>
      </c>
      <c r="AT111" s="85" t="str">
        <f>HYPERLINK("https://www.youtube.com/channel/UCQCITDKhRvmb0qb9uKjq7Tw")</f>
        <v>https://www.youtube.com/channel/UCQCITDKhRvmb0qb9uKjq7Tw</v>
      </c>
      <c r="AU111" s="80" t="str">
        <f>REPLACE(INDEX(GroupVertices[Group],MATCH(Vertices[[#This Row],[Vertex]],GroupVertices[Vertex],0)),1,1,"")</f>
        <v>1</v>
      </c>
      <c r="AV111" s="49">
        <v>1</v>
      </c>
      <c r="AW111" s="50">
        <v>12.5</v>
      </c>
      <c r="AX111" s="49">
        <v>0</v>
      </c>
      <c r="AY111" s="50">
        <v>0</v>
      </c>
      <c r="AZ111" s="49">
        <v>0</v>
      </c>
      <c r="BA111" s="50">
        <v>0</v>
      </c>
      <c r="BB111" s="49">
        <v>7</v>
      </c>
      <c r="BC111" s="50">
        <v>87.5</v>
      </c>
      <c r="BD111" s="49">
        <v>8</v>
      </c>
      <c r="BE111" s="49"/>
      <c r="BF111" s="49"/>
      <c r="BG111" s="49"/>
      <c r="BH111" s="49"/>
      <c r="BI111" s="49"/>
      <c r="BJ111" s="49"/>
      <c r="BK111" s="111" t="s">
        <v>3501</v>
      </c>
      <c r="BL111" s="111" t="s">
        <v>3501</v>
      </c>
      <c r="BM111" s="111" t="s">
        <v>3951</v>
      </c>
      <c r="BN111" s="111" t="s">
        <v>3951</v>
      </c>
      <c r="BO111" s="2"/>
      <c r="BP111" s="3"/>
      <c r="BQ111" s="3"/>
      <c r="BR111" s="3"/>
      <c r="BS111" s="3"/>
    </row>
    <row r="112" spans="1:71" ht="15">
      <c r="A112" s="65" t="s">
        <v>446</v>
      </c>
      <c r="B112" s="66"/>
      <c r="C112" s="66"/>
      <c r="D112" s="67">
        <v>150</v>
      </c>
      <c r="E112" s="69"/>
      <c r="F112" s="103" t="str">
        <f>HYPERLINK("https://yt3.ggpht.com/ytc/AKedOLT_8qR-rZS4-1o4DFCzPvHjf3MgumoBOIU4r5Fy=s88-c-k-c0x00ffffff-no-rj")</f>
        <v>https://yt3.ggpht.com/ytc/AKedOLT_8qR-rZS4-1o4DFCzPvHjf3MgumoBOIU4r5Fy=s88-c-k-c0x00ffffff-no-rj</v>
      </c>
      <c r="G112" s="66"/>
      <c r="H112" s="70" t="s">
        <v>1514</v>
      </c>
      <c r="I112" s="71"/>
      <c r="J112" s="71" t="s">
        <v>159</v>
      </c>
      <c r="K112" s="70" t="s">
        <v>1514</v>
      </c>
      <c r="L112" s="74">
        <v>1</v>
      </c>
      <c r="M112" s="75">
        <v>5350.72607421875</v>
      </c>
      <c r="N112" s="75">
        <v>9529.9716796875</v>
      </c>
      <c r="O112" s="76"/>
      <c r="P112" s="77"/>
      <c r="Q112" s="77"/>
      <c r="R112" s="89"/>
      <c r="S112" s="49">
        <v>0</v>
      </c>
      <c r="T112" s="49">
        <v>1</v>
      </c>
      <c r="U112" s="50">
        <v>0</v>
      </c>
      <c r="V112" s="50">
        <v>0.478122</v>
      </c>
      <c r="W112" s="50">
        <v>0.03471</v>
      </c>
      <c r="X112" s="50">
        <v>0.001935</v>
      </c>
      <c r="Y112" s="50">
        <v>0</v>
      </c>
      <c r="Z112" s="50">
        <v>0</v>
      </c>
      <c r="AA112" s="72">
        <v>112</v>
      </c>
      <c r="AB112" s="72"/>
      <c r="AC112" s="73"/>
      <c r="AD112" s="80" t="s">
        <v>1514</v>
      </c>
      <c r="AE112" s="80"/>
      <c r="AF112" s="80"/>
      <c r="AG112" s="80"/>
      <c r="AH112" s="80"/>
      <c r="AI112" s="80"/>
      <c r="AJ112" s="87">
        <v>39110.00465277778</v>
      </c>
      <c r="AK112" s="85" t="str">
        <f>HYPERLINK("https://yt3.ggpht.com/ytc/AKedOLT_8qR-rZS4-1o4DFCzPvHjf3MgumoBOIU4r5Fy=s88-c-k-c0x00ffffff-no-rj")</f>
        <v>https://yt3.ggpht.com/ytc/AKedOLT_8qR-rZS4-1o4DFCzPvHjf3MgumoBOIU4r5Fy=s88-c-k-c0x00ffffff-no-rj</v>
      </c>
      <c r="AL112" s="80">
        <v>2188</v>
      </c>
      <c r="AM112" s="80">
        <v>0</v>
      </c>
      <c r="AN112" s="80">
        <v>6</v>
      </c>
      <c r="AO112" s="80" t="b">
        <v>0</v>
      </c>
      <c r="AP112" s="80">
        <v>9</v>
      </c>
      <c r="AQ112" s="80"/>
      <c r="AR112" s="80"/>
      <c r="AS112" s="80" t="s">
        <v>2085</v>
      </c>
      <c r="AT112" s="85" t="str">
        <f>HYPERLINK("https://www.youtube.com/channel/UCa5CmMz6J6zsMXzIVJy1XPQ")</f>
        <v>https://www.youtube.com/channel/UCa5CmMz6J6zsMXzIVJy1XPQ</v>
      </c>
      <c r="AU112" s="80" t="str">
        <f>REPLACE(INDEX(GroupVertices[Group],MATCH(Vertices[[#This Row],[Vertex]],GroupVertices[Vertex],0)),1,1,"")</f>
        <v>1</v>
      </c>
      <c r="AV112" s="49">
        <v>9</v>
      </c>
      <c r="AW112" s="50">
        <v>6.474820143884892</v>
      </c>
      <c r="AX112" s="49">
        <v>4</v>
      </c>
      <c r="AY112" s="50">
        <v>2.8776978417266186</v>
      </c>
      <c r="AZ112" s="49">
        <v>0</v>
      </c>
      <c r="BA112" s="50">
        <v>0</v>
      </c>
      <c r="BB112" s="49">
        <v>126</v>
      </c>
      <c r="BC112" s="50">
        <v>90.64748201438849</v>
      </c>
      <c r="BD112" s="49">
        <v>139</v>
      </c>
      <c r="BE112" s="49"/>
      <c r="BF112" s="49"/>
      <c r="BG112" s="49"/>
      <c r="BH112" s="49"/>
      <c r="BI112" s="49"/>
      <c r="BJ112" s="49"/>
      <c r="BK112" s="111" t="s">
        <v>3502</v>
      </c>
      <c r="BL112" s="111" t="s">
        <v>3823</v>
      </c>
      <c r="BM112" s="111" t="s">
        <v>3952</v>
      </c>
      <c r="BN112" s="111" t="s">
        <v>3952</v>
      </c>
      <c r="BO112" s="2"/>
      <c r="BP112" s="3"/>
      <c r="BQ112" s="3"/>
      <c r="BR112" s="3"/>
      <c r="BS112" s="3"/>
    </row>
    <row r="113" spans="1:71" ht="15">
      <c r="A113" s="65" t="s">
        <v>447</v>
      </c>
      <c r="B113" s="66"/>
      <c r="C113" s="66"/>
      <c r="D113" s="67">
        <v>150</v>
      </c>
      <c r="E113" s="69"/>
      <c r="F113" s="103" t="str">
        <f>HYPERLINK("https://yt3.ggpht.com/ytc/AKedOLTunbYzYN4Pk7hzeOXtmwqj-mcTD-a6fk96Kq4z1w=s88-c-k-c0x00ffffff-no-rj")</f>
        <v>https://yt3.ggpht.com/ytc/AKedOLTunbYzYN4Pk7hzeOXtmwqj-mcTD-a6fk96Kq4z1w=s88-c-k-c0x00ffffff-no-rj</v>
      </c>
      <c r="G113" s="66"/>
      <c r="H113" s="70" t="s">
        <v>1515</v>
      </c>
      <c r="I113" s="71"/>
      <c r="J113" s="71" t="s">
        <v>159</v>
      </c>
      <c r="K113" s="70" t="s">
        <v>1515</v>
      </c>
      <c r="L113" s="74">
        <v>1</v>
      </c>
      <c r="M113" s="75">
        <v>3223.43701171875</v>
      </c>
      <c r="N113" s="75">
        <v>583.8685302734375</v>
      </c>
      <c r="O113" s="76"/>
      <c r="P113" s="77"/>
      <c r="Q113" s="77"/>
      <c r="R113" s="89"/>
      <c r="S113" s="49">
        <v>0</v>
      </c>
      <c r="T113" s="49">
        <v>1</v>
      </c>
      <c r="U113" s="50">
        <v>0</v>
      </c>
      <c r="V113" s="50">
        <v>0.478122</v>
      </c>
      <c r="W113" s="50">
        <v>0.03471</v>
      </c>
      <c r="X113" s="50">
        <v>0.001935</v>
      </c>
      <c r="Y113" s="50">
        <v>0</v>
      </c>
      <c r="Z113" s="50">
        <v>0</v>
      </c>
      <c r="AA113" s="72">
        <v>113</v>
      </c>
      <c r="AB113" s="72"/>
      <c r="AC113" s="73"/>
      <c r="AD113" s="80" t="s">
        <v>1515</v>
      </c>
      <c r="AE113" s="80"/>
      <c r="AF113" s="80"/>
      <c r="AG113" s="80"/>
      <c r="AH113" s="80"/>
      <c r="AI113" s="80"/>
      <c r="AJ113" s="87">
        <v>40099.35167824074</v>
      </c>
      <c r="AK113" s="85" t="str">
        <f>HYPERLINK("https://yt3.ggpht.com/ytc/AKedOLTunbYzYN4Pk7hzeOXtmwqj-mcTD-a6fk96Kq4z1w=s88-c-k-c0x00ffffff-no-rj")</f>
        <v>https://yt3.ggpht.com/ytc/AKedOLTunbYzYN4Pk7hzeOXtmwqj-mcTD-a6fk96Kq4z1w=s88-c-k-c0x00ffffff-no-rj</v>
      </c>
      <c r="AL113" s="80">
        <v>10165</v>
      </c>
      <c r="AM113" s="80">
        <v>0</v>
      </c>
      <c r="AN113" s="80">
        <v>43</v>
      </c>
      <c r="AO113" s="80" t="b">
        <v>0</v>
      </c>
      <c r="AP113" s="80">
        <v>4</v>
      </c>
      <c r="AQ113" s="80"/>
      <c r="AR113" s="80"/>
      <c r="AS113" s="80" t="s">
        <v>2085</v>
      </c>
      <c r="AT113" s="85" t="str">
        <f>HYPERLINK("https://www.youtube.com/channel/UCp0gW4T9SMfczHwBLotTuNQ")</f>
        <v>https://www.youtube.com/channel/UCp0gW4T9SMfczHwBLotTuNQ</v>
      </c>
      <c r="AU113" s="80" t="str">
        <f>REPLACE(INDEX(GroupVertices[Group],MATCH(Vertices[[#This Row],[Vertex]],GroupVertices[Vertex],0)),1,1,"")</f>
        <v>1</v>
      </c>
      <c r="AV113" s="49">
        <v>2</v>
      </c>
      <c r="AW113" s="50">
        <v>5.405405405405405</v>
      </c>
      <c r="AX113" s="49">
        <v>2</v>
      </c>
      <c r="AY113" s="50">
        <v>5.405405405405405</v>
      </c>
      <c r="AZ113" s="49">
        <v>0</v>
      </c>
      <c r="BA113" s="50">
        <v>0</v>
      </c>
      <c r="BB113" s="49">
        <v>33</v>
      </c>
      <c r="BC113" s="50">
        <v>89.1891891891892</v>
      </c>
      <c r="BD113" s="49">
        <v>37</v>
      </c>
      <c r="BE113" s="49"/>
      <c r="BF113" s="49"/>
      <c r="BG113" s="49"/>
      <c r="BH113" s="49"/>
      <c r="BI113" s="49"/>
      <c r="BJ113" s="49"/>
      <c r="BK113" s="111" t="s">
        <v>3503</v>
      </c>
      <c r="BL113" s="111" t="s">
        <v>3503</v>
      </c>
      <c r="BM113" s="111" t="s">
        <v>3953</v>
      </c>
      <c r="BN113" s="111" t="s">
        <v>3953</v>
      </c>
      <c r="BO113" s="2"/>
      <c r="BP113" s="3"/>
      <c r="BQ113" s="3"/>
      <c r="BR113" s="3"/>
      <c r="BS113" s="3"/>
    </row>
    <row r="114" spans="1:71" ht="15">
      <c r="A114" s="65" t="s">
        <v>448</v>
      </c>
      <c r="B114" s="66"/>
      <c r="C114" s="66"/>
      <c r="D114" s="67">
        <v>150</v>
      </c>
      <c r="E114" s="69"/>
      <c r="F114" s="103" t="str">
        <f>HYPERLINK("https://yt3.ggpht.com/ytc/AKedOLSZnKxhbvyLCWLy8vpk7eSjCKONUwULimipkKLnYw=s88-c-k-c0x00ffffff-no-rj")</f>
        <v>https://yt3.ggpht.com/ytc/AKedOLSZnKxhbvyLCWLy8vpk7eSjCKONUwULimipkKLnYw=s88-c-k-c0x00ffffff-no-rj</v>
      </c>
      <c r="G114" s="66"/>
      <c r="H114" s="70" t="s">
        <v>1516</v>
      </c>
      <c r="I114" s="71"/>
      <c r="J114" s="71" t="s">
        <v>159</v>
      </c>
      <c r="K114" s="70" t="s">
        <v>1516</v>
      </c>
      <c r="L114" s="74">
        <v>1</v>
      </c>
      <c r="M114" s="75">
        <v>3582.628173828125</v>
      </c>
      <c r="N114" s="75">
        <v>366.4283142089844</v>
      </c>
      <c r="O114" s="76"/>
      <c r="P114" s="77"/>
      <c r="Q114" s="77"/>
      <c r="R114" s="89"/>
      <c r="S114" s="49">
        <v>0</v>
      </c>
      <c r="T114" s="49">
        <v>1</v>
      </c>
      <c r="U114" s="50">
        <v>0</v>
      </c>
      <c r="V114" s="50">
        <v>0.478122</v>
      </c>
      <c r="W114" s="50">
        <v>0.03471</v>
      </c>
      <c r="X114" s="50">
        <v>0.001935</v>
      </c>
      <c r="Y114" s="50">
        <v>0</v>
      </c>
      <c r="Z114" s="50">
        <v>0</v>
      </c>
      <c r="AA114" s="72">
        <v>114</v>
      </c>
      <c r="AB114" s="72"/>
      <c r="AC114" s="73"/>
      <c r="AD114" s="80" t="s">
        <v>1516</v>
      </c>
      <c r="AE114" s="80" t="s">
        <v>1975</v>
      </c>
      <c r="AF114" s="80"/>
      <c r="AG114" s="80"/>
      <c r="AH114" s="80"/>
      <c r="AI114" s="80"/>
      <c r="AJ114" s="87">
        <v>41133.35954861111</v>
      </c>
      <c r="AK114" s="85" t="str">
        <f>HYPERLINK("https://yt3.ggpht.com/ytc/AKedOLSZnKxhbvyLCWLy8vpk7eSjCKONUwULimipkKLnYw=s88-c-k-c0x00ffffff-no-rj")</f>
        <v>https://yt3.ggpht.com/ytc/AKedOLSZnKxhbvyLCWLy8vpk7eSjCKONUwULimipkKLnYw=s88-c-k-c0x00ffffff-no-rj</v>
      </c>
      <c r="AL114" s="80">
        <v>392</v>
      </c>
      <c r="AM114" s="80">
        <v>0</v>
      </c>
      <c r="AN114" s="80">
        <v>62</v>
      </c>
      <c r="AO114" s="80" t="b">
        <v>0</v>
      </c>
      <c r="AP114" s="80">
        <v>2</v>
      </c>
      <c r="AQ114" s="80"/>
      <c r="AR114" s="80"/>
      <c r="AS114" s="80" t="s">
        <v>2085</v>
      </c>
      <c r="AT114" s="85" t="str">
        <f>HYPERLINK("https://www.youtube.com/channel/UCqHav2T8EfBmAp2bGh1bJUQ")</f>
        <v>https://www.youtube.com/channel/UCqHav2T8EfBmAp2bGh1bJUQ</v>
      </c>
      <c r="AU114" s="80" t="str">
        <f>REPLACE(INDEX(GroupVertices[Group],MATCH(Vertices[[#This Row],[Vertex]],GroupVertices[Vertex],0)),1,1,"")</f>
        <v>1</v>
      </c>
      <c r="AV114" s="49">
        <v>1</v>
      </c>
      <c r="AW114" s="50">
        <v>20</v>
      </c>
      <c r="AX114" s="49">
        <v>0</v>
      </c>
      <c r="AY114" s="50">
        <v>0</v>
      </c>
      <c r="AZ114" s="49">
        <v>0</v>
      </c>
      <c r="BA114" s="50">
        <v>0</v>
      </c>
      <c r="BB114" s="49">
        <v>4</v>
      </c>
      <c r="BC114" s="50">
        <v>80</v>
      </c>
      <c r="BD114" s="49">
        <v>5</v>
      </c>
      <c r="BE114" s="49"/>
      <c r="BF114" s="49"/>
      <c r="BG114" s="49"/>
      <c r="BH114" s="49"/>
      <c r="BI114" s="49"/>
      <c r="BJ114" s="49"/>
      <c r="BK114" s="111" t="s">
        <v>3504</v>
      </c>
      <c r="BL114" s="111" t="s">
        <v>3504</v>
      </c>
      <c r="BM114" s="111" t="s">
        <v>3954</v>
      </c>
      <c r="BN114" s="111" t="s">
        <v>3954</v>
      </c>
      <c r="BO114" s="2"/>
      <c r="BP114" s="3"/>
      <c r="BQ114" s="3"/>
      <c r="BR114" s="3"/>
      <c r="BS114" s="3"/>
    </row>
    <row r="115" spans="1:71" ht="15">
      <c r="A115" s="65" t="s">
        <v>449</v>
      </c>
      <c r="B115" s="66"/>
      <c r="C115" s="66"/>
      <c r="D115" s="67">
        <v>150</v>
      </c>
      <c r="E115" s="69"/>
      <c r="F115" s="103" t="str">
        <f>HYPERLINK("https://yt3.ggpht.com/ytc/AKedOLQog7p3PBTrYgXTblaJkRSR5i9HL_QybDXV38pTFQ=s88-c-k-c0x00ffffff-no-rj")</f>
        <v>https://yt3.ggpht.com/ytc/AKedOLQog7p3PBTrYgXTblaJkRSR5i9HL_QybDXV38pTFQ=s88-c-k-c0x00ffffff-no-rj</v>
      </c>
      <c r="G115" s="66"/>
      <c r="H115" s="70" t="s">
        <v>1517</v>
      </c>
      <c r="I115" s="71"/>
      <c r="J115" s="71" t="s">
        <v>159</v>
      </c>
      <c r="K115" s="70" t="s">
        <v>1517</v>
      </c>
      <c r="L115" s="74">
        <v>1</v>
      </c>
      <c r="M115" s="75">
        <v>3024.64111328125</v>
      </c>
      <c r="N115" s="75">
        <v>7609.6513671875</v>
      </c>
      <c r="O115" s="76"/>
      <c r="P115" s="77"/>
      <c r="Q115" s="77"/>
      <c r="R115" s="89"/>
      <c r="S115" s="49">
        <v>0</v>
      </c>
      <c r="T115" s="49">
        <v>1</v>
      </c>
      <c r="U115" s="50">
        <v>0</v>
      </c>
      <c r="V115" s="50">
        <v>0.478122</v>
      </c>
      <c r="W115" s="50">
        <v>0.03471</v>
      </c>
      <c r="X115" s="50">
        <v>0.001935</v>
      </c>
      <c r="Y115" s="50">
        <v>0</v>
      </c>
      <c r="Z115" s="50">
        <v>0</v>
      </c>
      <c r="AA115" s="72">
        <v>115</v>
      </c>
      <c r="AB115" s="72"/>
      <c r="AC115" s="73"/>
      <c r="AD115" s="80" t="s">
        <v>1517</v>
      </c>
      <c r="AE115" s="80"/>
      <c r="AF115" s="80"/>
      <c r="AG115" s="80"/>
      <c r="AH115" s="80"/>
      <c r="AI115" s="80"/>
      <c r="AJ115" s="87">
        <v>38798.92736111111</v>
      </c>
      <c r="AK115" s="85" t="str">
        <f>HYPERLINK("https://yt3.ggpht.com/ytc/AKedOLQog7p3PBTrYgXTblaJkRSR5i9HL_QybDXV38pTFQ=s88-c-k-c0x00ffffff-no-rj")</f>
        <v>https://yt3.ggpht.com/ytc/AKedOLQog7p3PBTrYgXTblaJkRSR5i9HL_QybDXV38pTFQ=s88-c-k-c0x00ffffff-no-rj</v>
      </c>
      <c r="AL115" s="80">
        <v>0</v>
      </c>
      <c r="AM115" s="80">
        <v>0</v>
      </c>
      <c r="AN115" s="80">
        <v>0</v>
      </c>
      <c r="AO115" s="80" t="b">
        <v>0</v>
      </c>
      <c r="AP115" s="80">
        <v>0</v>
      </c>
      <c r="AQ115" s="80"/>
      <c r="AR115" s="80"/>
      <c r="AS115" s="80" t="s">
        <v>2085</v>
      </c>
      <c r="AT115" s="85" t="str">
        <f>HYPERLINK("https://www.youtube.com/channel/UCBtYZsDaTEj51OodIzYrgmQ")</f>
        <v>https://www.youtube.com/channel/UCBtYZsDaTEj51OodIzYrgmQ</v>
      </c>
      <c r="AU115" s="80" t="str">
        <f>REPLACE(INDEX(GroupVertices[Group],MATCH(Vertices[[#This Row],[Vertex]],GroupVertices[Vertex],0)),1,1,"")</f>
        <v>1</v>
      </c>
      <c r="AV115" s="49">
        <v>3</v>
      </c>
      <c r="AW115" s="50">
        <v>4.225352112676056</v>
      </c>
      <c r="AX115" s="49">
        <v>0</v>
      </c>
      <c r="AY115" s="50">
        <v>0</v>
      </c>
      <c r="AZ115" s="49">
        <v>0</v>
      </c>
      <c r="BA115" s="50">
        <v>0</v>
      </c>
      <c r="BB115" s="49">
        <v>68</v>
      </c>
      <c r="BC115" s="50">
        <v>95.77464788732394</v>
      </c>
      <c r="BD115" s="49">
        <v>71</v>
      </c>
      <c r="BE115" s="49"/>
      <c r="BF115" s="49"/>
      <c r="BG115" s="49"/>
      <c r="BH115" s="49"/>
      <c r="BI115" s="49"/>
      <c r="BJ115" s="49"/>
      <c r="BK115" s="111" t="s">
        <v>3505</v>
      </c>
      <c r="BL115" s="111" t="s">
        <v>3505</v>
      </c>
      <c r="BM115" s="111" t="s">
        <v>3955</v>
      </c>
      <c r="BN115" s="111" t="s">
        <v>3955</v>
      </c>
      <c r="BO115" s="2"/>
      <c r="BP115" s="3"/>
      <c r="BQ115" s="3"/>
      <c r="BR115" s="3"/>
      <c r="BS115" s="3"/>
    </row>
    <row r="116" spans="1:71" ht="15">
      <c r="A116" s="65" t="s">
        <v>450</v>
      </c>
      <c r="B116" s="66"/>
      <c r="C116" s="66"/>
      <c r="D116" s="67">
        <v>150</v>
      </c>
      <c r="E116" s="69"/>
      <c r="F116" s="103" t="str">
        <f>HYPERLINK("https://yt3.ggpht.com/ytc/AKedOLRtgdFJem_Ck9eJ74nskAzpgESenZB7pYQW7kfixg=s88-c-k-c0x00ffffff-no-rj")</f>
        <v>https://yt3.ggpht.com/ytc/AKedOLRtgdFJem_Ck9eJ74nskAzpgESenZB7pYQW7kfixg=s88-c-k-c0x00ffffff-no-rj</v>
      </c>
      <c r="G116" s="66"/>
      <c r="H116" s="70" t="s">
        <v>1518</v>
      </c>
      <c r="I116" s="71"/>
      <c r="J116" s="71" t="s">
        <v>159</v>
      </c>
      <c r="K116" s="70" t="s">
        <v>1518</v>
      </c>
      <c r="L116" s="74">
        <v>1</v>
      </c>
      <c r="M116" s="75">
        <v>1123.01611328125</v>
      </c>
      <c r="N116" s="75">
        <v>4583.009765625</v>
      </c>
      <c r="O116" s="76"/>
      <c r="P116" s="77"/>
      <c r="Q116" s="77"/>
      <c r="R116" s="89"/>
      <c r="S116" s="49">
        <v>0</v>
      </c>
      <c r="T116" s="49">
        <v>1</v>
      </c>
      <c r="U116" s="50">
        <v>0</v>
      </c>
      <c r="V116" s="50">
        <v>0.478122</v>
      </c>
      <c r="W116" s="50">
        <v>0.03471</v>
      </c>
      <c r="X116" s="50">
        <v>0.001935</v>
      </c>
      <c r="Y116" s="50">
        <v>0</v>
      </c>
      <c r="Z116" s="50">
        <v>0</v>
      </c>
      <c r="AA116" s="72">
        <v>116</v>
      </c>
      <c r="AB116" s="72"/>
      <c r="AC116" s="73"/>
      <c r="AD116" s="80" t="s">
        <v>1518</v>
      </c>
      <c r="AE116" s="80"/>
      <c r="AF116" s="80"/>
      <c r="AG116" s="80"/>
      <c r="AH116" s="80"/>
      <c r="AI116" s="80" t="s">
        <v>1518</v>
      </c>
      <c r="AJ116" s="87">
        <v>39530.632939814815</v>
      </c>
      <c r="AK116" s="85" t="str">
        <f>HYPERLINK("https://yt3.ggpht.com/ytc/AKedOLRtgdFJem_Ck9eJ74nskAzpgESenZB7pYQW7kfixg=s88-c-k-c0x00ffffff-no-rj")</f>
        <v>https://yt3.ggpht.com/ytc/AKedOLRtgdFJem_Ck9eJ74nskAzpgESenZB7pYQW7kfixg=s88-c-k-c0x00ffffff-no-rj</v>
      </c>
      <c r="AL116" s="80">
        <v>844</v>
      </c>
      <c r="AM116" s="80">
        <v>0</v>
      </c>
      <c r="AN116" s="80">
        <v>480</v>
      </c>
      <c r="AO116" s="80" t="b">
        <v>0</v>
      </c>
      <c r="AP116" s="80">
        <v>4</v>
      </c>
      <c r="AQ116" s="80"/>
      <c r="AR116" s="80"/>
      <c r="AS116" s="80" t="s">
        <v>2085</v>
      </c>
      <c r="AT116" s="85" t="str">
        <f>HYPERLINK("https://www.youtube.com/channel/UCsXnwapwuxHXs70NCxCVDmg")</f>
        <v>https://www.youtube.com/channel/UCsXnwapwuxHXs70NCxCVDmg</v>
      </c>
      <c r="AU116" s="80" t="str">
        <f>REPLACE(INDEX(GroupVertices[Group],MATCH(Vertices[[#This Row],[Vertex]],GroupVertices[Vertex],0)),1,1,"")</f>
        <v>1</v>
      </c>
      <c r="AV116" s="49">
        <v>0</v>
      </c>
      <c r="AW116" s="50">
        <v>0</v>
      </c>
      <c r="AX116" s="49">
        <v>0</v>
      </c>
      <c r="AY116" s="50">
        <v>0</v>
      </c>
      <c r="AZ116" s="49">
        <v>0</v>
      </c>
      <c r="BA116" s="50">
        <v>0</v>
      </c>
      <c r="BB116" s="49">
        <v>19</v>
      </c>
      <c r="BC116" s="50">
        <v>100</v>
      </c>
      <c r="BD116" s="49">
        <v>19</v>
      </c>
      <c r="BE116" s="49"/>
      <c r="BF116" s="49"/>
      <c r="BG116" s="49"/>
      <c r="BH116" s="49"/>
      <c r="BI116" s="49"/>
      <c r="BJ116" s="49"/>
      <c r="BK116" s="111" t="s">
        <v>3506</v>
      </c>
      <c r="BL116" s="111" t="s">
        <v>3824</v>
      </c>
      <c r="BM116" s="111" t="s">
        <v>3956</v>
      </c>
      <c r="BN116" s="111" t="s">
        <v>3956</v>
      </c>
      <c r="BO116" s="2"/>
      <c r="BP116" s="3"/>
      <c r="BQ116" s="3"/>
      <c r="BR116" s="3"/>
      <c r="BS116" s="3"/>
    </row>
    <row r="117" spans="1:71" ht="15">
      <c r="A117" s="65" t="s">
        <v>451</v>
      </c>
      <c r="B117" s="66"/>
      <c r="C117" s="66"/>
      <c r="D117" s="67">
        <v>150</v>
      </c>
      <c r="E117" s="69"/>
      <c r="F117" s="103" t="str">
        <f>HYPERLINK("https://yt3.ggpht.com/ytc/AKedOLSNi96LR3I-5QvnpbK-LXCqPTJnhOyjlGjc8w=s88-c-k-c0x00ffffff-no-rj")</f>
        <v>https://yt3.ggpht.com/ytc/AKedOLSNi96LR3I-5QvnpbK-LXCqPTJnhOyjlGjc8w=s88-c-k-c0x00ffffff-no-rj</v>
      </c>
      <c r="G117" s="66"/>
      <c r="H117" s="70" t="s">
        <v>1519</v>
      </c>
      <c r="I117" s="71"/>
      <c r="J117" s="71" t="s">
        <v>159</v>
      </c>
      <c r="K117" s="70" t="s">
        <v>1519</v>
      </c>
      <c r="L117" s="74">
        <v>1</v>
      </c>
      <c r="M117" s="75">
        <v>3137.81591796875</v>
      </c>
      <c r="N117" s="75">
        <v>4933.02001953125</v>
      </c>
      <c r="O117" s="76"/>
      <c r="P117" s="77"/>
      <c r="Q117" s="77"/>
      <c r="R117" s="89"/>
      <c r="S117" s="49">
        <v>0</v>
      </c>
      <c r="T117" s="49">
        <v>1</v>
      </c>
      <c r="U117" s="50">
        <v>0</v>
      </c>
      <c r="V117" s="50">
        <v>0.478122</v>
      </c>
      <c r="W117" s="50">
        <v>0.03471</v>
      </c>
      <c r="X117" s="50">
        <v>0.001935</v>
      </c>
      <c r="Y117" s="50">
        <v>0</v>
      </c>
      <c r="Z117" s="50">
        <v>0</v>
      </c>
      <c r="AA117" s="72">
        <v>117</v>
      </c>
      <c r="AB117" s="72"/>
      <c r="AC117" s="73"/>
      <c r="AD117" s="80" t="s">
        <v>1519</v>
      </c>
      <c r="AE117" s="80"/>
      <c r="AF117" s="80"/>
      <c r="AG117" s="80"/>
      <c r="AH117" s="80"/>
      <c r="AI117" s="80"/>
      <c r="AJ117" s="87">
        <v>40928.83877314815</v>
      </c>
      <c r="AK117" s="85" t="str">
        <f>HYPERLINK("https://yt3.ggpht.com/ytc/AKedOLSNi96LR3I-5QvnpbK-LXCqPTJnhOyjlGjc8w=s88-c-k-c0x00ffffff-no-rj")</f>
        <v>https://yt3.ggpht.com/ytc/AKedOLSNi96LR3I-5QvnpbK-LXCqPTJnhOyjlGjc8w=s88-c-k-c0x00ffffff-no-rj</v>
      </c>
      <c r="AL117" s="80">
        <v>0</v>
      </c>
      <c r="AM117" s="80">
        <v>0</v>
      </c>
      <c r="AN117" s="80">
        <v>5</v>
      </c>
      <c r="AO117" s="80" t="b">
        <v>0</v>
      </c>
      <c r="AP117" s="80">
        <v>0</v>
      </c>
      <c r="AQ117" s="80"/>
      <c r="AR117" s="80"/>
      <c r="AS117" s="80" t="s">
        <v>2085</v>
      </c>
      <c r="AT117" s="85" t="str">
        <f>HYPERLINK("https://www.youtube.com/channel/UCzBU8flfYX1lWOo-JAnAKTg")</f>
        <v>https://www.youtube.com/channel/UCzBU8flfYX1lWOo-JAnAKTg</v>
      </c>
      <c r="AU117" s="80" t="str">
        <f>REPLACE(INDEX(GroupVertices[Group],MATCH(Vertices[[#This Row],[Vertex]],GroupVertices[Vertex],0)),1,1,"")</f>
        <v>1</v>
      </c>
      <c r="AV117" s="49">
        <v>0</v>
      </c>
      <c r="AW117" s="50">
        <v>0</v>
      </c>
      <c r="AX117" s="49">
        <v>1</v>
      </c>
      <c r="AY117" s="50">
        <v>16.666666666666668</v>
      </c>
      <c r="AZ117" s="49">
        <v>0</v>
      </c>
      <c r="BA117" s="50">
        <v>0</v>
      </c>
      <c r="BB117" s="49">
        <v>5</v>
      </c>
      <c r="BC117" s="50">
        <v>83.33333333333333</v>
      </c>
      <c r="BD117" s="49">
        <v>6</v>
      </c>
      <c r="BE117" s="49"/>
      <c r="BF117" s="49"/>
      <c r="BG117" s="49"/>
      <c r="BH117" s="49"/>
      <c r="BI117" s="49"/>
      <c r="BJ117" s="49"/>
      <c r="BK117" s="111" t="s">
        <v>3507</v>
      </c>
      <c r="BL117" s="111" t="s">
        <v>3507</v>
      </c>
      <c r="BM117" s="111" t="s">
        <v>3957</v>
      </c>
      <c r="BN117" s="111" t="s">
        <v>3957</v>
      </c>
      <c r="BO117" s="2"/>
      <c r="BP117" s="3"/>
      <c r="BQ117" s="3"/>
      <c r="BR117" s="3"/>
      <c r="BS117" s="3"/>
    </row>
    <row r="118" spans="1:71" ht="15">
      <c r="A118" s="65" t="s">
        <v>452</v>
      </c>
      <c r="B118" s="66"/>
      <c r="C118" s="66"/>
      <c r="D118" s="67">
        <v>150</v>
      </c>
      <c r="E118" s="69"/>
      <c r="F118" s="103" t="str">
        <f>HYPERLINK("https://yt3.ggpht.com/ytc/AKedOLSKZlUl1Oozg8fnxJZTB0EoeWymwblelNs4R4DV=s88-c-k-c0x00ffffff-no-rj")</f>
        <v>https://yt3.ggpht.com/ytc/AKedOLSKZlUl1Oozg8fnxJZTB0EoeWymwblelNs4R4DV=s88-c-k-c0x00ffffff-no-rj</v>
      </c>
      <c r="G118" s="66"/>
      <c r="H118" s="70" t="s">
        <v>1520</v>
      </c>
      <c r="I118" s="71"/>
      <c r="J118" s="71" t="s">
        <v>159</v>
      </c>
      <c r="K118" s="70" t="s">
        <v>1520</v>
      </c>
      <c r="L118" s="74">
        <v>1</v>
      </c>
      <c r="M118" s="75">
        <v>5250.68408203125</v>
      </c>
      <c r="N118" s="75">
        <v>3830.739013671875</v>
      </c>
      <c r="O118" s="76"/>
      <c r="P118" s="77"/>
      <c r="Q118" s="77"/>
      <c r="R118" s="89"/>
      <c r="S118" s="49">
        <v>0</v>
      </c>
      <c r="T118" s="49">
        <v>1</v>
      </c>
      <c r="U118" s="50">
        <v>0</v>
      </c>
      <c r="V118" s="50">
        <v>0.478122</v>
      </c>
      <c r="W118" s="50">
        <v>0.03471</v>
      </c>
      <c r="X118" s="50">
        <v>0.001935</v>
      </c>
      <c r="Y118" s="50">
        <v>0</v>
      </c>
      <c r="Z118" s="50">
        <v>0</v>
      </c>
      <c r="AA118" s="72">
        <v>118</v>
      </c>
      <c r="AB118" s="72"/>
      <c r="AC118" s="73"/>
      <c r="AD118" s="80" t="s">
        <v>1520</v>
      </c>
      <c r="AE118" s="80"/>
      <c r="AF118" s="80"/>
      <c r="AG118" s="80"/>
      <c r="AH118" s="80"/>
      <c r="AI118" s="80"/>
      <c r="AJ118" s="87">
        <v>40655.079618055555</v>
      </c>
      <c r="AK118" s="85" t="str">
        <f>HYPERLINK("https://yt3.ggpht.com/ytc/AKedOLSKZlUl1Oozg8fnxJZTB0EoeWymwblelNs4R4DV=s88-c-k-c0x00ffffff-no-rj")</f>
        <v>https://yt3.ggpht.com/ytc/AKedOLSKZlUl1Oozg8fnxJZTB0EoeWymwblelNs4R4DV=s88-c-k-c0x00ffffff-no-rj</v>
      </c>
      <c r="AL118" s="80">
        <v>0</v>
      </c>
      <c r="AM118" s="80">
        <v>0</v>
      </c>
      <c r="AN118" s="80">
        <v>1</v>
      </c>
      <c r="AO118" s="80" t="b">
        <v>0</v>
      </c>
      <c r="AP118" s="80">
        <v>0</v>
      </c>
      <c r="AQ118" s="80"/>
      <c r="AR118" s="80"/>
      <c r="AS118" s="80" t="s">
        <v>2085</v>
      </c>
      <c r="AT118" s="85" t="str">
        <f>HYPERLINK("https://www.youtube.com/channel/UC39xVeV3dYjBTUkSBK8XBaA")</f>
        <v>https://www.youtube.com/channel/UC39xVeV3dYjBTUkSBK8XBaA</v>
      </c>
      <c r="AU118" s="80" t="str">
        <f>REPLACE(INDEX(GroupVertices[Group],MATCH(Vertices[[#This Row],[Vertex]],GroupVertices[Vertex],0)),1,1,"")</f>
        <v>1</v>
      </c>
      <c r="AV118" s="49">
        <v>2</v>
      </c>
      <c r="AW118" s="50">
        <v>6.896551724137931</v>
      </c>
      <c r="AX118" s="49">
        <v>0</v>
      </c>
      <c r="AY118" s="50">
        <v>0</v>
      </c>
      <c r="AZ118" s="49">
        <v>0</v>
      </c>
      <c r="BA118" s="50">
        <v>0</v>
      </c>
      <c r="BB118" s="49">
        <v>27</v>
      </c>
      <c r="BC118" s="50">
        <v>93.10344827586206</v>
      </c>
      <c r="BD118" s="49">
        <v>29</v>
      </c>
      <c r="BE118" s="49"/>
      <c r="BF118" s="49"/>
      <c r="BG118" s="49"/>
      <c r="BH118" s="49"/>
      <c r="BI118" s="49"/>
      <c r="BJ118" s="49"/>
      <c r="BK118" s="111" t="s">
        <v>3508</v>
      </c>
      <c r="BL118" s="111" t="s">
        <v>3508</v>
      </c>
      <c r="BM118" s="111" t="s">
        <v>3958</v>
      </c>
      <c r="BN118" s="111" t="s">
        <v>3958</v>
      </c>
      <c r="BO118" s="2"/>
      <c r="BP118" s="3"/>
      <c r="BQ118" s="3"/>
      <c r="BR118" s="3"/>
      <c r="BS118" s="3"/>
    </row>
    <row r="119" spans="1:71" ht="15">
      <c r="A119" s="65" t="s">
        <v>453</v>
      </c>
      <c r="B119" s="66"/>
      <c r="C119" s="66"/>
      <c r="D119" s="67">
        <v>150</v>
      </c>
      <c r="E119" s="69"/>
      <c r="F119" s="103" t="str">
        <f>HYPERLINK("https://yt3.ggpht.com/ytc/AKedOLREL_Rcd9maXxoecDQ6s_0L0rOgdD_4F7JX8oBAXA=s88-c-k-c0x00ffffff-no-rj")</f>
        <v>https://yt3.ggpht.com/ytc/AKedOLREL_Rcd9maXxoecDQ6s_0L0rOgdD_4F7JX8oBAXA=s88-c-k-c0x00ffffff-no-rj</v>
      </c>
      <c r="G119" s="66"/>
      <c r="H119" s="70" t="s">
        <v>1521</v>
      </c>
      <c r="I119" s="71"/>
      <c r="J119" s="71" t="s">
        <v>159</v>
      </c>
      <c r="K119" s="70" t="s">
        <v>1521</v>
      </c>
      <c r="L119" s="74">
        <v>1</v>
      </c>
      <c r="M119" s="75">
        <v>1553.6934814453125</v>
      </c>
      <c r="N119" s="75">
        <v>8908.482421875</v>
      </c>
      <c r="O119" s="76"/>
      <c r="P119" s="77"/>
      <c r="Q119" s="77"/>
      <c r="R119" s="89"/>
      <c r="S119" s="49">
        <v>0</v>
      </c>
      <c r="T119" s="49">
        <v>1</v>
      </c>
      <c r="U119" s="50">
        <v>0</v>
      </c>
      <c r="V119" s="50">
        <v>0.478122</v>
      </c>
      <c r="W119" s="50">
        <v>0.03471</v>
      </c>
      <c r="X119" s="50">
        <v>0.001935</v>
      </c>
      <c r="Y119" s="50">
        <v>0</v>
      </c>
      <c r="Z119" s="50">
        <v>0</v>
      </c>
      <c r="AA119" s="72">
        <v>119</v>
      </c>
      <c r="AB119" s="72"/>
      <c r="AC119" s="73"/>
      <c r="AD119" s="80" t="s">
        <v>1521</v>
      </c>
      <c r="AE119" s="80" t="s">
        <v>1976</v>
      </c>
      <c r="AF119" s="80"/>
      <c r="AG119" s="80"/>
      <c r="AH119" s="80"/>
      <c r="AI119" s="80"/>
      <c r="AJ119" s="87">
        <v>40366.93769675926</v>
      </c>
      <c r="AK119" s="85" t="str">
        <f>HYPERLINK("https://yt3.ggpht.com/ytc/AKedOLREL_Rcd9maXxoecDQ6s_0L0rOgdD_4F7JX8oBAXA=s88-c-k-c0x00ffffff-no-rj")</f>
        <v>https://yt3.ggpht.com/ytc/AKedOLREL_Rcd9maXxoecDQ6s_0L0rOgdD_4F7JX8oBAXA=s88-c-k-c0x00ffffff-no-rj</v>
      </c>
      <c r="AL119" s="80">
        <v>12035</v>
      </c>
      <c r="AM119" s="80">
        <v>0</v>
      </c>
      <c r="AN119" s="80">
        <v>36</v>
      </c>
      <c r="AO119" s="80" t="b">
        <v>0</v>
      </c>
      <c r="AP119" s="80">
        <v>55</v>
      </c>
      <c r="AQ119" s="80"/>
      <c r="AR119" s="80"/>
      <c r="AS119" s="80" t="s">
        <v>2085</v>
      </c>
      <c r="AT119" s="85" t="str">
        <f>HYPERLINK("https://www.youtube.com/channel/UCLvt3bD1AJUnf7LEUXk_SOA")</f>
        <v>https://www.youtube.com/channel/UCLvt3bD1AJUnf7LEUXk_SOA</v>
      </c>
      <c r="AU119" s="80" t="str">
        <f>REPLACE(INDEX(GroupVertices[Group],MATCH(Vertices[[#This Row],[Vertex]],GroupVertices[Vertex],0)),1,1,"")</f>
        <v>1</v>
      </c>
      <c r="AV119" s="49">
        <v>2</v>
      </c>
      <c r="AW119" s="50">
        <v>6.25</v>
      </c>
      <c r="AX119" s="49">
        <v>1</v>
      </c>
      <c r="AY119" s="50">
        <v>3.125</v>
      </c>
      <c r="AZ119" s="49">
        <v>0</v>
      </c>
      <c r="BA119" s="50">
        <v>0</v>
      </c>
      <c r="BB119" s="49">
        <v>29</v>
      </c>
      <c r="BC119" s="50">
        <v>90.625</v>
      </c>
      <c r="BD119" s="49">
        <v>32</v>
      </c>
      <c r="BE119" s="49"/>
      <c r="BF119" s="49"/>
      <c r="BG119" s="49"/>
      <c r="BH119" s="49"/>
      <c r="BI119" s="49"/>
      <c r="BJ119" s="49"/>
      <c r="BK119" s="111" t="s">
        <v>3509</v>
      </c>
      <c r="BL119" s="111" t="s">
        <v>3509</v>
      </c>
      <c r="BM119" s="111" t="s">
        <v>3959</v>
      </c>
      <c r="BN119" s="111" t="s">
        <v>3959</v>
      </c>
      <c r="BO119" s="2"/>
      <c r="BP119" s="3"/>
      <c r="BQ119" s="3"/>
      <c r="BR119" s="3"/>
      <c r="BS119" s="3"/>
    </row>
    <row r="120" spans="1:71" ht="15">
      <c r="A120" s="65" t="s">
        <v>454</v>
      </c>
      <c r="B120" s="66"/>
      <c r="C120" s="66"/>
      <c r="D120" s="67">
        <v>150</v>
      </c>
      <c r="E120" s="69"/>
      <c r="F120" s="103" t="str">
        <f>HYPERLINK("https://yt3.ggpht.com/ytc/AKedOLQNpgRqHhwSbA04w9GDyt0quJEjrVH1dwDi7Q=s88-c-k-c0x00ffffff-no-rj")</f>
        <v>https://yt3.ggpht.com/ytc/AKedOLQNpgRqHhwSbA04w9GDyt0quJEjrVH1dwDi7Q=s88-c-k-c0x00ffffff-no-rj</v>
      </c>
      <c r="G120" s="66"/>
      <c r="H120" s="70" t="s">
        <v>1522</v>
      </c>
      <c r="I120" s="71"/>
      <c r="J120" s="71" t="s">
        <v>159</v>
      </c>
      <c r="K120" s="70" t="s">
        <v>1522</v>
      </c>
      <c r="L120" s="74">
        <v>1</v>
      </c>
      <c r="M120" s="75">
        <v>6393.75732421875</v>
      </c>
      <c r="N120" s="75">
        <v>3197.4521484375</v>
      </c>
      <c r="O120" s="76"/>
      <c r="P120" s="77"/>
      <c r="Q120" s="77"/>
      <c r="R120" s="89"/>
      <c r="S120" s="49">
        <v>0</v>
      </c>
      <c r="T120" s="49">
        <v>1</v>
      </c>
      <c r="U120" s="50">
        <v>0</v>
      </c>
      <c r="V120" s="50">
        <v>0.478122</v>
      </c>
      <c r="W120" s="50">
        <v>0.03471</v>
      </c>
      <c r="X120" s="50">
        <v>0.001935</v>
      </c>
      <c r="Y120" s="50">
        <v>0</v>
      </c>
      <c r="Z120" s="50">
        <v>0</v>
      </c>
      <c r="AA120" s="72">
        <v>120</v>
      </c>
      <c r="AB120" s="72"/>
      <c r="AC120" s="73"/>
      <c r="AD120" s="80" t="s">
        <v>1522</v>
      </c>
      <c r="AE120" s="80"/>
      <c r="AF120" s="80"/>
      <c r="AG120" s="80"/>
      <c r="AH120" s="80"/>
      <c r="AI120" s="80"/>
      <c r="AJ120" s="87">
        <v>41000.62644675926</v>
      </c>
      <c r="AK120" s="85" t="str">
        <f>HYPERLINK("https://yt3.ggpht.com/ytc/AKedOLQNpgRqHhwSbA04w9GDyt0quJEjrVH1dwDi7Q=s88-c-k-c0x00ffffff-no-rj")</f>
        <v>https://yt3.ggpht.com/ytc/AKedOLQNpgRqHhwSbA04w9GDyt0quJEjrVH1dwDi7Q=s88-c-k-c0x00ffffff-no-rj</v>
      </c>
      <c r="AL120" s="80">
        <v>59</v>
      </c>
      <c r="AM120" s="80">
        <v>0</v>
      </c>
      <c r="AN120" s="80">
        <v>2</v>
      </c>
      <c r="AO120" s="80" t="b">
        <v>0</v>
      </c>
      <c r="AP120" s="80">
        <v>1</v>
      </c>
      <c r="AQ120" s="80"/>
      <c r="AR120" s="80"/>
      <c r="AS120" s="80" t="s">
        <v>2085</v>
      </c>
      <c r="AT120" s="85" t="str">
        <f>HYPERLINK("https://www.youtube.com/channel/UCfzICRGe-9WPFYK7DQC4i0g")</f>
        <v>https://www.youtube.com/channel/UCfzICRGe-9WPFYK7DQC4i0g</v>
      </c>
      <c r="AU120" s="80" t="str">
        <f>REPLACE(INDEX(GroupVertices[Group],MATCH(Vertices[[#This Row],[Vertex]],GroupVertices[Vertex],0)),1,1,"")</f>
        <v>1</v>
      </c>
      <c r="AV120" s="49">
        <v>1</v>
      </c>
      <c r="AW120" s="50">
        <v>5</v>
      </c>
      <c r="AX120" s="49">
        <v>0</v>
      </c>
      <c r="AY120" s="50">
        <v>0</v>
      </c>
      <c r="AZ120" s="49">
        <v>0</v>
      </c>
      <c r="BA120" s="50">
        <v>0</v>
      </c>
      <c r="BB120" s="49">
        <v>19</v>
      </c>
      <c r="BC120" s="50">
        <v>95</v>
      </c>
      <c r="BD120" s="49">
        <v>20</v>
      </c>
      <c r="BE120" s="49"/>
      <c r="BF120" s="49"/>
      <c r="BG120" s="49"/>
      <c r="BH120" s="49"/>
      <c r="BI120" s="49"/>
      <c r="BJ120" s="49"/>
      <c r="BK120" s="111" t="s">
        <v>3510</v>
      </c>
      <c r="BL120" s="111" t="s">
        <v>3510</v>
      </c>
      <c r="BM120" s="111" t="s">
        <v>3960</v>
      </c>
      <c r="BN120" s="111" t="s">
        <v>3960</v>
      </c>
      <c r="BO120" s="2"/>
      <c r="BP120" s="3"/>
      <c r="BQ120" s="3"/>
      <c r="BR120" s="3"/>
      <c r="BS120" s="3"/>
    </row>
    <row r="121" spans="1:71" ht="15">
      <c r="A121" s="65" t="s">
        <v>455</v>
      </c>
      <c r="B121" s="66"/>
      <c r="C121" s="66"/>
      <c r="D121" s="67">
        <v>150</v>
      </c>
      <c r="E121" s="69"/>
      <c r="F121" s="103" t="str">
        <f>HYPERLINK("https://yt3.ggpht.com/FZMhamTlR1vfjLIaTdXERlTZbaTWFhzvDQetELub4LDhYJOIBMJYsqeyfQEjmaGWiP0wiMN3=s88-c-k-c0x00ffffff-no-rj")</f>
        <v>https://yt3.ggpht.com/FZMhamTlR1vfjLIaTdXERlTZbaTWFhzvDQetELub4LDhYJOIBMJYsqeyfQEjmaGWiP0wiMN3=s88-c-k-c0x00ffffff-no-rj</v>
      </c>
      <c r="G121" s="66"/>
      <c r="H121" s="70" t="s">
        <v>1523</v>
      </c>
      <c r="I121" s="71"/>
      <c r="J121" s="71" t="s">
        <v>159</v>
      </c>
      <c r="K121" s="70" t="s">
        <v>1523</v>
      </c>
      <c r="L121" s="74">
        <v>1</v>
      </c>
      <c r="M121" s="75">
        <v>9351.5068359375</v>
      </c>
      <c r="N121" s="75">
        <v>3121.011474609375</v>
      </c>
      <c r="O121" s="76"/>
      <c r="P121" s="77"/>
      <c r="Q121" s="77"/>
      <c r="R121" s="89"/>
      <c r="S121" s="49">
        <v>0</v>
      </c>
      <c r="T121" s="49">
        <v>1</v>
      </c>
      <c r="U121" s="50">
        <v>0</v>
      </c>
      <c r="V121" s="50">
        <v>0.324638</v>
      </c>
      <c r="W121" s="50">
        <v>0.001669</v>
      </c>
      <c r="X121" s="50">
        <v>0.00202</v>
      </c>
      <c r="Y121" s="50">
        <v>0</v>
      </c>
      <c r="Z121" s="50">
        <v>0</v>
      </c>
      <c r="AA121" s="72">
        <v>121</v>
      </c>
      <c r="AB121" s="72"/>
      <c r="AC121" s="73"/>
      <c r="AD121" s="80" t="s">
        <v>1523</v>
      </c>
      <c r="AE121" s="80" t="s">
        <v>1977</v>
      </c>
      <c r="AF121" s="80"/>
      <c r="AG121" s="80"/>
      <c r="AH121" s="80"/>
      <c r="AI121" s="80"/>
      <c r="AJ121" s="87">
        <v>40868.828043981484</v>
      </c>
      <c r="AK121" s="85" t="str">
        <f>HYPERLINK("https://yt3.ggpht.com/FZMhamTlR1vfjLIaTdXERlTZbaTWFhzvDQetELub4LDhYJOIBMJYsqeyfQEjmaGWiP0wiMN3=s88-c-k-c0x00ffffff-no-rj")</f>
        <v>https://yt3.ggpht.com/FZMhamTlR1vfjLIaTdXERlTZbaTWFhzvDQetELub4LDhYJOIBMJYsqeyfQEjmaGWiP0wiMN3=s88-c-k-c0x00ffffff-no-rj</v>
      </c>
      <c r="AL121" s="80">
        <v>173</v>
      </c>
      <c r="AM121" s="80">
        <v>0</v>
      </c>
      <c r="AN121" s="80">
        <v>9</v>
      </c>
      <c r="AO121" s="80" t="b">
        <v>0</v>
      </c>
      <c r="AP121" s="80">
        <v>5</v>
      </c>
      <c r="AQ121" s="80"/>
      <c r="AR121" s="80"/>
      <c r="AS121" s="80" t="s">
        <v>2085</v>
      </c>
      <c r="AT121" s="85" t="str">
        <f>HYPERLINK("https://www.youtube.com/channel/UCnWB9pweC3vmwsOFh9CiJ9A")</f>
        <v>https://www.youtube.com/channel/UCnWB9pweC3vmwsOFh9CiJ9A</v>
      </c>
      <c r="AU121" s="80" t="str">
        <f>REPLACE(INDEX(GroupVertices[Group],MATCH(Vertices[[#This Row],[Vertex]],GroupVertices[Vertex],0)),1,1,"")</f>
        <v>13</v>
      </c>
      <c r="AV121" s="49">
        <v>0</v>
      </c>
      <c r="AW121" s="50">
        <v>0</v>
      </c>
      <c r="AX121" s="49">
        <v>0</v>
      </c>
      <c r="AY121" s="50">
        <v>0</v>
      </c>
      <c r="AZ121" s="49">
        <v>0</v>
      </c>
      <c r="BA121" s="50">
        <v>0</v>
      </c>
      <c r="BB121" s="49">
        <v>9</v>
      </c>
      <c r="BC121" s="50">
        <v>100</v>
      </c>
      <c r="BD121" s="49">
        <v>9</v>
      </c>
      <c r="BE121" s="49"/>
      <c r="BF121" s="49"/>
      <c r="BG121" s="49"/>
      <c r="BH121" s="49"/>
      <c r="BI121" s="49"/>
      <c r="BJ121" s="49"/>
      <c r="BK121" s="111" t="s">
        <v>3511</v>
      </c>
      <c r="BL121" s="111" t="s">
        <v>3511</v>
      </c>
      <c r="BM121" s="111" t="s">
        <v>3961</v>
      </c>
      <c r="BN121" s="111" t="s">
        <v>3961</v>
      </c>
      <c r="BO121" s="2"/>
      <c r="BP121" s="3"/>
      <c r="BQ121" s="3"/>
      <c r="BR121" s="3"/>
      <c r="BS121" s="3"/>
    </row>
    <row r="122" spans="1:71" ht="15">
      <c r="A122" s="65" t="s">
        <v>465</v>
      </c>
      <c r="B122" s="66"/>
      <c r="C122" s="66"/>
      <c r="D122" s="67">
        <v>363.9374295377678</v>
      </c>
      <c r="E122" s="69"/>
      <c r="F122" s="103" t="str">
        <f>HYPERLINK("https://yt3.ggpht.com/ytc/AKedOLTpyQhXku3DZNdm_pjdU9dxbJNDKqD50BWbZQ=s88-c-k-c0x00ffffff-no-rj")</f>
        <v>https://yt3.ggpht.com/ytc/AKedOLTpyQhXku3DZNdm_pjdU9dxbJNDKqD50BWbZQ=s88-c-k-c0x00ffffff-no-rj</v>
      </c>
      <c r="G122" s="66"/>
      <c r="H122" s="70" t="s">
        <v>1533</v>
      </c>
      <c r="I122" s="71"/>
      <c r="J122" s="71" t="s">
        <v>75</v>
      </c>
      <c r="K122" s="70" t="s">
        <v>1533</v>
      </c>
      <c r="L122" s="74">
        <v>90.30647601471401</v>
      </c>
      <c r="M122" s="75">
        <v>9351.5068359375</v>
      </c>
      <c r="N122" s="75">
        <v>2804.866455078125</v>
      </c>
      <c r="O122" s="76"/>
      <c r="P122" s="77"/>
      <c r="Q122" s="77"/>
      <c r="R122" s="89"/>
      <c r="S122" s="49">
        <v>2</v>
      </c>
      <c r="T122" s="49">
        <v>1</v>
      </c>
      <c r="U122" s="50">
        <v>1786</v>
      </c>
      <c r="V122" s="50">
        <v>0.480171</v>
      </c>
      <c r="W122" s="50">
        <v>0.034873</v>
      </c>
      <c r="X122" s="50">
        <v>0.002541</v>
      </c>
      <c r="Y122" s="50">
        <v>0</v>
      </c>
      <c r="Z122" s="50">
        <v>0</v>
      </c>
      <c r="AA122" s="72">
        <v>122</v>
      </c>
      <c r="AB122" s="72"/>
      <c r="AC122" s="73"/>
      <c r="AD122" s="80" t="s">
        <v>1533</v>
      </c>
      <c r="AE122" s="80"/>
      <c r="AF122" s="80"/>
      <c r="AG122" s="80"/>
      <c r="AH122" s="80"/>
      <c r="AI122" s="80"/>
      <c r="AJ122" s="87">
        <v>39622.168645833335</v>
      </c>
      <c r="AK122" s="85" t="str">
        <f>HYPERLINK("https://yt3.ggpht.com/ytc/AKedOLTpyQhXku3DZNdm_pjdU9dxbJNDKqD50BWbZQ=s88-c-k-c0x00ffffff-no-rj")</f>
        <v>https://yt3.ggpht.com/ytc/AKedOLTpyQhXku3DZNdm_pjdU9dxbJNDKqD50BWbZQ=s88-c-k-c0x00ffffff-no-rj</v>
      </c>
      <c r="AL122" s="80">
        <v>0</v>
      </c>
      <c r="AM122" s="80">
        <v>0</v>
      </c>
      <c r="AN122" s="80">
        <v>0</v>
      </c>
      <c r="AO122" s="80" t="b">
        <v>0</v>
      </c>
      <c r="AP122" s="80">
        <v>0</v>
      </c>
      <c r="AQ122" s="80"/>
      <c r="AR122" s="80"/>
      <c r="AS122" s="80" t="s">
        <v>2085</v>
      </c>
      <c r="AT122" s="85" t="str">
        <f>HYPERLINK("https://www.youtube.com/channel/UCIrzfquSKE6mbwQqyL-Y8eQ")</f>
        <v>https://www.youtube.com/channel/UCIrzfquSKE6mbwQqyL-Y8eQ</v>
      </c>
      <c r="AU122" s="80" t="str">
        <f>REPLACE(INDEX(GroupVertices[Group],MATCH(Vertices[[#This Row],[Vertex]],GroupVertices[Vertex],0)),1,1,"")</f>
        <v>13</v>
      </c>
      <c r="AV122" s="49">
        <v>6</v>
      </c>
      <c r="AW122" s="50">
        <v>3.870967741935484</v>
      </c>
      <c r="AX122" s="49">
        <v>1</v>
      </c>
      <c r="AY122" s="50">
        <v>0.6451612903225806</v>
      </c>
      <c r="AZ122" s="49">
        <v>0</v>
      </c>
      <c r="BA122" s="50">
        <v>0</v>
      </c>
      <c r="BB122" s="49">
        <v>148</v>
      </c>
      <c r="BC122" s="50">
        <v>95.48387096774194</v>
      </c>
      <c r="BD122" s="49">
        <v>155</v>
      </c>
      <c r="BE122" s="49"/>
      <c r="BF122" s="49"/>
      <c r="BG122" s="49"/>
      <c r="BH122" s="49"/>
      <c r="BI122" s="49"/>
      <c r="BJ122" s="49"/>
      <c r="BK122" s="111" t="s">
        <v>3512</v>
      </c>
      <c r="BL122" s="111" t="s">
        <v>3825</v>
      </c>
      <c r="BM122" s="111" t="s">
        <v>3962</v>
      </c>
      <c r="BN122" s="111" t="s">
        <v>3962</v>
      </c>
      <c r="BO122" s="2"/>
      <c r="BP122" s="3"/>
      <c r="BQ122" s="3"/>
      <c r="BR122" s="3"/>
      <c r="BS122" s="3"/>
    </row>
    <row r="123" spans="1:71" ht="15">
      <c r="A123" s="65" t="s">
        <v>456</v>
      </c>
      <c r="B123" s="66"/>
      <c r="C123" s="66"/>
      <c r="D123" s="67">
        <v>150</v>
      </c>
      <c r="E123" s="69"/>
      <c r="F123" s="103" t="str">
        <f>HYPERLINK("https://yt3.ggpht.com/ytc/AKedOLSKMS71MEtd6QUCIxr8d-aB5cwg-qfLnBrrRu-W=s88-c-k-c0x00ffffff-no-rj")</f>
        <v>https://yt3.ggpht.com/ytc/AKedOLSKMS71MEtd6QUCIxr8d-aB5cwg-qfLnBrrRu-W=s88-c-k-c0x00ffffff-no-rj</v>
      </c>
      <c r="G123" s="66"/>
      <c r="H123" s="70" t="s">
        <v>1524</v>
      </c>
      <c r="I123" s="71"/>
      <c r="J123" s="71" t="s">
        <v>159</v>
      </c>
      <c r="K123" s="70" t="s">
        <v>1524</v>
      </c>
      <c r="L123" s="74">
        <v>1</v>
      </c>
      <c r="M123" s="75">
        <v>9712.404296875</v>
      </c>
      <c r="N123" s="75">
        <v>3121.011474609375</v>
      </c>
      <c r="O123" s="76"/>
      <c r="P123" s="77"/>
      <c r="Q123" s="77"/>
      <c r="R123" s="89"/>
      <c r="S123" s="49">
        <v>0</v>
      </c>
      <c r="T123" s="49">
        <v>1</v>
      </c>
      <c r="U123" s="50">
        <v>0</v>
      </c>
      <c r="V123" s="50">
        <v>0.324638</v>
      </c>
      <c r="W123" s="50">
        <v>0.001669</v>
      </c>
      <c r="X123" s="50">
        <v>0.00202</v>
      </c>
      <c r="Y123" s="50">
        <v>0</v>
      </c>
      <c r="Z123" s="50">
        <v>0</v>
      </c>
      <c r="AA123" s="72">
        <v>123</v>
      </c>
      <c r="AB123" s="72"/>
      <c r="AC123" s="73"/>
      <c r="AD123" s="80" t="s">
        <v>1524</v>
      </c>
      <c r="AE123" s="80" t="s">
        <v>1978</v>
      </c>
      <c r="AF123" s="80"/>
      <c r="AG123" s="80"/>
      <c r="AH123" s="80"/>
      <c r="AI123" s="80"/>
      <c r="AJ123" s="87">
        <v>41205.507002314815</v>
      </c>
      <c r="AK123" s="85" t="str">
        <f>HYPERLINK("https://yt3.ggpht.com/ytc/AKedOLSKMS71MEtd6QUCIxr8d-aB5cwg-qfLnBrrRu-W=s88-c-k-c0x00ffffff-no-rj")</f>
        <v>https://yt3.ggpht.com/ytc/AKedOLSKMS71MEtd6QUCIxr8d-aB5cwg-qfLnBrrRu-W=s88-c-k-c0x00ffffff-no-rj</v>
      </c>
      <c r="AL123" s="80">
        <v>0</v>
      </c>
      <c r="AM123" s="80">
        <v>0</v>
      </c>
      <c r="AN123" s="80">
        <v>0</v>
      </c>
      <c r="AO123" s="80" t="b">
        <v>1</v>
      </c>
      <c r="AP123" s="80">
        <v>0</v>
      </c>
      <c r="AQ123" s="80"/>
      <c r="AR123" s="80"/>
      <c r="AS123" s="80" t="s">
        <v>2085</v>
      </c>
      <c r="AT123" s="85" t="str">
        <f>HYPERLINK("https://www.youtube.com/channel/UCzdkUb_z4LGJ-yz6CW4wFOQ")</f>
        <v>https://www.youtube.com/channel/UCzdkUb_z4LGJ-yz6CW4wFOQ</v>
      </c>
      <c r="AU123" s="80" t="str">
        <f>REPLACE(INDEX(GroupVertices[Group],MATCH(Vertices[[#This Row],[Vertex]],GroupVertices[Vertex],0)),1,1,"")</f>
        <v>13</v>
      </c>
      <c r="AV123" s="49">
        <v>0</v>
      </c>
      <c r="AW123" s="50">
        <v>0</v>
      </c>
      <c r="AX123" s="49">
        <v>0</v>
      </c>
      <c r="AY123" s="50">
        <v>0</v>
      </c>
      <c r="AZ123" s="49">
        <v>0</v>
      </c>
      <c r="BA123" s="50">
        <v>0</v>
      </c>
      <c r="BB123" s="49">
        <v>11</v>
      </c>
      <c r="BC123" s="50">
        <v>100</v>
      </c>
      <c r="BD123" s="49">
        <v>11</v>
      </c>
      <c r="BE123" s="49"/>
      <c r="BF123" s="49"/>
      <c r="BG123" s="49"/>
      <c r="BH123" s="49"/>
      <c r="BI123" s="49"/>
      <c r="BJ123" s="49"/>
      <c r="BK123" s="111" t="s">
        <v>3513</v>
      </c>
      <c r="BL123" s="111" t="s">
        <v>3513</v>
      </c>
      <c r="BM123" s="111" t="s">
        <v>3963</v>
      </c>
      <c r="BN123" s="111" t="s">
        <v>3963</v>
      </c>
      <c r="BO123" s="2"/>
      <c r="BP123" s="3"/>
      <c r="BQ123" s="3"/>
      <c r="BR123" s="3"/>
      <c r="BS123" s="3"/>
    </row>
    <row r="124" spans="1:71" ht="15">
      <c r="A124" s="65" t="s">
        <v>457</v>
      </c>
      <c r="B124" s="66"/>
      <c r="C124" s="66"/>
      <c r="D124" s="67">
        <v>150</v>
      </c>
      <c r="E124" s="69"/>
      <c r="F124" s="103" t="str">
        <f>HYPERLINK("https://yt3.ggpht.com/ytc/AKedOLTan5FhnTStZAJBZ-IKeyrWl6UCk1fEx0NJKMYL=s88-c-k-c0x00ffffff-no-rj")</f>
        <v>https://yt3.ggpht.com/ytc/AKedOLTan5FhnTStZAJBZ-IKeyrWl6UCk1fEx0NJKMYL=s88-c-k-c0x00ffffff-no-rj</v>
      </c>
      <c r="G124" s="66"/>
      <c r="H124" s="70" t="s">
        <v>1525</v>
      </c>
      <c r="I124" s="71"/>
      <c r="J124" s="71" t="s">
        <v>159</v>
      </c>
      <c r="K124" s="70" t="s">
        <v>1525</v>
      </c>
      <c r="L124" s="74">
        <v>1</v>
      </c>
      <c r="M124" s="75">
        <v>6028.2451171875</v>
      </c>
      <c r="N124" s="75">
        <v>7208.9873046875</v>
      </c>
      <c r="O124" s="76"/>
      <c r="P124" s="77"/>
      <c r="Q124" s="77"/>
      <c r="R124" s="89"/>
      <c r="S124" s="49">
        <v>0</v>
      </c>
      <c r="T124" s="49">
        <v>1</v>
      </c>
      <c r="U124" s="50">
        <v>0</v>
      </c>
      <c r="V124" s="50">
        <v>0.478122</v>
      </c>
      <c r="W124" s="50">
        <v>0.03471</v>
      </c>
      <c r="X124" s="50">
        <v>0.001935</v>
      </c>
      <c r="Y124" s="50">
        <v>0</v>
      </c>
      <c r="Z124" s="50">
        <v>0</v>
      </c>
      <c r="AA124" s="72">
        <v>124</v>
      </c>
      <c r="AB124" s="72"/>
      <c r="AC124" s="73"/>
      <c r="AD124" s="80" t="s">
        <v>1525</v>
      </c>
      <c r="AE124" s="80"/>
      <c r="AF124" s="80"/>
      <c r="AG124" s="80"/>
      <c r="AH124" s="80"/>
      <c r="AI124" s="80"/>
      <c r="AJ124" s="87">
        <v>38945.42349537037</v>
      </c>
      <c r="AK124" s="85" t="str">
        <f>HYPERLINK("https://yt3.ggpht.com/ytc/AKedOLTan5FhnTStZAJBZ-IKeyrWl6UCk1fEx0NJKMYL=s88-c-k-c0x00ffffff-no-rj")</f>
        <v>https://yt3.ggpht.com/ytc/AKedOLTan5FhnTStZAJBZ-IKeyrWl6UCk1fEx0NJKMYL=s88-c-k-c0x00ffffff-no-rj</v>
      </c>
      <c r="AL124" s="80">
        <v>227</v>
      </c>
      <c r="AM124" s="80">
        <v>0</v>
      </c>
      <c r="AN124" s="80">
        <v>12</v>
      </c>
      <c r="AO124" s="80" t="b">
        <v>0</v>
      </c>
      <c r="AP124" s="80">
        <v>1</v>
      </c>
      <c r="AQ124" s="80"/>
      <c r="AR124" s="80"/>
      <c r="AS124" s="80" t="s">
        <v>2085</v>
      </c>
      <c r="AT124" s="85" t="str">
        <f>HYPERLINK("https://www.youtube.com/channel/UCQWi4ALl7UzEqBQ_DhdkygA")</f>
        <v>https://www.youtube.com/channel/UCQWi4ALl7UzEqBQ_DhdkygA</v>
      </c>
      <c r="AU124" s="80" t="str">
        <f>REPLACE(INDEX(GroupVertices[Group],MATCH(Vertices[[#This Row],[Vertex]],GroupVertices[Vertex],0)),1,1,"")</f>
        <v>1</v>
      </c>
      <c r="AV124" s="49">
        <v>1</v>
      </c>
      <c r="AW124" s="50">
        <v>50</v>
      </c>
      <c r="AX124" s="49">
        <v>0</v>
      </c>
      <c r="AY124" s="50">
        <v>0</v>
      </c>
      <c r="AZ124" s="49">
        <v>0</v>
      </c>
      <c r="BA124" s="50">
        <v>0</v>
      </c>
      <c r="BB124" s="49">
        <v>1</v>
      </c>
      <c r="BC124" s="50">
        <v>50</v>
      </c>
      <c r="BD124" s="49">
        <v>2</v>
      </c>
      <c r="BE124" s="49"/>
      <c r="BF124" s="49"/>
      <c r="BG124" s="49"/>
      <c r="BH124" s="49"/>
      <c r="BI124" s="49"/>
      <c r="BJ124" s="49"/>
      <c r="BK124" s="111" t="s">
        <v>2140</v>
      </c>
      <c r="BL124" s="111" t="s">
        <v>2140</v>
      </c>
      <c r="BM124" s="111" t="s">
        <v>1927</v>
      </c>
      <c r="BN124" s="111" t="s">
        <v>1927</v>
      </c>
      <c r="BO124" s="2"/>
      <c r="BP124" s="3"/>
      <c r="BQ124" s="3"/>
      <c r="BR124" s="3"/>
      <c r="BS124" s="3"/>
    </row>
    <row r="125" spans="1:71" ht="15">
      <c r="A125" s="65" t="s">
        <v>458</v>
      </c>
      <c r="B125" s="66"/>
      <c r="C125" s="66"/>
      <c r="D125" s="67">
        <v>150</v>
      </c>
      <c r="E125" s="69"/>
      <c r="F125" s="103" t="str">
        <f>HYPERLINK("https://yt3.ggpht.com/ytc/AKedOLS44xFIhgWMI3UvQvuIhK3ZAJJ9jKeJfsO7CA=s88-c-k-c0x00ffffff-no-rj")</f>
        <v>https://yt3.ggpht.com/ytc/AKedOLS44xFIhgWMI3UvQvuIhK3ZAJJ9jKeJfsO7CA=s88-c-k-c0x00ffffff-no-rj</v>
      </c>
      <c r="G125" s="66"/>
      <c r="H125" s="70" t="s">
        <v>1526</v>
      </c>
      <c r="I125" s="71"/>
      <c r="J125" s="71" t="s">
        <v>159</v>
      </c>
      <c r="K125" s="70" t="s">
        <v>1526</v>
      </c>
      <c r="L125" s="74">
        <v>1</v>
      </c>
      <c r="M125" s="75">
        <v>4944.02978515625</v>
      </c>
      <c r="N125" s="75">
        <v>8948.3994140625</v>
      </c>
      <c r="O125" s="76"/>
      <c r="P125" s="77"/>
      <c r="Q125" s="77"/>
      <c r="R125" s="89"/>
      <c r="S125" s="49">
        <v>0</v>
      </c>
      <c r="T125" s="49">
        <v>1</v>
      </c>
      <c r="U125" s="50">
        <v>0</v>
      </c>
      <c r="V125" s="50">
        <v>0.478122</v>
      </c>
      <c r="W125" s="50">
        <v>0.03471</v>
      </c>
      <c r="X125" s="50">
        <v>0.001935</v>
      </c>
      <c r="Y125" s="50">
        <v>0</v>
      </c>
      <c r="Z125" s="50">
        <v>0</v>
      </c>
      <c r="AA125" s="72">
        <v>125</v>
      </c>
      <c r="AB125" s="72"/>
      <c r="AC125" s="73"/>
      <c r="AD125" s="80" t="s">
        <v>1526</v>
      </c>
      <c r="AE125" s="80"/>
      <c r="AF125" s="80"/>
      <c r="AG125" s="80"/>
      <c r="AH125" s="80"/>
      <c r="AI125" s="80"/>
      <c r="AJ125" s="87">
        <v>38965.44483796296</v>
      </c>
      <c r="AK125" s="85" t="str">
        <f>HYPERLINK("https://yt3.ggpht.com/ytc/AKedOLS44xFIhgWMI3UvQvuIhK3ZAJJ9jKeJfsO7CA=s88-c-k-c0x00ffffff-no-rj")</f>
        <v>https://yt3.ggpht.com/ytc/AKedOLS44xFIhgWMI3UvQvuIhK3ZAJJ9jKeJfsO7CA=s88-c-k-c0x00ffffff-no-rj</v>
      </c>
      <c r="AL125" s="80">
        <v>28938</v>
      </c>
      <c r="AM125" s="80">
        <v>0</v>
      </c>
      <c r="AN125" s="80">
        <v>17</v>
      </c>
      <c r="AO125" s="80" t="b">
        <v>0</v>
      </c>
      <c r="AP125" s="80">
        <v>4</v>
      </c>
      <c r="AQ125" s="80"/>
      <c r="AR125" s="80"/>
      <c r="AS125" s="80" t="s">
        <v>2085</v>
      </c>
      <c r="AT125" s="85" t="str">
        <f>HYPERLINK("https://www.youtube.com/channel/UCESIaJhf6RuFhvtpGfvCEVg")</f>
        <v>https://www.youtube.com/channel/UCESIaJhf6RuFhvtpGfvCEVg</v>
      </c>
      <c r="AU125" s="80" t="str">
        <f>REPLACE(INDEX(GroupVertices[Group],MATCH(Vertices[[#This Row],[Vertex]],GroupVertices[Vertex],0)),1,1,"")</f>
        <v>1</v>
      </c>
      <c r="AV125" s="49">
        <v>3</v>
      </c>
      <c r="AW125" s="50">
        <v>3.2967032967032965</v>
      </c>
      <c r="AX125" s="49">
        <v>9</v>
      </c>
      <c r="AY125" s="50">
        <v>9.89010989010989</v>
      </c>
      <c r="AZ125" s="49">
        <v>0</v>
      </c>
      <c r="BA125" s="50">
        <v>0</v>
      </c>
      <c r="BB125" s="49">
        <v>79</v>
      </c>
      <c r="BC125" s="50">
        <v>86.81318681318682</v>
      </c>
      <c r="BD125" s="49">
        <v>91</v>
      </c>
      <c r="BE125" s="49"/>
      <c r="BF125" s="49"/>
      <c r="BG125" s="49"/>
      <c r="BH125" s="49"/>
      <c r="BI125" s="49"/>
      <c r="BJ125" s="49"/>
      <c r="BK125" s="111" t="s">
        <v>3514</v>
      </c>
      <c r="BL125" s="111" t="s">
        <v>3514</v>
      </c>
      <c r="BM125" s="111" t="s">
        <v>3964</v>
      </c>
      <c r="BN125" s="111" t="s">
        <v>3964</v>
      </c>
      <c r="BO125" s="2"/>
      <c r="BP125" s="3"/>
      <c r="BQ125" s="3"/>
      <c r="BR125" s="3"/>
      <c r="BS125" s="3"/>
    </row>
    <row r="126" spans="1:71" ht="15">
      <c r="A126" s="65" t="s">
        <v>459</v>
      </c>
      <c r="B126" s="66"/>
      <c r="C126" s="66"/>
      <c r="D126" s="67">
        <v>150</v>
      </c>
      <c r="E126" s="69"/>
      <c r="F126" s="103" t="str">
        <f>HYPERLINK("https://yt3.ggpht.com/ytc/AKedOLTHE6P59EpdP86JgsOSDHXGE7_bQfo8DVCEXvCEhQ=s88-c-k-c0x00ffffff-no-rj")</f>
        <v>https://yt3.ggpht.com/ytc/AKedOLTHE6P59EpdP86JgsOSDHXGE7_bQfo8DVCEXvCEhQ=s88-c-k-c0x00ffffff-no-rj</v>
      </c>
      <c r="G126" s="66"/>
      <c r="H126" s="70" t="s">
        <v>1527</v>
      </c>
      <c r="I126" s="71"/>
      <c r="J126" s="71" t="s">
        <v>159</v>
      </c>
      <c r="K126" s="70" t="s">
        <v>1527</v>
      </c>
      <c r="L126" s="74">
        <v>1</v>
      </c>
      <c r="M126" s="75">
        <v>7923.70849609375</v>
      </c>
      <c r="N126" s="75">
        <v>3398.594970703125</v>
      </c>
      <c r="O126" s="76"/>
      <c r="P126" s="77"/>
      <c r="Q126" s="77"/>
      <c r="R126" s="89"/>
      <c r="S126" s="49">
        <v>0</v>
      </c>
      <c r="T126" s="49">
        <v>1</v>
      </c>
      <c r="U126" s="50">
        <v>0</v>
      </c>
      <c r="V126" s="50">
        <v>0.478122</v>
      </c>
      <c r="W126" s="50">
        <v>0.03471</v>
      </c>
      <c r="X126" s="50">
        <v>0.001935</v>
      </c>
      <c r="Y126" s="50">
        <v>0</v>
      </c>
      <c r="Z126" s="50">
        <v>0</v>
      </c>
      <c r="AA126" s="72">
        <v>126</v>
      </c>
      <c r="AB126" s="72"/>
      <c r="AC126" s="73"/>
      <c r="AD126" s="80" t="s">
        <v>1527</v>
      </c>
      <c r="AE126" s="80"/>
      <c r="AF126" s="80"/>
      <c r="AG126" s="80"/>
      <c r="AH126" s="80"/>
      <c r="AI126" s="80" t="s">
        <v>2065</v>
      </c>
      <c r="AJ126" s="87">
        <v>41110.79373842593</v>
      </c>
      <c r="AK126" s="85" t="str">
        <f>HYPERLINK("https://yt3.ggpht.com/ytc/AKedOLTHE6P59EpdP86JgsOSDHXGE7_bQfo8DVCEXvCEhQ=s88-c-k-c0x00ffffff-no-rj")</f>
        <v>https://yt3.ggpht.com/ytc/AKedOLTHE6P59EpdP86JgsOSDHXGE7_bQfo8DVCEXvCEhQ=s88-c-k-c0x00ffffff-no-rj</v>
      </c>
      <c r="AL126" s="80">
        <v>6207</v>
      </c>
      <c r="AM126" s="80">
        <v>0</v>
      </c>
      <c r="AN126" s="80">
        <v>48</v>
      </c>
      <c r="AO126" s="80" t="b">
        <v>0</v>
      </c>
      <c r="AP126" s="80">
        <v>23</v>
      </c>
      <c r="AQ126" s="80"/>
      <c r="AR126" s="80"/>
      <c r="AS126" s="80" t="s">
        <v>2085</v>
      </c>
      <c r="AT126" s="85" t="str">
        <f>HYPERLINK("https://www.youtube.com/channel/UCVXQrNbG3_sjKQE9T4fpkYQ")</f>
        <v>https://www.youtube.com/channel/UCVXQrNbG3_sjKQE9T4fpkYQ</v>
      </c>
      <c r="AU126" s="80" t="str">
        <f>REPLACE(INDEX(GroupVertices[Group],MATCH(Vertices[[#This Row],[Vertex]],GroupVertices[Vertex],0)),1,1,"")</f>
        <v>1</v>
      </c>
      <c r="AV126" s="49">
        <v>0</v>
      </c>
      <c r="AW126" s="50">
        <v>0</v>
      </c>
      <c r="AX126" s="49">
        <v>0</v>
      </c>
      <c r="AY126" s="50">
        <v>0</v>
      </c>
      <c r="AZ126" s="49">
        <v>0</v>
      </c>
      <c r="BA126" s="50">
        <v>0</v>
      </c>
      <c r="BB126" s="49">
        <v>9</v>
      </c>
      <c r="BC126" s="50">
        <v>100</v>
      </c>
      <c r="BD126" s="49">
        <v>9</v>
      </c>
      <c r="BE126" s="49"/>
      <c r="BF126" s="49"/>
      <c r="BG126" s="49"/>
      <c r="BH126" s="49"/>
      <c r="BI126" s="49"/>
      <c r="BJ126" s="49"/>
      <c r="BK126" s="111" t="s">
        <v>2496</v>
      </c>
      <c r="BL126" s="111" t="s">
        <v>2496</v>
      </c>
      <c r="BM126" s="111" t="s">
        <v>1927</v>
      </c>
      <c r="BN126" s="111" t="s">
        <v>1927</v>
      </c>
      <c r="BO126" s="2"/>
      <c r="BP126" s="3"/>
      <c r="BQ126" s="3"/>
      <c r="BR126" s="3"/>
      <c r="BS126" s="3"/>
    </row>
    <row r="127" spans="1:71" ht="15">
      <c r="A127" s="65" t="s">
        <v>460</v>
      </c>
      <c r="B127" s="66"/>
      <c r="C127" s="66"/>
      <c r="D127" s="67">
        <v>150</v>
      </c>
      <c r="E127" s="69"/>
      <c r="F127" s="103" t="str">
        <f>HYPERLINK("https://yt3.ggpht.com/ytc/AKedOLS416fXV0oDSWS-8ne06JPIBIMBR2n8qdWK_8iWKA=s88-c-k-c0x00ffffff-no-rj")</f>
        <v>https://yt3.ggpht.com/ytc/AKedOLS416fXV0oDSWS-8ne06JPIBIMBR2n8qdWK_8iWKA=s88-c-k-c0x00ffffff-no-rj</v>
      </c>
      <c r="G127" s="66"/>
      <c r="H127" s="70" t="s">
        <v>1528</v>
      </c>
      <c r="I127" s="71"/>
      <c r="J127" s="71" t="s">
        <v>159</v>
      </c>
      <c r="K127" s="70" t="s">
        <v>1528</v>
      </c>
      <c r="L127" s="74">
        <v>1</v>
      </c>
      <c r="M127" s="75">
        <v>5132.8125</v>
      </c>
      <c r="N127" s="75">
        <v>6150.13525390625</v>
      </c>
      <c r="O127" s="76"/>
      <c r="P127" s="77"/>
      <c r="Q127" s="77"/>
      <c r="R127" s="89"/>
      <c r="S127" s="49">
        <v>0</v>
      </c>
      <c r="T127" s="49">
        <v>1</v>
      </c>
      <c r="U127" s="50">
        <v>0</v>
      </c>
      <c r="V127" s="50">
        <v>0.478122</v>
      </c>
      <c r="W127" s="50">
        <v>0.03471</v>
      </c>
      <c r="X127" s="50">
        <v>0.001935</v>
      </c>
      <c r="Y127" s="50">
        <v>0</v>
      </c>
      <c r="Z127" s="50">
        <v>0</v>
      </c>
      <c r="AA127" s="72">
        <v>127</v>
      </c>
      <c r="AB127" s="72"/>
      <c r="AC127" s="73"/>
      <c r="AD127" s="80" t="s">
        <v>1528</v>
      </c>
      <c r="AE127" s="80" t="s">
        <v>1979</v>
      </c>
      <c r="AF127" s="80"/>
      <c r="AG127" s="80"/>
      <c r="AH127" s="80"/>
      <c r="AI127" s="80"/>
      <c r="AJ127" s="87">
        <v>40050.005428240744</v>
      </c>
      <c r="AK127" s="85" t="str">
        <f>HYPERLINK("https://yt3.ggpht.com/ytc/AKedOLS416fXV0oDSWS-8ne06JPIBIMBR2n8qdWK_8iWKA=s88-c-k-c0x00ffffff-no-rj")</f>
        <v>https://yt3.ggpht.com/ytc/AKedOLS416fXV0oDSWS-8ne06JPIBIMBR2n8qdWK_8iWKA=s88-c-k-c0x00ffffff-no-rj</v>
      </c>
      <c r="AL127" s="80">
        <v>0</v>
      </c>
      <c r="AM127" s="80">
        <v>0</v>
      </c>
      <c r="AN127" s="80">
        <v>43</v>
      </c>
      <c r="AO127" s="80" t="b">
        <v>0</v>
      </c>
      <c r="AP127" s="80">
        <v>0</v>
      </c>
      <c r="AQ127" s="80"/>
      <c r="AR127" s="80"/>
      <c r="AS127" s="80" t="s">
        <v>2085</v>
      </c>
      <c r="AT127" s="85" t="str">
        <f>HYPERLINK("https://www.youtube.com/channel/UCCLFsheeNQmsG8a6iEVeTIA")</f>
        <v>https://www.youtube.com/channel/UCCLFsheeNQmsG8a6iEVeTIA</v>
      </c>
      <c r="AU127" s="80" t="str">
        <f>REPLACE(INDEX(GroupVertices[Group],MATCH(Vertices[[#This Row],[Vertex]],GroupVertices[Vertex],0)),1,1,"")</f>
        <v>1</v>
      </c>
      <c r="AV127" s="49">
        <v>0</v>
      </c>
      <c r="AW127" s="50">
        <v>0</v>
      </c>
      <c r="AX127" s="49">
        <v>1</v>
      </c>
      <c r="AY127" s="50">
        <v>5.555555555555555</v>
      </c>
      <c r="AZ127" s="49">
        <v>0</v>
      </c>
      <c r="BA127" s="50">
        <v>0</v>
      </c>
      <c r="BB127" s="49">
        <v>17</v>
      </c>
      <c r="BC127" s="50">
        <v>94.44444444444444</v>
      </c>
      <c r="BD127" s="49">
        <v>18</v>
      </c>
      <c r="BE127" s="49"/>
      <c r="BF127" s="49"/>
      <c r="BG127" s="49"/>
      <c r="BH127" s="49"/>
      <c r="BI127" s="49"/>
      <c r="BJ127" s="49"/>
      <c r="BK127" s="111" t="s">
        <v>3515</v>
      </c>
      <c r="BL127" s="111" t="s">
        <v>3515</v>
      </c>
      <c r="BM127" s="111" t="s">
        <v>3965</v>
      </c>
      <c r="BN127" s="111" t="s">
        <v>3965</v>
      </c>
      <c r="BO127" s="2"/>
      <c r="BP127" s="3"/>
      <c r="BQ127" s="3"/>
      <c r="BR127" s="3"/>
      <c r="BS127" s="3"/>
    </row>
    <row r="128" spans="1:71" ht="15">
      <c r="A128" s="65" t="s">
        <v>461</v>
      </c>
      <c r="B128" s="66"/>
      <c r="C128" s="66"/>
      <c r="D128" s="67">
        <v>150</v>
      </c>
      <c r="E128" s="69"/>
      <c r="F128" s="103" t="str">
        <f>HYPERLINK("https://yt3.ggpht.com/ytc/AKedOLQZ8w2SfVc_IXkqEIu1VFfFzbX6ZlTbW5h5mmw8_Q=s88-c-k-c0x00ffffff-no-rj")</f>
        <v>https://yt3.ggpht.com/ytc/AKedOLQZ8w2SfVc_IXkqEIu1VFfFzbX6ZlTbW5h5mmw8_Q=s88-c-k-c0x00ffffff-no-rj</v>
      </c>
      <c r="G128" s="66"/>
      <c r="H128" s="70" t="s">
        <v>1529</v>
      </c>
      <c r="I128" s="71"/>
      <c r="J128" s="71" t="s">
        <v>159</v>
      </c>
      <c r="K128" s="70" t="s">
        <v>1529</v>
      </c>
      <c r="L128" s="74">
        <v>1</v>
      </c>
      <c r="M128" s="75">
        <v>7424.455078125</v>
      </c>
      <c r="N128" s="75">
        <v>7420.86474609375</v>
      </c>
      <c r="O128" s="76"/>
      <c r="P128" s="77"/>
      <c r="Q128" s="77"/>
      <c r="R128" s="89"/>
      <c r="S128" s="49">
        <v>0</v>
      </c>
      <c r="T128" s="49">
        <v>1</v>
      </c>
      <c r="U128" s="50">
        <v>0</v>
      </c>
      <c r="V128" s="50">
        <v>0.478122</v>
      </c>
      <c r="W128" s="50">
        <v>0.03471</v>
      </c>
      <c r="X128" s="50">
        <v>0.001935</v>
      </c>
      <c r="Y128" s="50">
        <v>0</v>
      </c>
      <c r="Z128" s="50">
        <v>0</v>
      </c>
      <c r="AA128" s="72">
        <v>128</v>
      </c>
      <c r="AB128" s="72"/>
      <c r="AC128" s="73"/>
      <c r="AD128" s="80" t="s">
        <v>1529</v>
      </c>
      <c r="AE128" s="80" t="s">
        <v>1980</v>
      </c>
      <c r="AF128" s="80"/>
      <c r="AG128" s="80"/>
      <c r="AH128" s="80"/>
      <c r="AI128" s="80"/>
      <c r="AJ128" s="87">
        <v>40639.05458333333</v>
      </c>
      <c r="AK128" s="85" t="str">
        <f>HYPERLINK("https://yt3.ggpht.com/ytc/AKedOLQZ8w2SfVc_IXkqEIu1VFfFzbX6ZlTbW5h5mmw8_Q=s88-c-k-c0x00ffffff-no-rj")</f>
        <v>https://yt3.ggpht.com/ytc/AKedOLQZ8w2SfVc_IXkqEIu1VFfFzbX6ZlTbW5h5mmw8_Q=s88-c-k-c0x00ffffff-no-rj</v>
      </c>
      <c r="AL128" s="80">
        <v>2680</v>
      </c>
      <c r="AM128" s="80">
        <v>0</v>
      </c>
      <c r="AN128" s="80">
        <v>112</v>
      </c>
      <c r="AO128" s="80" t="b">
        <v>0</v>
      </c>
      <c r="AP128" s="80">
        <v>18</v>
      </c>
      <c r="AQ128" s="80"/>
      <c r="AR128" s="80"/>
      <c r="AS128" s="80" t="s">
        <v>2085</v>
      </c>
      <c r="AT128" s="85" t="str">
        <f>HYPERLINK("https://www.youtube.com/channel/UC7s6geywFBnD83-AAuxTKkQ")</f>
        <v>https://www.youtube.com/channel/UC7s6geywFBnD83-AAuxTKkQ</v>
      </c>
      <c r="AU128" s="80" t="str">
        <f>REPLACE(INDEX(GroupVertices[Group],MATCH(Vertices[[#This Row],[Vertex]],GroupVertices[Vertex],0)),1,1,"")</f>
        <v>1</v>
      </c>
      <c r="AV128" s="49">
        <v>0</v>
      </c>
      <c r="AW128" s="50">
        <v>0</v>
      </c>
      <c r="AX128" s="49">
        <v>1</v>
      </c>
      <c r="AY128" s="50">
        <v>50</v>
      </c>
      <c r="AZ128" s="49">
        <v>0</v>
      </c>
      <c r="BA128" s="50">
        <v>0</v>
      </c>
      <c r="BB128" s="49">
        <v>1</v>
      </c>
      <c r="BC128" s="50">
        <v>50</v>
      </c>
      <c r="BD128" s="49">
        <v>2</v>
      </c>
      <c r="BE128" s="49"/>
      <c r="BF128" s="49"/>
      <c r="BG128" s="49"/>
      <c r="BH128" s="49"/>
      <c r="BI128" s="49"/>
      <c r="BJ128" s="49"/>
      <c r="BK128" s="111" t="s">
        <v>3516</v>
      </c>
      <c r="BL128" s="111" t="s">
        <v>3516</v>
      </c>
      <c r="BM128" s="111" t="s">
        <v>1927</v>
      </c>
      <c r="BN128" s="111" t="s">
        <v>1927</v>
      </c>
      <c r="BO128" s="2"/>
      <c r="BP128" s="3"/>
      <c r="BQ128" s="3"/>
      <c r="BR128" s="3"/>
      <c r="BS128" s="3"/>
    </row>
    <row r="129" spans="1:71" ht="15">
      <c r="A129" s="65" t="s">
        <v>462</v>
      </c>
      <c r="B129" s="66"/>
      <c r="C129" s="66"/>
      <c r="D129" s="67">
        <v>150</v>
      </c>
      <c r="E129" s="69"/>
      <c r="F129" s="103" t="str">
        <f>HYPERLINK("https://yt3.ggpht.com/ytc/AKedOLS2olhBLBdKb1OvSK_DZ_iiLsKqOdKOjOxXHw=s88-c-k-c0x00ffffff-no-rj")</f>
        <v>https://yt3.ggpht.com/ytc/AKedOLS2olhBLBdKb1OvSK_DZ_iiLsKqOdKOjOxXHw=s88-c-k-c0x00ffffff-no-rj</v>
      </c>
      <c r="G129" s="66"/>
      <c r="H129" s="70" t="s">
        <v>1530</v>
      </c>
      <c r="I129" s="71"/>
      <c r="J129" s="71" t="s">
        <v>159</v>
      </c>
      <c r="K129" s="70" t="s">
        <v>1530</v>
      </c>
      <c r="L129" s="74">
        <v>1</v>
      </c>
      <c r="M129" s="75">
        <v>5800.98046875</v>
      </c>
      <c r="N129" s="75">
        <v>1682.02880859375</v>
      </c>
      <c r="O129" s="76"/>
      <c r="P129" s="77"/>
      <c r="Q129" s="77"/>
      <c r="R129" s="89"/>
      <c r="S129" s="49">
        <v>0</v>
      </c>
      <c r="T129" s="49">
        <v>1</v>
      </c>
      <c r="U129" s="50">
        <v>0</v>
      </c>
      <c r="V129" s="50">
        <v>0.478122</v>
      </c>
      <c r="W129" s="50">
        <v>0.03471</v>
      </c>
      <c r="X129" s="50">
        <v>0.001935</v>
      </c>
      <c r="Y129" s="50">
        <v>0</v>
      </c>
      <c r="Z129" s="50">
        <v>0</v>
      </c>
      <c r="AA129" s="72">
        <v>129</v>
      </c>
      <c r="AB129" s="72"/>
      <c r="AC129" s="73"/>
      <c r="AD129" s="80" t="s">
        <v>1530</v>
      </c>
      <c r="AE129" s="80"/>
      <c r="AF129" s="80"/>
      <c r="AG129" s="80"/>
      <c r="AH129" s="80"/>
      <c r="AI129" s="80"/>
      <c r="AJ129" s="87">
        <v>39040.25690972222</v>
      </c>
      <c r="AK129" s="85" t="str">
        <f>HYPERLINK("https://yt3.ggpht.com/ytc/AKedOLS2olhBLBdKb1OvSK_DZ_iiLsKqOdKOjOxXHw=s88-c-k-c0x00ffffff-no-rj")</f>
        <v>https://yt3.ggpht.com/ytc/AKedOLS2olhBLBdKb1OvSK_DZ_iiLsKqOdKOjOxXHw=s88-c-k-c0x00ffffff-no-rj</v>
      </c>
      <c r="AL129" s="80">
        <v>3634</v>
      </c>
      <c r="AM129" s="80">
        <v>0</v>
      </c>
      <c r="AN129" s="80">
        <v>8</v>
      </c>
      <c r="AO129" s="80" t="b">
        <v>0</v>
      </c>
      <c r="AP129" s="80">
        <v>1</v>
      </c>
      <c r="AQ129" s="80"/>
      <c r="AR129" s="80"/>
      <c r="AS129" s="80" t="s">
        <v>2085</v>
      </c>
      <c r="AT129" s="85" t="str">
        <f>HYPERLINK("https://www.youtube.com/channel/UC7QqPCx8JUs30KzlclH4UiQ")</f>
        <v>https://www.youtube.com/channel/UC7QqPCx8JUs30KzlclH4UiQ</v>
      </c>
      <c r="AU129" s="80" t="str">
        <f>REPLACE(INDEX(GroupVertices[Group],MATCH(Vertices[[#This Row],[Vertex]],GroupVertices[Vertex],0)),1,1,"")</f>
        <v>1</v>
      </c>
      <c r="AV129" s="49">
        <v>0</v>
      </c>
      <c r="AW129" s="50">
        <v>0</v>
      </c>
      <c r="AX129" s="49">
        <v>0</v>
      </c>
      <c r="AY129" s="50">
        <v>0</v>
      </c>
      <c r="AZ129" s="49">
        <v>0</v>
      </c>
      <c r="BA129" s="50">
        <v>0</v>
      </c>
      <c r="BB129" s="49">
        <v>6</v>
      </c>
      <c r="BC129" s="50">
        <v>100</v>
      </c>
      <c r="BD129" s="49">
        <v>6</v>
      </c>
      <c r="BE129" s="49"/>
      <c r="BF129" s="49"/>
      <c r="BG129" s="49"/>
      <c r="BH129" s="49"/>
      <c r="BI129" s="49"/>
      <c r="BJ129" s="49"/>
      <c r="BK129" s="111" t="s">
        <v>3517</v>
      </c>
      <c r="BL129" s="111" t="s">
        <v>3517</v>
      </c>
      <c r="BM129" s="111" t="s">
        <v>3329</v>
      </c>
      <c r="BN129" s="111" t="s">
        <v>3329</v>
      </c>
      <c r="BO129" s="2"/>
      <c r="BP129" s="3"/>
      <c r="BQ129" s="3"/>
      <c r="BR129" s="3"/>
      <c r="BS129" s="3"/>
    </row>
    <row r="130" spans="1:71" ht="15">
      <c r="A130" s="65" t="s">
        <v>463</v>
      </c>
      <c r="B130" s="66"/>
      <c r="C130" s="66"/>
      <c r="D130" s="67">
        <v>150</v>
      </c>
      <c r="E130" s="69"/>
      <c r="F130" s="103" t="str">
        <f>HYPERLINK("https://yt3.ggpht.com/ytc/AKedOLQIq9i5KN4yfPwcdgb4DE3HSJxJaRuPIQaSO2mH=s88-c-k-c0x00ffffff-no-rj")</f>
        <v>https://yt3.ggpht.com/ytc/AKedOLQIq9i5KN4yfPwcdgb4DE3HSJxJaRuPIQaSO2mH=s88-c-k-c0x00ffffff-no-rj</v>
      </c>
      <c r="G130" s="66"/>
      <c r="H130" s="70" t="s">
        <v>1531</v>
      </c>
      <c r="I130" s="71"/>
      <c r="J130" s="71" t="s">
        <v>159</v>
      </c>
      <c r="K130" s="70" t="s">
        <v>1531</v>
      </c>
      <c r="L130" s="74">
        <v>1</v>
      </c>
      <c r="M130" s="75">
        <v>1785.99169921875</v>
      </c>
      <c r="N130" s="75">
        <v>5482.8623046875</v>
      </c>
      <c r="O130" s="76"/>
      <c r="P130" s="77"/>
      <c r="Q130" s="77"/>
      <c r="R130" s="89"/>
      <c r="S130" s="49">
        <v>0</v>
      </c>
      <c r="T130" s="49">
        <v>1</v>
      </c>
      <c r="U130" s="50">
        <v>0</v>
      </c>
      <c r="V130" s="50">
        <v>0.478122</v>
      </c>
      <c r="W130" s="50">
        <v>0.03471</v>
      </c>
      <c r="X130" s="50">
        <v>0.001935</v>
      </c>
      <c r="Y130" s="50">
        <v>0</v>
      </c>
      <c r="Z130" s="50">
        <v>0</v>
      </c>
      <c r="AA130" s="72">
        <v>130</v>
      </c>
      <c r="AB130" s="72"/>
      <c r="AC130" s="73"/>
      <c r="AD130" s="80" t="s">
        <v>1531</v>
      </c>
      <c r="AE130" s="80"/>
      <c r="AF130" s="80"/>
      <c r="AG130" s="80"/>
      <c r="AH130" s="80"/>
      <c r="AI130" s="80"/>
      <c r="AJ130" s="87">
        <v>38858.73391203704</v>
      </c>
      <c r="AK130" s="85" t="str">
        <f>HYPERLINK("https://yt3.ggpht.com/ytc/AKedOLQIq9i5KN4yfPwcdgb4DE3HSJxJaRuPIQaSO2mH=s88-c-k-c0x00ffffff-no-rj")</f>
        <v>https://yt3.ggpht.com/ytc/AKedOLQIq9i5KN4yfPwcdgb4DE3HSJxJaRuPIQaSO2mH=s88-c-k-c0x00ffffff-no-rj</v>
      </c>
      <c r="AL130" s="80">
        <v>3477</v>
      </c>
      <c r="AM130" s="80">
        <v>0</v>
      </c>
      <c r="AN130" s="80">
        <v>28</v>
      </c>
      <c r="AO130" s="80" t="b">
        <v>0</v>
      </c>
      <c r="AP130" s="80">
        <v>9</v>
      </c>
      <c r="AQ130" s="80"/>
      <c r="AR130" s="80"/>
      <c r="AS130" s="80" t="s">
        <v>2085</v>
      </c>
      <c r="AT130" s="85" t="str">
        <f>HYPERLINK("https://www.youtube.com/channel/UCZx4ITIvj0ywX13d6SeMxjg")</f>
        <v>https://www.youtube.com/channel/UCZx4ITIvj0ywX13d6SeMxjg</v>
      </c>
      <c r="AU130" s="80" t="str">
        <f>REPLACE(INDEX(GroupVertices[Group],MATCH(Vertices[[#This Row],[Vertex]],GroupVertices[Vertex],0)),1,1,"")</f>
        <v>1</v>
      </c>
      <c r="AV130" s="49">
        <v>0</v>
      </c>
      <c r="AW130" s="50">
        <v>0</v>
      </c>
      <c r="AX130" s="49">
        <v>0</v>
      </c>
      <c r="AY130" s="50">
        <v>0</v>
      </c>
      <c r="AZ130" s="49">
        <v>0</v>
      </c>
      <c r="BA130" s="50">
        <v>0</v>
      </c>
      <c r="BB130" s="49">
        <v>4</v>
      </c>
      <c r="BC130" s="50">
        <v>100</v>
      </c>
      <c r="BD130" s="49">
        <v>4</v>
      </c>
      <c r="BE130" s="49"/>
      <c r="BF130" s="49"/>
      <c r="BG130" s="49"/>
      <c r="BH130" s="49"/>
      <c r="BI130" s="49"/>
      <c r="BJ130" s="49"/>
      <c r="BK130" s="111" t="s">
        <v>3518</v>
      </c>
      <c r="BL130" s="111" t="s">
        <v>3518</v>
      </c>
      <c r="BM130" s="111" t="s">
        <v>3966</v>
      </c>
      <c r="BN130" s="111" t="s">
        <v>3966</v>
      </c>
      <c r="BO130" s="2"/>
      <c r="BP130" s="3"/>
      <c r="BQ130" s="3"/>
      <c r="BR130" s="3"/>
      <c r="BS130" s="3"/>
    </row>
    <row r="131" spans="1:71" ht="15">
      <c r="A131" s="65" t="s">
        <v>464</v>
      </c>
      <c r="B131" s="66"/>
      <c r="C131" s="66"/>
      <c r="D131" s="67">
        <v>150</v>
      </c>
      <c r="E131" s="69"/>
      <c r="F131" s="103" t="str">
        <f>HYPERLINK("https://yt3.ggpht.com/ytc/AKedOLSg-LufvuPqFFnnsvFohomXso591Zj91ksg8y7S=s88-c-k-c0x00ffffff-no-rj")</f>
        <v>https://yt3.ggpht.com/ytc/AKedOLSg-LufvuPqFFnnsvFohomXso591Zj91ksg8y7S=s88-c-k-c0x00ffffff-no-rj</v>
      </c>
      <c r="G131" s="66"/>
      <c r="H131" s="70" t="s">
        <v>1532</v>
      </c>
      <c r="I131" s="71"/>
      <c r="J131" s="71" t="s">
        <v>159</v>
      </c>
      <c r="K131" s="70" t="s">
        <v>1532</v>
      </c>
      <c r="L131" s="74">
        <v>1</v>
      </c>
      <c r="M131" s="75">
        <v>4071.0400390625</v>
      </c>
      <c r="N131" s="75">
        <v>820.5670166015625</v>
      </c>
      <c r="O131" s="76"/>
      <c r="P131" s="77"/>
      <c r="Q131" s="77"/>
      <c r="R131" s="89"/>
      <c r="S131" s="49">
        <v>0</v>
      </c>
      <c r="T131" s="49">
        <v>1</v>
      </c>
      <c r="U131" s="50">
        <v>0</v>
      </c>
      <c r="V131" s="50">
        <v>0.478122</v>
      </c>
      <c r="W131" s="50">
        <v>0.03471</v>
      </c>
      <c r="X131" s="50">
        <v>0.001935</v>
      </c>
      <c r="Y131" s="50">
        <v>0</v>
      </c>
      <c r="Z131" s="50">
        <v>0</v>
      </c>
      <c r="AA131" s="72">
        <v>131</v>
      </c>
      <c r="AB131" s="72"/>
      <c r="AC131" s="73"/>
      <c r="AD131" s="80" t="s">
        <v>1532</v>
      </c>
      <c r="AE131" s="80"/>
      <c r="AF131" s="80"/>
      <c r="AG131" s="80"/>
      <c r="AH131" s="80"/>
      <c r="AI131" s="80"/>
      <c r="AJ131" s="87">
        <v>40348.018009259256</v>
      </c>
      <c r="AK131" s="85" t="str">
        <f>HYPERLINK("https://yt3.ggpht.com/ytc/AKedOLSg-LufvuPqFFnnsvFohomXso591Zj91ksg8y7S=s88-c-k-c0x00ffffff-no-rj")</f>
        <v>https://yt3.ggpht.com/ytc/AKedOLSg-LufvuPqFFnnsvFohomXso591Zj91ksg8y7S=s88-c-k-c0x00ffffff-no-rj</v>
      </c>
      <c r="AL131" s="80">
        <v>0</v>
      </c>
      <c r="AM131" s="80">
        <v>0</v>
      </c>
      <c r="AN131" s="80">
        <v>3</v>
      </c>
      <c r="AO131" s="80" t="b">
        <v>0</v>
      </c>
      <c r="AP131" s="80">
        <v>0</v>
      </c>
      <c r="AQ131" s="80"/>
      <c r="AR131" s="80"/>
      <c r="AS131" s="80" t="s">
        <v>2085</v>
      </c>
      <c r="AT131" s="85" t="str">
        <f>HYPERLINK("https://www.youtube.com/channel/UCucerXyWN1kO_jFDRofjfTg")</f>
        <v>https://www.youtube.com/channel/UCucerXyWN1kO_jFDRofjfTg</v>
      </c>
      <c r="AU131" s="80" t="str">
        <f>REPLACE(INDEX(GroupVertices[Group],MATCH(Vertices[[#This Row],[Vertex]],GroupVertices[Vertex],0)),1,1,"")</f>
        <v>1</v>
      </c>
      <c r="AV131" s="49">
        <v>1</v>
      </c>
      <c r="AW131" s="50">
        <v>1.2345679012345678</v>
      </c>
      <c r="AX131" s="49">
        <v>5</v>
      </c>
      <c r="AY131" s="50">
        <v>6.172839506172839</v>
      </c>
      <c r="AZ131" s="49">
        <v>0</v>
      </c>
      <c r="BA131" s="50">
        <v>0</v>
      </c>
      <c r="BB131" s="49">
        <v>75</v>
      </c>
      <c r="BC131" s="50">
        <v>92.5925925925926</v>
      </c>
      <c r="BD131" s="49">
        <v>81</v>
      </c>
      <c r="BE131" s="49"/>
      <c r="BF131" s="49"/>
      <c r="BG131" s="49"/>
      <c r="BH131" s="49"/>
      <c r="BI131" s="49"/>
      <c r="BJ131" s="49"/>
      <c r="BK131" s="111" t="s">
        <v>3519</v>
      </c>
      <c r="BL131" s="111" t="s">
        <v>3519</v>
      </c>
      <c r="BM131" s="111" t="s">
        <v>3967</v>
      </c>
      <c r="BN131" s="111" t="s">
        <v>3967</v>
      </c>
      <c r="BO131" s="2"/>
      <c r="BP131" s="3"/>
      <c r="BQ131" s="3"/>
      <c r="BR131" s="3"/>
      <c r="BS131" s="3"/>
    </row>
    <row r="132" spans="1:71" ht="15">
      <c r="A132" s="65" t="s">
        <v>466</v>
      </c>
      <c r="B132" s="66"/>
      <c r="C132" s="66"/>
      <c r="D132" s="67">
        <v>150</v>
      </c>
      <c r="E132" s="69"/>
      <c r="F132" s="103" t="str">
        <f>HYPERLINK("https://yt3.ggpht.com/ytc/AKedOLRknCVb8PUWD74G6bDBibEv0taHIX5WBioIuQ=s88-c-k-c0x00ffffff-no-rj")</f>
        <v>https://yt3.ggpht.com/ytc/AKedOLRknCVb8PUWD74G6bDBibEv0taHIX5WBioIuQ=s88-c-k-c0x00ffffff-no-rj</v>
      </c>
      <c r="G132" s="66"/>
      <c r="H132" s="70" t="s">
        <v>1534</v>
      </c>
      <c r="I132" s="71"/>
      <c r="J132" s="71" t="s">
        <v>159</v>
      </c>
      <c r="K132" s="70" t="s">
        <v>1534</v>
      </c>
      <c r="L132" s="74">
        <v>1</v>
      </c>
      <c r="M132" s="75">
        <v>2161.94384765625</v>
      </c>
      <c r="N132" s="75">
        <v>9157.2548828125</v>
      </c>
      <c r="O132" s="76"/>
      <c r="P132" s="77"/>
      <c r="Q132" s="77"/>
      <c r="R132" s="89"/>
      <c r="S132" s="49">
        <v>0</v>
      </c>
      <c r="T132" s="49">
        <v>1</v>
      </c>
      <c r="U132" s="50">
        <v>0</v>
      </c>
      <c r="V132" s="50">
        <v>0.478122</v>
      </c>
      <c r="W132" s="50">
        <v>0.03471</v>
      </c>
      <c r="X132" s="50">
        <v>0.001935</v>
      </c>
      <c r="Y132" s="50">
        <v>0</v>
      </c>
      <c r="Z132" s="50">
        <v>0</v>
      </c>
      <c r="AA132" s="72">
        <v>132</v>
      </c>
      <c r="AB132" s="72"/>
      <c r="AC132" s="73"/>
      <c r="AD132" s="80" t="s">
        <v>1534</v>
      </c>
      <c r="AE132" s="80" t="s">
        <v>1981</v>
      </c>
      <c r="AF132" s="80"/>
      <c r="AG132" s="80"/>
      <c r="AH132" s="80"/>
      <c r="AI132" s="80"/>
      <c r="AJ132" s="87">
        <v>39239.14834490741</v>
      </c>
      <c r="AK132" s="85" t="str">
        <f>HYPERLINK("https://yt3.ggpht.com/ytc/AKedOLRknCVb8PUWD74G6bDBibEv0taHIX5WBioIuQ=s88-c-k-c0x00ffffff-no-rj")</f>
        <v>https://yt3.ggpht.com/ytc/AKedOLRknCVb8PUWD74G6bDBibEv0taHIX5WBioIuQ=s88-c-k-c0x00ffffff-no-rj</v>
      </c>
      <c r="AL132" s="80">
        <v>4495</v>
      </c>
      <c r="AM132" s="80">
        <v>0</v>
      </c>
      <c r="AN132" s="80">
        <v>5</v>
      </c>
      <c r="AO132" s="80" t="b">
        <v>0</v>
      </c>
      <c r="AP132" s="80">
        <v>12</v>
      </c>
      <c r="AQ132" s="80"/>
      <c r="AR132" s="80"/>
      <c r="AS132" s="80" t="s">
        <v>2085</v>
      </c>
      <c r="AT132" s="85" t="str">
        <f>HYPERLINK("https://www.youtube.com/channel/UCkPmuaC7K6pQeDfJLxVtwxg")</f>
        <v>https://www.youtube.com/channel/UCkPmuaC7K6pQeDfJLxVtwxg</v>
      </c>
      <c r="AU132" s="80" t="str">
        <f>REPLACE(INDEX(GroupVertices[Group],MATCH(Vertices[[#This Row],[Vertex]],GroupVertices[Vertex],0)),1,1,"")</f>
        <v>1</v>
      </c>
      <c r="AV132" s="49">
        <v>1</v>
      </c>
      <c r="AW132" s="50">
        <v>8.333333333333334</v>
      </c>
      <c r="AX132" s="49">
        <v>0</v>
      </c>
      <c r="AY132" s="50">
        <v>0</v>
      </c>
      <c r="AZ132" s="49">
        <v>0</v>
      </c>
      <c r="BA132" s="50">
        <v>0</v>
      </c>
      <c r="BB132" s="49">
        <v>11</v>
      </c>
      <c r="BC132" s="50">
        <v>91.66666666666667</v>
      </c>
      <c r="BD132" s="49">
        <v>12</v>
      </c>
      <c r="BE132" s="49"/>
      <c r="BF132" s="49"/>
      <c r="BG132" s="49"/>
      <c r="BH132" s="49"/>
      <c r="BI132" s="49"/>
      <c r="BJ132" s="49"/>
      <c r="BK132" s="111" t="s">
        <v>3520</v>
      </c>
      <c r="BL132" s="111" t="s">
        <v>3520</v>
      </c>
      <c r="BM132" s="111" t="s">
        <v>3968</v>
      </c>
      <c r="BN132" s="111" t="s">
        <v>3968</v>
      </c>
      <c r="BO132" s="2"/>
      <c r="BP132" s="3"/>
      <c r="BQ132" s="3"/>
      <c r="BR132" s="3"/>
      <c r="BS132" s="3"/>
    </row>
    <row r="133" spans="1:71" ht="15">
      <c r="A133" s="65" t="s">
        <v>467</v>
      </c>
      <c r="B133" s="66"/>
      <c r="C133" s="66"/>
      <c r="D133" s="67">
        <v>150</v>
      </c>
      <c r="E133" s="69"/>
      <c r="F133" s="103" t="str">
        <f>HYPERLINK("https://yt3.ggpht.com/ytc/AKedOLRRiZbRhgbo85AD77fOBIFIpqpITczOmGzy1A=s88-c-k-c0x00ffffff-no-rj")</f>
        <v>https://yt3.ggpht.com/ytc/AKedOLRRiZbRhgbo85AD77fOBIFIpqpITczOmGzy1A=s88-c-k-c0x00ffffff-no-rj</v>
      </c>
      <c r="G133" s="66"/>
      <c r="H133" s="70" t="s">
        <v>1535</v>
      </c>
      <c r="I133" s="71"/>
      <c r="J133" s="71" t="s">
        <v>159</v>
      </c>
      <c r="K133" s="70" t="s">
        <v>1535</v>
      </c>
      <c r="L133" s="74">
        <v>1</v>
      </c>
      <c r="M133" s="75">
        <v>8608.48046875</v>
      </c>
      <c r="N133" s="75">
        <v>544.063232421875</v>
      </c>
      <c r="O133" s="76"/>
      <c r="P133" s="77"/>
      <c r="Q133" s="77"/>
      <c r="R133" s="89"/>
      <c r="S133" s="49">
        <v>0</v>
      </c>
      <c r="T133" s="49">
        <v>1</v>
      </c>
      <c r="U133" s="50">
        <v>0</v>
      </c>
      <c r="V133" s="50">
        <v>0.324168</v>
      </c>
      <c r="W133" s="50">
        <v>0.001665</v>
      </c>
      <c r="X133" s="50">
        <v>0.002061</v>
      </c>
      <c r="Y133" s="50">
        <v>0</v>
      </c>
      <c r="Z133" s="50">
        <v>0</v>
      </c>
      <c r="AA133" s="72">
        <v>133</v>
      </c>
      <c r="AB133" s="72"/>
      <c r="AC133" s="73"/>
      <c r="AD133" s="80" t="s">
        <v>1535</v>
      </c>
      <c r="AE133" s="80"/>
      <c r="AF133" s="80"/>
      <c r="AG133" s="80"/>
      <c r="AH133" s="80"/>
      <c r="AI133" s="80"/>
      <c r="AJ133" s="87">
        <v>39022.35625</v>
      </c>
      <c r="AK133" s="85" t="str">
        <f>HYPERLINK("https://yt3.ggpht.com/ytc/AKedOLRRiZbRhgbo85AD77fOBIFIpqpITczOmGzy1A=s88-c-k-c0x00ffffff-no-rj")</f>
        <v>https://yt3.ggpht.com/ytc/AKedOLRRiZbRhgbo85AD77fOBIFIpqpITczOmGzy1A=s88-c-k-c0x00ffffff-no-rj</v>
      </c>
      <c r="AL133" s="80">
        <v>14</v>
      </c>
      <c r="AM133" s="80">
        <v>0</v>
      </c>
      <c r="AN133" s="80">
        <v>3</v>
      </c>
      <c r="AO133" s="80" t="b">
        <v>0</v>
      </c>
      <c r="AP133" s="80">
        <v>1</v>
      </c>
      <c r="AQ133" s="80"/>
      <c r="AR133" s="80"/>
      <c r="AS133" s="80" t="s">
        <v>2085</v>
      </c>
      <c r="AT133" s="85" t="str">
        <f>HYPERLINK("https://www.youtube.com/channel/UC6OdjLZrVAo6n2iY3ZHy9jw")</f>
        <v>https://www.youtube.com/channel/UC6OdjLZrVAo6n2iY3ZHy9jw</v>
      </c>
      <c r="AU133" s="80" t="str">
        <f>REPLACE(INDEX(GroupVertices[Group],MATCH(Vertices[[#This Row],[Vertex]],GroupVertices[Vertex],0)),1,1,"")</f>
        <v>17</v>
      </c>
      <c r="AV133" s="49">
        <v>0</v>
      </c>
      <c r="AW133" s="50">
        <v>0</v>
      </c>
      <c r="AX133" s="49">
        <v>0</v>
      </c>
      <c r="AY133" s="50">
        <v>0</v>
      </c>
      <c r="AZ133" s="49">
        <v>0</v>
      </c>
      <c r="BA133" s="50">
        <v>0</v>
      </c>
      <c r="BB133" s="49">
        <v>5</v>
      </c>
      <c r="BC133" s="50">
        <v>100</v>
      </c>
      <c r="BD133" s="49">
        <v>5</v>
      </c>
      <c r="BE133" s="49"/>
      <c r="BF133" s="49"/>
      <c r="BG133" s="49"/>
      <c r="BH133" s="49"/>
      <c r="BI133" s="49"/>
      <c r="BJ133" s="49"/>
      <c r="BK133" s="111" t="s">
        <v>3521</v>
      </c>
      <c r="BL133" s="111" t="s">
        <v>3521</v>
      </c>
      <c r="BM133" s="111" t="s">
        <v>3969</v>
      </c>
      <c r="BN133" s="111" t="s">
        <v>3969</v>
      </c>
      <c r="BO133" s="2"/>
      <c r="BP133" s="3"/>
      <c r="BQ133" s="3"/>
      <c r="BR133" s="3"/>
      <c r="BS133" s="3"/>
    </row>
    <row r="134" spans="1:71" ht="15">
      <c r="A134" s="65" t="s">
        <v>468</v>
      </c>
      <c r="B134" s="66"/>
      <c r="C134" s="66"/>
      <c r="D134" s="67">
        <v>257.08850056369783</v>
      </c>
      <c r="E134" s="69"/>
      <c r="F134" s="103" t="str">
        <f>HYPERLINK("https://yt3.ggpht.com/ytc/AKedOLSJAQ5FfUZYxzWsxleGB6Q9Ibj7dsdxz6OY3UF2=s88-c-k-c0x00ffffff-no-rj")</f>
        <v>https://yt3.ggpht.com/ytc/AKedOLSJAQ5FfUZYxzWsxleGB6Q9Ibj7dsdxz6OY3UF2=s88-c-k-c0x00ffffff-no-rj</v>
      </c>
      <c r="G134" s="66"/>
      <c r="H134" s="70" t="s">
        <v>1536</v>
      </c>
      <c r="I134" s="71"/>
      <c r="J134" s="71" t="s">
        <v>75</v>
      </c>
      <c r="K134" s="70" t="s">
        <v>1536</v>
      </c>
      <c r="L134" s="74">
        <v>45.70324163334509</v>
      </c>
      <c r="M134" s="75">
        <v>8608.48046875</v>
      </c>
      <c r="N134" s="75">
        <v>279.3838195800781</v>
      </c>
      <c r="O134" s="76"/>
      <c r="P134" s="77"/>
      <c r="Q134" s="77"/>
      <c r="R134" s="89"/>
      <c r="S134" s="49">
        <v>1</v>
      </c>
      <c r="T134" s="49">
        <v>1</v>
      </c>
      <c r="U134" s="50">
        <v>894</v>
      </c>
      <c r="V134" s="50">
        <v>0.479144</v>
      </c>
      <c r="W134" s="50">
        <v>0.034791</v>
      </c>
      <c r="X134" s="50">
        <v>0.002244</v>
      </c>
      <c r="Y134" s="50">
        <v>0</v>
      </c>
      <c r="Z134" s="50">
        <v>0</v>
      </c>
      <c r="AA134" s="72">
        <v>134</v>
      </c>
      <c r="AB134" s="72"/>
      <c r="AC134" s="73"/>
      <c r="AD134" s="80" t="s">
        <v>1536</v>
      </c>
      <c r="AE134" s="80"/>
      <c r="AF134" s="80"/>
      <c r="AG134" s="80"/>
      <c r="AH134" s="80"/>
      <c r="AI134" s="80"/>
      <c r="AJ134" s="87">
        <v>40343.387453703705</v>
      </c>
      <c r="AK134" s="85" t="str">
        <f>HYPERLINK("https://yt3.ggpht.com/ytc/AKedOLSJAQ5FfUZYxzWsxleGB6Q9Ibj7dsdxz6OY3UF2=s88-c-k-c0x00ffffff-no-rj")</f>
        <v>https://yt3.ggpht.com/ytc/AKedOLSJAQ5FfUZYxzWsxleGB6Q9Ibj7dsdxz6OY3UF2=s88-c-k-c0x00ffffff-no-rj</v>
      </c>
      <c r="AL134" s="80">
        <v>0</v>
      </c>
      <c r="AM134" s="80">
        <v>0</v>
      </c>
      <c r="AN134" s="80">
        <v>2</v>
      </c>
      <c r="AO134" s="80" t="b">
        <v>0</v>
      </c>
      <c r="AP134" s="80">
        <v>0</v>
      </c>
      <c r="AQ134" s="80"/>
      <c r="AR134" s="80"/>
      <c r="AS134" s="80" t="s">
        <v>2085</v>
      </c>
      <c r="AT134" s="85" t="str">
        <f>HYPERLINK("https://www.youtube.com/channel/UCFoQC1-a6Y3QoUtDlNAOubQ")</f>
        <v>https://www.youtube.com/channel/UCFoQC1-a6Y3QoUtDlNAOubQ</v>
      </c>
      <c r="AU134" s="80" t="str">
        <f>REPLACE(INDEX(GroupVertices[Group],MATCH(Vertices[[#This Row],[Vertex]],GroupVertices[Vertex],0)),1,1,"")</f>
        <v>17</v>
      </c>
      <c r="AV134" s="49">
        <v>1</v>
      </c>
      <c r="AW134" s="50">
        <v>12.5</v>
      </c>
      <c r="AX134" s="49">
        <v>0</v>
      </c>
      <c r="AY134" s="50">
        <v>0</v>
      </c>
      <c r="AZ134" s="49">
        <v>0</v>
      </c>
      <c r="BA134" s="50">
        <v>0</v>
      </c>
      <c r="BB134" s="49">
        <v>7</v>
      </c>
      <c r="BC134" s="50">
        <v>87.5</v>
      </c>
      <c r="BD134" s="49">
        <v>8</v>
      </c>
      <c r="BE134" s="49"/>
      <c r="BF134" s="49"/>
      <c r="BG134" s="49"/>
      <c r="BH134" s="49"/>
      <c r="BI134" s="49"/>
      <c r="BJ134" s="49"/>
      <c r="BK134" s="111" t="s">
        <v>3522</v>
      </c>
      <c r="BL134" s="111" t="s">
        <v>3522</v>
      </c>
      <c r="BM134" s="111" t="s">
        <v>3970</v>
      </c>
      <c r="BN134" s="111" t="s">
        <v>3970</v>
      </c>
      <c r="BO134" s="2"/>
      <c r="BP134" s="3"/>
      <c r="BQ134" s="3"/>
      <c r="BR134" s="3"/>
      <c r="BS134" s="3"/>
    </row>
    <row r="135" spans="1:71" ht="15">
      <c r="A135" s="65" t="s">
        <v>469</v>
      </c>
      <c r="B135" s="66"/>
      <c r="C135" s="66"/>
      <c r="D135" s="67">
        <v>150</v>
      </c>
      <c r="E135" s="69"/>
      <c r="F135" s="103" t="str">
        <f>HYPERLINK("https://yt3.ggpht.com/ytc/AKedOLTlTG7qEgQdONvtpb8hiAGHuytVBZHEY2gqVzup=s88-c-k-c0x00ffffff-no-rj")</f>
        <v>https://yt3.ggpht.com/ytc/AKedOLTlTG7qEgQdONvtpb8hiAGHuytVBZHEY2gqVzup=s88-c-k-c0x00ffffff-no-rj</v>
      </c>
      <c r="G135" s="66"/>
      <c r="H135" s="70" t="s">
        <v>1537</v>
      </c>
      <c r="I135" s="71"/>
      <c r="J135" s="71" t="s">
        <v>159</v>
      </c>
      <c r="K135" s="70" t="s">
        <v>1537</v>
      </c>
      <c r="L135" s="74">
        <v>1</v>
      </c>
      <c r="M135" s="75">
        <v>3589.835693359375</v>
      </c>
      <c r="N135" s="75">
        <v>3506.57421875</v>
      </c>
      <c r="O135" s="76"/>
      <c r="P135" s="77"/>
      <c r="Q135" s="77"/>
      <c r="R135" s="89"/>
      <c r="S135" s="49">
        <v>0</v>
      </c>
      <c r="T135" s="49">
        <v>1</v>
      </c>
      <c r="U135" s="50">
        <v>0</v>
      </c>
      <c r="V135" s="50">
        <v>0.478122</v>
      </c>
      <c r="W135" s="50">
        <v>0.03471</v>
      </c>
      <c r="X135" s="50">
        <v>0.001935</v>
      </c>
      <c r="Y135" s="50">
        <v>0</v>
      </c>
      <c r="Z135" s="50">
        <v>0</v>
      </c>
      <c r="AA135" s="72">
        <v>135</v>
      </c>
      <c r="AB135" s="72"/>
      <c r="AC135" s="73"/>
      <c r="AD135" s="80" t="s">
        <v>1537</v>
      </c>
      <c r="AE135" s="80"/>
      <c r="AF135" s="80"/>
      <c r="AG135" s="80"/>
      <c r="AH135" s="80"/>
      <c r="AI135" s="80"/>
      <c r="AJ135" s="87">
        <v>39634.571180555555</v>
      </c>
      <c r="AK135" s="85" t="str">
        <f>HYPERLINK("https://yt3.ggpht.com/ytc/AKedOLTlTG7qEgQdONvtpb8hiAGHuytVBZHEY2gqVzup=s88-c-k-c0x00ffffff-no-rj")</f>
        <v>https://yt3.ggpht.com/ytc/AKedOLTlTG7qEgQdONvtpb8hiAGHuytVBZHEY2gqVzup=s88-c-k-c0x00ffffff-no-rj</v>
      </c>
      <c r="AL135" s="80">
        <v>57</v>
      </c>
      <c r="AM135" s="80">
        <v>0</v>
      </c>
      <c r="AN135" s="80">
        <v>1</v>
      </c>
      <c r="AO135" s="80" t="b">
        <v>0</v>
      </c>
      <c r="AP135" s="80">
        <v>3</v>
      </c>
      <c r="AQ135" s="80"/>
      <c r="AR135" s="80"/>
      <c r="AS135" s="80" t="s">
        <v>2085</v>
      </c>
      <c r="AT135" s="85" t="str">
        <f>HYPERLINK("https://www.youtube.com/channel/UCe_v3IeUGHGbB4B3MECm65g")</f>
        <v>https://www.youtube.com/channel/UCe_v3IeUGHGbB4B3MECm65g</v>
      </c>
      <c r="AU135" s="80" t="str">
        <f>REPLACE(INDEX(GroupVertices[Group],MATCH(Vertices[[#This Row],[Vertex]],GroupVertices[Vertex],0)),1,1,"")</f>
        <v>1</v>
      </c>
      <c r="AV135" s="49">
        <v>1</v>
      </c>
      <c r="AW135" s="50">
        <v>50</v>
      </c>
      <c r="AX135" s="49">
        <v>0</v>
      </c>
      <c r="AY135" s="50">
        <v>0</v>
      </c>
      <c r="AZ135" s="49">
        <v>0</v>
      </c>
      <c r="BA135" s="50">
        <v>0</v>
      </c>
      <c r="BB135" s="49">
        <v>1</v>
      </c>
      <c r="BC135" s="50">
        <v>50</v>
      </c>
      <c r="BD135" s="49">
        <v>2</v>
      </c>
      <c r="BE135" s="49"/>
      <c r="BF135" s="49"/>
      <c r="BG135" s="49"/>
      <c r="BH135" s="49"/>
      <c r="BI135" s="49"/>
      <c r="BJ135" s="49"/>
      <c r="BK135" s="111" t="s">
        <v>2521</v>
      </c>
      <c r="BL135" s="111" t="s">
        <v>2521</v>
      </c>
      <c r="BM135" s="111" t="s">
        <v>1927</v>
      </c>
      <c r="BN135" s="111" t="s">
        <v>1927</v>
      </c>
      <c r="BO135" s="2"/>
      <c r="BP135" s="3"/>
      <c r="BQ135" s="3"/>
      <c r="BR135" s="3"/>
      <c r="BS135" s="3"/>
    </row>
    <row r="136" spans="1:71" ht="15">
      <c r="A136" s="65" t="s">
        <v>470</v>
      </c>
      <c r="B136" s="66"/>
      <c r="C136" s="66"/>
      <c r="D136" s="67">
        <v>150</v>
      </c>
      <c r="E136" s="69"/>
      <c r="F136" s="103" t="str">
        <f>HYPERLINK("https://yt3.ggpht.com/ytc/AKedOLS4xl6_BjpUdrSxkQo0mPdZJlOVGuhTgN5tSg=s88-c-k-c0x00ffffff-no-rj")</f>
        <v>https://yt3.ggpht.com/ytc/AKedOLS4xl6_BjpUdrSxkQo0mPdZJlOVGuhTgN5tSg=s88-c-k-c0x00ffffff-no-rj</v>
      </c>
      <c r="G136" s="66"/>
      <c r="H136" s="70" t="s">
        <v>1538</v>
      </c>
      <c r="I136" s="71"/>
      <c r="J136" s="71" t="s">
        <v>159</v>
      </c>
      <c r="K136" s="70" t="s">
        <v>1538</v>
      </c>
      <c r="L136" s="74">
        <v>1</v>
      </c>
      <c r="M136" s="75">
        <v>2156.818115234375</v>
      </c>
      <c r="N136" s="75">
        <v>1611.230712890625</v>
      </c>
      <c r="O136" s="76"/>
      <c r="P136" s="77"/>
      <c r="Q136" s="77"/>
      <c r="R136" s="89"/>
      <c r="S136" s="49">
        <v>0</v>
      </c>
      <c r="T136" s="49">
        <v>1</v>
      </c>
      <c r="U136" s="50">
        <v>0</v>
      </c>
      <c r="V136" s="50">
        <v>0.478122</v>
      </c>
      <c r="W136" s="50">
        <v>0.03471</v>
      </c>
      <c r="X136" s="50">
        <v>0.001935</v>
      </c>
      <c r="Y136" s="50">
        <v>0</v>
      </c>
      <c r="Z136" s="50">
        <v>0</v>
      </c>
      <c r="AA136" s="72">
        <v>136</v>
      </c>
      <c r="AB136" s="72"/>
      <c r="AC136" s="73"/>
      <c r="AD136" s="80" t="s">
        <v>1538</v>
      </c>
      <c r="AE136" s="80"/>
      <c r="AF136" s="80"/>
      <c r="AG136" s="80"/>
      <c r="AH136" s="80"/>
      <c r="AI136" s="80"/>
      <c r="AJ136" s="87">
        <v>40822.63959490741</v>
      </c>
      <c r="AK136" s="85" t="str">
        <f>HYPERLINK("https://yt3.ggpht.com/ytc/AKedOLS4xl6_BjpUdrSxkQo0mPdZJlOVGuhTgN5tSg=s88-c-k-c0x00ffffff-no-rj")</f>
        <v>https://yt3.ggpht.com/ytc/AKedOLS4xl6_BjpUdrSxkQo0mPdZJlOVGuhTgN5tSg=s88-c-k-c0x00ffffff-no-rj</v>
      </c>
      <c r="AL136" s="80">
        <v>110</v>
      </c>
      <c r="AM136" s="80">
        <v>0</v>
      </c>
      <c r="AN136" s="80">
        <v>0</v>
      </c>
      <c r="AO136" s="80" t="b">
        <v>0</v>
      </c>
      <c r="AP136" s="80">
        <v>1</v>
      </c>
      <c r="AQ136" s="80"/>
      <c r="AR136" s="80"/>
      <c r="AS136" s="80" t="s">
        <v>2085</v>
      </c>
      <c r="AT136" s="85" t="str">
        <f>HYPERLINK("https://www.youtube.com/channel/UCpTmLYv1oTol3nYfhult0nA")</f>
        <v>https://www.youtube.com/channel/UCpTmLYv1oTol3nYfhult0nA</v>
      </c>
      <c r="AU136" s="80" t="str">
        <f>REPLACE(INDEX(GroupVertices[Group],MATCH(Vertices[[#This Row],[Vertex]],GroupVertices[Vertex],0)),1,1,"")</f>
        <v>1</v>
      </c>
      <c r="AV136" s="49">
        <v>1</v>
      </c>
      <c r="AW136" s="50">
        <v>25</v>
      </c>
      <c r="AX136" s="49">
        <v>0</v>
      </c>
      <c r="AY136" s="50">
        <v>0</v>
      </c>
      <c r="AZ136" s="49">
        <v>0</v>
      </c>
      <c r="BA136" s="50">
        <v>0</v>
      </c>
      <c r="BB136" s="49">
        <v>3</v>
      </c>
      <c r="BC136" s="50">
        <v>75</v>
      </c>
      <c r="BD136" s="49">
        <v>4</v>
      </c>
      <c r="BE136" s="49"/>
      <c r="BF136" s="49"/>
      <c r="BG136" s="49"/>
      <c r="BH136" s="49"/>
      <c r="BI136" s="49"/>
      <c r="BJ136" s="49"/>
      <c r="BK136" s="111" t="s">
        <v>3523</v>
      </c>
      <c r="BL136" s="111" t="s">
        <v>3523</v>
      </c>
      <c r="BM136" s="111" t="s">
        <v>3971</v>
      </c>
      <c r="BN136" s="111" t="s">
        <v>3971</v>
      </c>
      <c r="BO136" s="2"/>
      <c r="BP136" s="3"/>
      <c r="BQ136" s="3"/>
      <c r="BR136" s="3"/>
      <c r="BS136" s="3"/>
    </row>
    <row r="137" spans="1:71" ht="15">
      <c r="A137" s="65" t="s">
        <v>471</v>
      </c>
      <c r="B137" s="66"/>
      <c r="C137" s="66"/>
      <c r="D137" s="67">
        <v>150</v>
      </c>
      <c r="E137" s="69"/>
      <c r="F137" s="103" t="str">
        <f>HYPERLINK("https://yt3.ggpht.com/ytc/AKedOLTWo8_rCSDQBQvt55Wkc5X8WDdW8GiDh8lt7SDF=s88-c-k-c0x00ffffff-no-rj")</f>
        <v>https://yt3.ggpht.com/ytc/AKedOLTWo8_rCSDQBQvt55Wkc5X8WDdW8GiDh8lt7SDF=s88-c-k-c0x00ffffff-no-rj</v>
      </c>
      <c r="G137" s="66"/>
      <c r="H137" s="70" t="s">
        <v>1539</v>
      </c>
      <c r="I137" s="71"/>
      <c r="J137" s="71" t="s">
        <v>159</v>
      </c>
      <c r="K137" s="70" t="s">
        <v>1539</v>
      </c>
      <c r="L137" s="74">
        <v>1</v>
      </c>
      <c r="M137" s="75">
        <v>4311.72412109375</v>
      </c>
      <c r="N137" s="75">
        <v>5684.4873046875</v>
      </c>
      <c r="O137" s="76"/>
      <c r="P137" s="77"/>
      <c r="Q137" s="77"/>
      <c r="R137" s="89"/>
      <c r="S137" s="49">
        <v>0</v>
      </c>
      <c r="T137" s="49">
        <v>1</v>
      </c>
      <c r="U137" s="50">
        <v>0</v>
      </c>
      <c r="V137" s="50">
        <v>0.478122</v>
      </c>
      <c r="W137" s="50">
        <v>0.03471</v>
      </c>
      <c r="X137" s="50">
        <v>0.001935</v>
      </c>
      <c r="Y137" s="50">
        <v>0</v>
      </c>
      <c r="Z137" s="50">
        <v>0</v>
      </c>
      <c r="AA137" s="72">
        <v>137</v>
      </c>
      <c r="AB137" s="72"/>
      <c r="AC137" s="73"/>
      <c r="AD137" s="80" t="s">
        <v>1539</v>
      </c>
      <c r="AE137" s="80"/>
      <c r="AF137" s="80"/>
      <c r="AG137" s="80"/>
      <c r="AH137" s="80"/>
      <c r="AI137" s="80"/>
      <c r="AJ137" s="87">
        <v>40736.98357638889</v>
      </c>
      <c r="AK137" s="85" t="str">
        <f>HYPERLINK("https://yt3.ggpht.com/ytc/AKedOLTWo8_rCSDQBQvt55Wkc5X8WDdW8GiDh8lt7SDF=s88-c-k-c0x00ffffff-no-rj")</f>
        <v>https://yt3.ggpht.com/ytc/AKedOLTWo8_rCSDQBQvt55Wkc5X8WDdW8GiDh8lt7SDF=s88-c-k-c0x00ffffff-no-rj</v>
      </c>
      <c r="AL137" s="80">
        <v>0</v>
      </c>
      <c r="AM137" s="80">
        <v>0</v>
      </c>
      <c r="AN137" s="80">
        <v>7</v>
      </c>
      <c r="AO137" s="80" t="b">
        <v>0</v>
      </c>
      <c r="AP137" s="80">
        <v>0</v>
      </c>
      <c r="AQ137" s="80"/>
      <c r="AR137" s="80"/>
      <c r="AS137" s="80" t="s">
        <v>2085</v>
      </c>
      <c r="AT137" s="85" t="str">
        <f>HYPERLINK("https://www.youtube.com/channel/UCvLJwnZedAU3vc7U3k-GcLg")</f>
        <v>https://www.youtube.com/channel/UCvLJwnZedAU3vc7U3k-GcLg</v>
      </c>
      <c r="AU137" s="80" t="str">
        <f>REPLACE(INDEX(GroupVertices[Group],MATCH(Vertices[[#This Row],[Vertex]],GroupVertices[Vertex],0)),1,1,"")</f>
        <v>1</v>
      </c>
      <c r="AV137" s="49">
        <v>1</v>
      </c>
      <c r="AW137" s="50">
        <v>100</v>
      </c>
      <c r="AX137" s="49">
        <v>0</v>
      </c>
      <c r="AY137" s="50">
        <v>0</v>
      </c>
      <c r="AZ137" s="49">
        <v>0</v>
      </c>
      <c r="BA137" s="50">
        <v>0</v>
      </c>
      <c r="BB137" s="49">
        <v>0</v>
      </c>
      <c r="BC137" s="50">
        <v>0</v>
      </c>
      <c r="BD137" s="49">
        <v>1</v>
      </c>
      <c r="BE137" s="49"/>
      <c r="BF137" s="49"/>
      <c r="BG137" s="49"/>
      <c r="BH137" s="49"/>
      <c r="BI137" s="49"/>
      <c r="BJ137" s="49"/>
      <c r="BK137" s="111" t="s">
        <v>3107</v>
      </c>
      <c r="BL137" s="111" t="s">
        <v>3107</v>
      </c>
      <c r="BM137" s="111" t="s">
        <v>1927</v>
      </c>
      <c r="BN137" s="111" t="s">
        <v>1927</v>
      </c>
      <c r="BO137" s="2"/>
      <c r="BP137" s="3"/>
      <c r="BQ137" s="3"/>
      <c r="BR137" s="3"/>
      <c r="BS137" s="3"/>
    </row>
    <row r="138" spans="1:71" ht="15">
      <c r="A138" s="65" t="s">
        <v>472</v>
      </c>
      <c r="B138" s="66"/>
      <c r="C138" s="66"/>
      <c r="D138" s="67">
        <v>150</v>
      </c>
      <c r="E138" s="69"/>
      <c r="F138" s="103" t="str">
        <f>HYPERLINK("https://yt3.ggpht.com/ytc/AKedOLQgK9GTZnDCHs7Bbj4FMaZUDtGX5sngE1KGO-bd=s88-c-k-c0x00ffffff-no-rj")</f>
        <v>https://yt3.ggpht.com/ytc/AKedOLQgK9GTZnDCHs7Bbj4FMaZUDtGX5sngE1KGO-bd=s88-c-k-c0x00ffffff-no-rj</v>
      </c>
      <c r="G138" s="66"/>
      <c r="H138" s="70" t="s">
        <v>1540</v>
      </c>
      <c r="I138" s="71"/>
      <c r="J138" s="71" t="s">
        <v>159</v>
      </c>
      <c r="K138" s="70" t="s">
        <v>1540</v>
      </c>
      <c r="L138" s="74">
        <v>1</v>
      </c>
      <c r="M138" s="75">
        <v>2065.392333984375</v>
      </c>
      <c r="N138" s="75">
        <v>8731.080078125</v>
      </c>
      <c r="O138" s="76"/>
      <c r="P138" s="77"/>
      <c r="Q138" s="77"/>
      <c r="R138" s="89"/>
      <c r="S138" s="49">
        <v>0</v>
      </c>
      <c r="T138" s="49">
        <v>1</v>
      </c>
      <c r="U138" s="50">
        <v>0</v>
      </c>
      <c r="V138" s="50">
        <v>0.478122</v>
      </c>
      <c r="W138" s="50">
        <v>0.03471</v>
      </c>
      <c r="X138" s="50">
        <v>0.001935</v>
      </c>
      <c r="Y138" s="50">
        <v>0</v>
      </c>
      <c r="Z138" s="50">
        <v>0</v>
      </c>
      <c r="AA138" s="72">
        <v>138</v>
      </c>
      <c r="AB138" s="72"/>
      <c r="AC138" s="73"/>
      <c r="AD138" s="80" t="s">
        <v>1540</v>
      </c>
      <c r="AE138" s="80" t="s">
        <v>1982</v>
      </c>
      <c r="AF138" s="80"/>
      <c r="AG138" s="80"/>
      <c r="AH138" s="80"/>
      <c r="AI138" s="80"/>
      <c r="AJ138" s="87">
        <v>40158.15609953704</v>
      </c>
      <c r="AK138" s="85" t="str">
        <f>HYPERLINK("https://yt3.ggpht.com/ytc/AKedOLQgK9GTZnDCHs7Bbj4FMaZUDtGX5sngE1KGO-bd=s88-c-k-c0x00ffffff-no-rj")</f>
        <v>https://yt3.ggpht.com/ytc/AKedOLQgK9GTZnDCHs7Bbj4FMaZUDtGX5sngE1KGO-bd=s88-c-k-c0x00ffffff-no-rj</v>
      </c>
      <c r="AL138" s="80">
        <v>2419349</v>
      </c>
      <c r="AM138" s="80">
        <v>0</v>
      </c>
      <c r="AN138" s="80">
        <v>2290</v>
      </c>
      <c r="AO138" s="80" t="b">
        <v>0</v>
      </c>
      <c r="AP138" s="80">
        <v>2</v>
      </c>
      <c r="AQ138" s="80"/>
      <c r="AR138" s="80"/>
      <c r="AS138" s="80" t="s">
        <v>2085</v>
      </c>
      <c r="AT138" s="85" t="str">
        <f>HYPERLINK("https://www.youtube.com/channel/UCjvZu-1q13oykl4Ggmh8i-w")</f>
        <v>https://www.youtube.com/channel/UCjvZu-1q13oykl4Ggmh8i-w</v>
      </c>
      <c r="AU138" s="80" t="str">
        <f>REPLACE(INDEX(GroupVertices[Group],MATCH(Vertices[[#This Row],[Vertex]],GroupVertices[Vertex],0)),1,1,"")</f>
        <v>1</v>
      </c>
      <c r="AV138" s="49">
        <v>1</v>
      </c>
      <c r="AW138" s="50">
        <v>4.761904761904762</v>
      </c>
      <c r="AX138" s="49">
        <v>1</v>
      </c>
      <c r="AY138" s="50">
        <v>4.761904761904762</v>
      </c>
      <c r="AZ138" s="49">
        <v>0</v>
      </c>
      <c r="BA138" s="50">
        <v>0</v>
      </c>
      <c r="BB138" s="49">
        <v>19</v>
      </c>
      <c r="BC138" s="50">
        <v>90.47619047619048</v>
      </c>
      <c r="BD138" s="49">
        <v>21</v>
      </c>
      <c r="BE138" s="49"/>
      <c r="BF138" s="49"/>
      <c r="BG138" s="49"/>
      <c r="BH138" s="49"/>
      <c r="BI138" s="49"/>
      <c r="BJ138" s="49"/>
      <c r="BK138" s="111" t="s">
        <v>3524</v>
      </c>
      <c r="BL138" s="111" t="s">
        <v>3524</v>
      </c>
      <c r="BM138" s="111" t="s">
        <v>3972</v>
      </c>
      <c r="BN138" s="111" t="s">
        <v>3972</v>
      </c>
      <c r="BO138" s="2"/>
      <c r="BP138" s="3"/>
      <c r="BQ138" s="3"/>
      <c r="BR138" s="3"/>
      <c r="BS138" s="3"/>
    </row>
    <row r="139" spans="1:71" ht="15">
      <c r="A139" s="65" t="s">
        <v>473</v>
      </c>
      <c r="B139" s="66"/>
      <c r="C139" s="66"/>
      <c r="D139" s="67">
        <v>150</v>
      </c>
      <c r="E139" s="69"/>
      <c r="F139" s="103" t="str">
        <f>HYPERLINK("https://yt3.ggpht.com/ytc/AKedOLRc0PaAPTThJ3wpj8YQLEuqk9Dv3g0ROG20nA=s88-c-k-c0x00ffffff-no-rj")</f>
        <v>https://yt3.ggpht.com/ytc/AKedOLRc0PaAPTThJ3wpj8YQLEuqk9Dv3g0ROG20nA=s88-c-k-c0x00ffffff-no-rj</v>
      </c>
      <c r="G139" s="66"/>
      <c r="H139" s="70" t="s">
        <v>1541</v>
      </c>
      <c r="I139" s="71"/>
      <c r="J139" s="71" t="s">
        <v>159</v>
      </c>
      <c r="K139" s="70" t="s">
        <v>1541</v>
      </c>
      <c r="L139" s="74">
        <v>1</v>
      </c>
      <c r="M139" s="75">
        <v>1969.9395751953125</v>
      </c>
      <c r="N139" s="75">
        <v>6026.76904296875</v>
      </c>
      <c r="O139" s="76"/>
      <c r="P139" s="77"/>
      <c r="Q139" s="77"/>
      <c r="R139" s="89"/>
      <c r="S139" s="49">
        <v>0</v>
      </c>
      <c r="T139" s="49">
        <v>1</v>
      </c>
      <c r="U139" s="50">
        <v>0</v>
      </c>
      <c r="V139" s="50">
        <v>0.478122</v>
      </c>
      <c r="W139" s="50">
        <v>0.03471</v>
      </c>
      <c r="X139" s="50">
        <v>0.001935</v>
      </c>
      <c r="Y139" s="50">
        <v>0</v>
      </c>
      <c r="Z139" s="50">
        <v>0</v>
      </c>
      <c r="AA139" s="72">
        <v>139</v>
      </c>
      <c r="AB139" s="72"/>
      <c r="AC139" s="73"/>
      <c r="AD139" s="80" t="s">
        <v>1541</v>
      </c>
      <c r="AE139" s="80"/>
      <c r="AF139" s="80"/>
      <c r="AG139" s="80"/>
      <c r="AH139" s="80"/>
      <c r="AI139" s="80"/>
      <c r="AJ139" s="87">
        <v>39619.38811342593</v>
      </c>
      <c r="AK139" s="85" t="str">
        <f>HYPERLINK("https://yt3.ggpht.com/ytc/AKedOLRc0PaAPTThJ3wpj8YQLEuqk9Dv3g0ROG20nA=s88-c-k-c0x00ffffff-no-rj")</f>
        <v>https://yt3.ggpht.com/ytc/AKedOLRc0PaAPTThJ3wpj8YQLEuqk9Dv3g0ROG20nA=s88-c-k-c0x00ffffff-no-rj</v>
      </c>
      <c r="AL139" s="80">
        <v>83177</v>
      </c>
      <c r="AM139" s="80">
        <v>0</v>
      </c>
      <c r="AN139" s="80">
        <v>71</v>
      </c>
      <c r="AO139" s="80" t="b">
        <v>0</v>
      </c>
      <c r="AP139" s="80">
        <v>4</v>
      </c>
      <c r="AQ139" s="80"/>
      <c r="AR139" s="80"/>
      <c r="AS139" s="80" t="s">
        <v>2085</v>
      </c>
      <c r="AT139" s="85" t="str">
        <f>HYPERLINK("https://www.youtube.com/channel/UCt5dZNnmMNccXdtemElxqeA")</f>
        <v>https://www.youtube.com/channel/UCt5dZNnmMNccXdtemElxqeA</v>
      </c>
      <c r="AU139" s="80" t="str">
        <f>REPLACE(INDEX(GroupVertices[Group],MATCH(Vertices[[#This Row],[Vertex]],GroupVertices[Vertex],0)),1,1,"")</f>
        <v>1</v>
      </c>
      <c r="AV139" s="49">
        <v>0</v>
      </c>
      <c r="AW139" s="50">
        <v>0</v>
      </c>
      <c r="AX139" s="49">
        <v>0</v>
      </c>
      <c r="AY139" s="50">
        <v>0</v>
      </c>
      <c r="AZ139" s="49">
        <v>0</v>
      </c>
      <c r="BA139" s="50">
        <v>0</v>
      </c>
      <c r="BB139" s="49">
        <v>35</v>
      </c>
      <c r="BC139" s="50">
        <v>100</v>
      </c>
      <c r="BD139" s="49">
        <v>35</v>
      </c>
      <c r="BE139" s="49"/>
      <c r="BF139" s="49"/>
      <c r="BG139" s="49"/>
      <c r="BH139" s="49"/>
      <c r="BI139" s="49"/>
      <c r="BJ139" s="49"/>
      <c r="BK139" s="111" t="s">
        <v>3525</v>
      </c>
      <c r="BL139" s="111" t="s">
        <v>3525</v>
      </c>
      <c r="BM139" s="111" t="s">
        <v>3973</v>
      </c>
      <c r="BN139" s="111" t="s">
        <v>3973</v>
      </c>
      <c r="BO139" s="2"/>
      <c r="BP139" s="3"/>
      <c r="BQ139" s="3"/>
      <c r="BR139" s="3"/>
      <c r="BS139" s="3"/>
    </row>
    <row r="140" spans="1:71" ht="15">
      <c r="A140" s="65" t="s">
        <v>474</v>
      </c>
      <c r="B140" s="66"/>
      <c r="C140" s="66"/>
      <c r="D140" s="67">
        <v>150</v>
      </c>
      <c r="E140" s="69"/>
      <c r="F140" s="103" t="str">
        <f>HYPERLINK("https://yt3.ggpht.com/ytc/AKedOLSX4AhQ2Ywc96ZW9KulgWfz5Vb4ip_s-RR5=s88-c-k-c0x00ffffff-no-rj")</f>
        <v>https://yt3.ggpht.com/ytc/AKedOLSX4AhQ2Ywc96ZW9KulgWfz5Vb4ip_s-RR5=s88-c-k-c0x00ffffff-no-rj</v>
      </c>
      <c r="G140" s="66"/>
      <c r="H140" s="70" t="s">
        <v>1542</v>
      </c>
      <c r="I140" s="71"/>
      <c r="J140" s="71" t="s">
        <v>159</v>
      </c>
      <c r="K140" s="70" t="s">
        <v>1542</v>
      </c>
      <c r="L140" s="74">
        <v>1</v>
      </c>
      <c r="M140" s="75">
        <v>4308.9755859375</v>
      </c>
      <c r="N140" s="75">
        <v>6820.669921875</v>
      </c>
      <c r="O140" s="76"/>
      <c r="P140" s="77"/>
      <c r="Q140" s="77"/>
      <c r="R140" s="89"/>
      <c r="S140" s="49">
        <v>0</v>
      </c>
      <c r="T140" s="49">
        <v>1</v>
      </c>
      <c r="U140" s="50">
        <v>0</v>
      </c>
      <c r="V140" s="50">
        <v>0.478122</v>
      </c>
      <c r="W140" s="50">
        <v>0.03471</v>
      </c>
      <c r="X140" s="50">
        <v>0.001935</v>
      </c>
      <c r="Y140" s="50">
        <v>0</v>
      </c>
      <c r="Z140" s="50">
        <v>0</v>
      </c>
      <c r="AA140" s="72">
        <v>140</v>
      </c>
      <c r="AB140" s="72"/>
      <c r="AC140" s="73"/>
      <c r="AD140" s="80" t="s">
        <v>1542</v>
      </c>
      <c r="AE140" s="80"/>
      <c r="AF140" s="80"/>
      <c r="AG140" s="80"/>
      <c r="AH140" s="80"/>
      <c r="AI140" s="80"/>
      <c r="AJ140" s="87">
        <v>39426.29219907407</v>
      </c>
      <c r="AK140" s="85" t="str">
        <f>HYPERLINK("https://yt3.ggpht.com/ytc/AKedOLSX4AhQ2Ywc96ZW9KulgWfz5Vb4ip_s-RR5=s88-c-k-c0x00ffffff-no-rj")</f>
        <v>https://yt3.ggpht.com/ytc/AKedOLSX4AhQ2Ywc96ZW9KulgWfz5Vb4ip_s-RR5=s88-c-k-c0x00ffffff-no-rj</v>
      </c>
      <c r="AL140" s="80">
        <v>0</v>
      </c>
      <c r="AM140" s="80">
        <v>0</v>
      </c>
      <c r="AN140" s="80">
        <v>7</v>
      </c>
      <c r="AO140" s="80" t="b">
        <v>0</v>
      </c>
      <c r="AP140" s="80">
        <v>0</v>
      </c>
      <c r="AQ140" s="80"/>
      <c r="AR140" s="80"/>
      <c r="AS140" s="80" t="s">
        <v>2085</v>
      </c>
      <c r="AT140" s="85" t="str">
        <f>HYPERLINK("https://www.youtube.com/channel/UCV8B5_8wLN0zPRgP0nEvJ_Q")</f>
        <v>https://www.youtube.com/channel/UCV8B5_8wLN0zPRgP0nEvJ_Q</v>
      </c>
      <c r="AU140" s="80" t="str">
        <f>REPLACE(INDEX(GroupVertices[Group],MATCH(Vertices[[#This Row],[Vertex]],GroupVertices[Vertex],0)),1,1,"")</f>
        <v>1</v>
      </c>
      <c r="AV140" s="49">
        <v>2</v>
      </c>
      <c r="AW140" s="50">
        <v>4.081632653061225</v>
      </c>
      <c r="AX140" s="49">
        <v>1</v>
      </c>
      <c r="AY140" s="50">
        <v>2.0408163265306123</v>
      </c>
      <c r="AZ140" s="49">
        <v>0</v>
      </c>
      <c r="BA140" s="50">
        <v>0</v>
      </c>
      <c r="BB140" s="49">
        <v>46</v>
      </c>
      <c r="BC140" s="50">
        <v>93.87755102040816</v>
      </c>
      <c r="BD140" s="49">
        <v>49</v>
      </c>
      <c r="BE140" s="49"/>
      <c r="BF140" s="49"/>
      <c r="BG140" s="49"/>
      <c r="BH140" s="49"/>
      <c r="BI140" s="49"/>
      <c r="BJ140" s="49"/>
      <c r="BK140" s="111" t="s">
        <v>3526</v>
      </c>
      <c r="BL140" s="111" t="s">
        <v>3526</v>
      </c>
      <c r="BM140" s="111" t="s">
        <v>3974</v>
      </c>
      <c r="BN140" s="111" t="s">
        <v>3974</v>
      </c>
      <c r="BO140" s="2"/>
      <c r="BP140" s="3"/>
      <c r="BQ140" s="3"/>
      <c r="BR140" s="3"/>
      <c r="BS140" s="3"/>
    </row>
    <row r="141" spans="1:71" ht="15">
      <c r="A141" s="65" t="s">
        <v>475</v>
      </c>
      <c r="B141" s="66"/>
      <c r="C141" s="66"/>
      <c r="D141" s="67">
        <v>150</v>
      </c>
      <c r="E141" s="69"/>
      <c r="F141" s="103" t="str">
        <f>HYPERLINK("https://yt3.ggpht.com/ytc/AKedOLTrxAeOoRXJ_71twHRmLB6wdxBqRhXaNCC_Hg=s88-c-k-c0x00ffffff-no-rj")</f>
        <v>https://yt3.ggpht.com/ytc/AKedOLTrxAeOoRXJ_71twHRmLB6wdxBqRhXaNCC_Hg=s88-c-k-c0x00ffffff-no-rj</v>
      </c>
      <c r="G141" s="66"/>
      <c r="H141" s="70" t="s">
        <v>1543</v>
      </c>
      <c r="I141" s="71"/>
      <c r="J141" s="71" t="s">
        <v>159</v>
      </c>
      <c r="K141" s="70" t="s">
        <v>1543</v>
      </c>
      <c r="L141" s="74">
        <v>1</v>
      </c>
      <c r="M141" s="75">
        <v>1370.3905029296875</v>
      </c>
      <c r="N141" s="75">
        <v>7227.58837890625</v>
      </c>
      <c r="O141" s="76"/>
      <c r="P141" s="77"/>
      <c r="Q141" s="77"/>
      <c r="R141" s="89"/>
      <c r="S141" s="49">
        <v>0</v>
      </c>
      <c r="T141" s="49">
        <v>1</v>
      </c>
      <c r="U141" s="50">
        <v>0</v>
      </c>
      <c r="V141" s="50">
        <v>0.478122</v>
      </c>
      <c r="W141" s="50">
        <v>0.03471</v>
      </c>
      <c r="X141" s="50">
        <v>0.001935</v>
      </c>
      <c r="Y141" s="50">
        <v>0</v>
      </c>
      <c r="Z141" s="50">
        <v>0</v>
      </c>
      <c r="AA141" s="72">
        <v>141</v>
      </c>
      <c r="AB141" s="72"/>
      <c r="AC141" s="73"/>
      <c r="AD141" s="80" t="s">
        <v>1543</v>
      </c>
      <c r="AE141" s="80"/>
      <c r="AF141" s="80"/>
      <c r="AG141" s="80"/>
      <c r="AH141" s="80"/>
      <c r="AI141" s="80"/>
      <c r="AJ141" s="87">
        <v>39411.01222222222</v>
      </c>
      <c r="AK141" s="85" t="str">
        <f>HYPERLINK("https://yt3.ggpht.com/ytc/AKedOLTrxAeOoRXJ_71twHRmLB6wdxBqRhXaNCC_Hg=s88-c-k-c0x00ffffff-no-rj")</f>
        <v>https://yt3.ggpht.com/ytc/AKedOLTrxAeOoRXJ_71twHRmLB6wdxBqRhXaNCC_Hg=s88-c-k-c0x00ffffff-no-rj</v>
      </c>
      <c r="AL141" s="80">
        <v>31</v>
      </c>
      <c r="AM141" s="80">
        <v>0</v>
      </c>
      <c r="AN141" s="80">
        <v>1</v>
      </c>
      <c r="AO141" s="80" t="b">
        <v>0</v>
      </c>
      <c r="AP141" s="80">
        <v>1</v>
      </c>
      <c r="AQ141" s="80"/>
      <c r="AR141" s="80"/>
      <c r="AS141" s="80" t="s">
        <v>2085</v>
      </c>
      <c r="AT141" s="85" t="str">
        <f>HYPERLINK("https://www.youtube.com/channel/UCjaxtx_NGa5TStCheS4nNnw")</f>
        <v>https://www.youtube.com/channel/UCjaxtx_NGa5TStCheS4nNnw</v>
      </c>
      <c r="AU141" s="80" t="str">
        <f>REPLACE(INDEX(GroupVertices[Group],MATCH(Vertices[[#This Row],[Vertex]],GroupVertices[Vertex],0)),1,1,"")</f>
        <v>1</v>
      </c>
      <c r="AV141" s="49">
        <v>0</v>
      </c>
      <c r="AW141" s="50">
        <v>0</v>
      </c>
      <c r="AX141" s="49">
        <v>0</v>
      </c>
      <c r="AY141" s="50">
        <v>0</v>
      </c>
      <c r="AZ141" s="49">
        <v>0</v>
      </c>
      <c r="BA141" s="50">
        <v>0</v>
      </c>
      <c r="BB141" s="49">
        <v>1</v>
      </c>
      <c r="BC141" s="50">
        <v>100</v>
      </c>
      <c r="BD141" s="49">
        <v>1</v>
      </c>
      <c r="BE141" s="49"/>
      <c r="BF141" s="49"/>
      <c r="BG141" s="49"/>
      <c r="BH141" s="49"/>
      <c r="BI141" s="49"/>
      <c r="BJ141" s="49"/>
      <c r="BK141" s="111" t="s">
        <v>1927</v>
      </c>
      <c r="BL141" s="111" t="s">
        <v>1927</v>
      </c>
      <c r="BM141" s="111" t="s">
        <v>1927</v>
      </c>
      <c r="BN141" s="111" t="s">
        <v>1927</v>
      </c>
      <c r="BO141" s="2"/>
      <c r="BP141" s="3"/>
      <c r="BQ141" s="3"/>
      <c r="BR141" s="3"/>
      <c r="BS141" s="3"/>
    </row>
    <row r="142" spans="1:71" ht="15">
      <c r="A142" s="65" t="s">
        <v>476</v>
      </c>
      <c r="B142" s="66"/>
      <c r="C142" s="66"/>
      <c r="D142" s="67">
        <v>150</v>
      </c>
      <c r="E142" s="69"/>
      <c r="F142" s="103" t="str">
        <f>HYPERLINK("https://yt3.ggpht.com/ytc/AKedOLRUtG2MsshzLM6AUAk9k11FcYvhgjhH9FgZDo43mXU=s88-c-k-c0x00ffffff-no-rj")</f>
        <v>https://yt3.ggpht.com/ytc/AKedOLRUtG2MsshzLM6AUAk9k11FcYvhgjhH9FgZDo43mXU=s88-c-k-c0x00ffffff-no-rj</v>
      </c>
      <c r="G142" s="66"/>
      <c r="H142" s="70" t="s">
        <v>1544</v>
      </c>
      <c r="I142" s="71"/>
      <c r="J142" s="71" t="s">
        <v>159</v>
      </c>
      <c r="K142" s="70" t="s">
        <v>1544</v>
      </c>
      <c r="L142" s="74">
        <v>1</v>
      </c>
      <c r="M142" s="75">
        <v>6440.44677734375</v>
      </c>
      <c r="N142" s="75">
        <v>1233.479736328125</v>
      </c>
      <c r="O142" s="76"/>
      <c r="P142" s="77"/>
      <c r="Q142" s="77"/>
      <c r="R142" s="89"/>
      <c r="S142" s="49">
        <v>0</v>
      </c>
      <c r="T142" s="49">
        <v>1</v>
      </c>
      <c r="U142" s="50">
        <v>0</v>
      </c>
      <c r="V142" s="50">
        <v>0.478122</v>
      </c>
      <c r="W142" s="50">
        <v>0.03471</v>
      </c>
      <c r="X142" s="50">
        <v>0.001935</v>
      </c>
      <c r="Y142" s="50">
        <v>0</v>
      </c>
      <c r="Z142" s="50">
        <v>0</v>
      </c>
      <c r="AA142" s="72">
        <v>142</v>
      </c>
      <c r="AB142" s="72"/>
      <c r="AC142" s="73"/>
      <c r="AD142" s="80" t="s">
        <v>1544</v>
      </c>
      <c r="AE142" s="80"/>
      <c r="AF142" s="80"/>
      <c r="AG142" s="80"/>
      <c r="AH142" s="80"/>
      <c r="AI142" s="80" t="s">
        <v>2066</v>
      </c>
      <c r="AJ142" s="87">
        <v>40706.613078703704</v>
      </c>
      <c r="AK142" s="85" t="str">
        <f>HYPERLINK("https://yt3.ggpht.com/ytc/AKedOLRUtG2MsshzLM6AUAk9k11FcYvhgjhH9FgZDo43mXU=s88-c-k-c0x00ffffff-no-rj")</f>
        <v>https://yt3.ggpht.com/ytc/AKedOLRUtG2MsshzLM6AUAk9k11FcYvhgjhH9FgZDo43mXU=s88-c-k-c0x00ffffff-no-rj</v>
      </c>
      <c r="AL142" s="80">
        <v>253</v>
      </c>
      <c r="AM142" s="80">
        <v>0</v>
      </c>
      <c r="AN142" s="80">
        <v>2</v>
      </c>
      <c r="AO142" s="80" t="b">
        <v>0</v>
      </c>
      <c r="AP142" s="80">
        <v>12</v>
      </c>
      <c r="AQ142" s="80"/>
      <c r="AR142" s="80"/>
      <c r="AS142" s="80" t="s">
        <v>2085</v>
      </c>
      <c r="AT142" s="85" t="str">
        <f>HYPERLINK("https://www.youtube.com/channel/UCcg9nOqmYYkZmY0TU3Aw6MQ")</f>
        <v>https://www.youtube.com/channel/UCcg9nOqmYYkZmY0TU3Aw6MQ</v>
      </c>
      <c r="AU142" s="80" t="str">
        <f>REPLACE(INDEX(GroupVertices[Group],MATCH(Vertices[[#This Row],[Vertex]],GroupVertices[Vertex],0)),1,1,"")</f>
        <v>1</v>
      </c>
      <c r="AV142" s="49">
        <v>5</v>
      </c>
      <c r="AW142" s="50">
        <v>1.9083969465648856</v>
      </c>
      <c r="AX142" s="49">
        <v>10</v>
      </c>
      <c r="AY142" s="50">
        <v>3.816793893129771</v>
      </c>
      <c r="AZ142" s="49">
        <v>0</v>
      </c>
      <c r="BA142" s="50">
        <v>0</v>
      </c>
      <c r="BB142" s="49">
        <v>247</v>
      </c>
      <c r="BC142" s="50">
        <v>94.27480916030534</v>
      </c>
      <c r="BD142" s="49">
        <v>262</v>
      </c>
      <c r="BE142" s="49"/>
      <c r="BF142" s="49"/>
      <c r="BG142" s="49"/>
      <c r="BH142" s="49"/>
      <c r="BI142" s="49"/>
      <c r="BJ142" s="49"/>
      <c r="BK142" s="111" t="s">
        <v>3527</v>
      </c>
      <c r="BL142" s="111" t="s">
        <v>3826</v>
      </c>
      <c r="BM142" s="111" t="s">
        <v>3975</v>
      </c>
      <c r="BN142" s="111" t="s">
        <v>3975</v>
      </c>
      <c r="BO142" s="2"/>
      <c r="BP142" s="3"/>
      <c r="BQ142" s="3"/>
      <c r="BR142" s="3"/>
      <c r="BS142" s="3"/>
    </row>
    <row r="143" spans="1:71" ht="15">
      <c r="A143" s="65" t="s">
        <v>477</v>
      </c>
      <c r="B143" s="66"/>
      <c r="C143" s="66"/>
      <c r="D143" s="67">
        <v>150</v>
      </c>
      <c r="E143" s="69"/>
      <c r="F143" s="103" t="str">
        <f>HYPERLINK("https://yt3.ggpht.com/ytc/AKedOLRNs5XCe_ebAivDY3iDIuk0Eg4oCrH_g6qj7w=s88-c-k-c0x00ffffff-no-rj")</f>
        <v>https://yt3.ggpht.com/ytc/AKedOLRNs5XCe_ebAivDY3iDIuk0Eg4oCrH_g6qj7w=s88-c-k-c0x00ffffff-no-rj</v>
      </c>
      <c r="G143" s="66"/>
      <c r="H143" s="70" t="s">
        <v>1545</v>
      </c>
      <c r="I143" s="71"/>
      <c r="J143" s="71" t="s">
        <v>159</v>
      </c>
      <c r="K143" s="70" t="s">
        <v>1545</v>
      </c>
      <c r="L143" s="74">
        <v>1</v>
      </c>
      <c r="M143" s="75">
        <v>7199.40234375</v>
      </c>
      <c r="N143" s="75">
        <v>3877.012939453125</v>
      </c>
      <c r="O143" s="76"/>
      <c r="P143" s="77"/>
      <c r="Q143" s="77"/>
      <c r="R143" s="89"/>
      <c r="S143" s="49">
        <v>0</v>
      </c>
      <c r="T143" s="49">
        <v>1</v>
      </c>
      <c r="U143" s="50">
        <v>0</v>
      </c>
      <c r="V143" s="50">
        <v>0.478122</v>
      </c>
      <c r="W143" s="50">
        <v>0.03471</v>
      </c>
      <c r="X143" s="50">
        <v>0.001935</v>
      </c>
      <c r="Y143" s="50">
        <v>0</v>
      </c>
      <c r="Z143" s="50">
        <v>0</v>
      </c>
      <c r="AA143" s="72">
        <v>143</v>
      </c>
      <c r="AB143" s="72"/>
      <c r="AC143" s="73"/>
      <c r="AD143" s="80" t="s">
        <v>1545</v>
      </c>
      <c r="AE143" s="80" t="s">
        <v>1983</v>
      </c>
      <c r="AF143" s="80"/>
      <c r="AG143" s="80"/>
      <c r="AH143" s="80"/>
      <c r="AI143" s="80"/>
      <c r="AJ143" s="87">
        <v>40831.61965277778</v>
      </c>
      <c r="AK143" s="85" t="str">
        <f>HYPERLINK("https://yt3.ggpht.com/ytc/AKedOLRNs5XCe_ebAivDY3iDIuk0Eg4oCrH_g6qj7w=s88-c-k-c0x00ffffff-no-rj")</f>
        <v>https://yt3.ggpht.com/ytc/AKedOLRNs5XCe_ebAivDY3iDIuk0Eg4oCrH_g6qj7w=s88-c-k-c0x00ffffff-no-rj</v>
      </c>
      <c r="AL143" s="80">
        <v>0</v>
      </c>
      <c r="AM143" s="80">
        <v>0</v>
      </c>
      <c r="AN143" s="80">
        <v>4</v>
      </c>
      <c r="AO143" s="80" t="b">
        <v>0</v>
      </c>
      <c r="AP143" s="80">
        <v>0</v>
      </c>
      <c r="AQ143" s="80"/>
      <c r="AR143" s="80"/>
      <c r="AS143" s="80" t="s">
        <v>2085</v>
      </c>
      <c r="AT143" s="85" t="str">
        <f>HYPERLINK("https://www.youtube.com/channel/UCO0d_DTPKCIc_ikRyMHYwFQ")</f>
        <v>https://www.youtube.com/channel/UCO0d_DTPKCIc_ikRyMHYwFQ</v>
      </c>
      <c r="AU143" s="80" t="str">
        <f>REPLACE(INDEX(GroupVertices[Group],MATCH(Vertices[[#This Row],[Vertex]],GroupVertices[Vertex],0)),1,1,"")</f>
        <v>1</v>
      </c>
      <c r="AV143" s="49">
        <v>10</v>
      </c>
      <c r="AW143" s="50">
        <v>5.649717514124294</v>
      </c>
      <c r="AX143" s="49">
        <v>6</v>
      </c>
      <c r="AY143" s="50">
        <v>3.389830508474576</v>
      </c>
      <c r="AZ143" s="49">
        <v>0</v>
      </c>
      <c r="BA143" s="50">
        <v>0</v>
      </c>
      <c r="BB143" s="49">
        <v>161</v>
      </c>
      <c r="BC143" s="50">
        <v>90.96045197740114</v>
      </c>
      <c r="BD143" s="49">
        <v>177</v>
      </c>
      <c r="BE143" s="49"/>
      <c r="BF143" s="49"/>
      <c r="BG143" s="49"/>
      <c r="BH143" s="49"/>
      <c r="BI143" s="49"/>
      <c r="BJ143" s="49"/>
      <c r="BK143" s="111" t="s">
        <v>3528</v>
      </c>
      <c r="BL143" s="111" t="s">
        <v>3827</v>
      </c>
      <c r="BM143" s="111" t="s">
        <v>3976</v>
      </c>
      <c r="BN143" s="111" t="s">
        <v>4259</v>
      </c>
      <c r="BO143" s="2"/>
      <c r="BP143" s="3"/>
      <c r="BQ143" s="3"/>
      <c r="BR143" s="3"/>
      <c r="BS143" s="3"/>
    </row>
    <row r="144" spans="1:71" ht="15">
      <c r="A144" s="65" t="s">
        <v>478</v>
      </c>
      <c r="B144" s="66"/>
      <c r="C144" s="66"/>
      <c r="D144" s="67">
        <v>150</v>
      </c>
      <c r="E144" s="69"/>
      <c r="F144" s="103" t="str">
        <f>HYPERLINK("https://yt3.ggpht.com/ytc/AKedOLS__LVSIn5tZZ0dPl5RAGoVhpfrSpX-ub78JswDhw=s88-c-k-c0x00ffffff-no-rj")</f>
        <v>https://yt3.ggpht.com/ytc/AKedOLS__LVSIn5tZZ0dPl5RAGoVhpfrSpX-ub78JswDhw=s88-c-k-c0x00ffffff-no-rj</v>
      </c>
      <c r="G144" s="66"/>
      <c r="H144" s="70" t="s">
        <v>1546</v>
      </c>
      <c r="I144" s="71"/>
      <c r="J144" s="71" t="s">
        <v>159</v>
      </c>
      <c r="K144" s="70" t="s">
        <v>1546</v>
      </c>
      <c r="L144" s="74">
        <v>1</v>
      </c>
      <c r="M144" s="75">
        <v>3126.840087890625</v>
      </c>
      <c r="N144" s="75">
        <v>9306.1259765625</v>
      </c>
      <c r="O144" s="76"/>
      <c r="P144" s="77"/>
      <c r="Q144" s="77"/>
      <c r="R144" s="89"/>
      <c r="S144" s="49">
        <v>0</v>
      </c>
      <c r="T144" s="49">
        <v>1</v>
      </c>
      <c r="U144" s="50">
        <v>0</v>
      </c>
      <c r="V144" s="50">
        <v>0.478122</v>
      </c>
      <c r="W144" s="50">
        <v>0.03471</v>
      </c>
      <c r="X144" s="50">
        <v>0.001935</v>
      </c>
      <c r="Y144" s="50">
        <v>0</v>
      </c>
      <c r="Z144" s="50">
        <v>0</v>
      </c>
      <c r="AA144" s="72">
        <v>144</v>
      </c>
      <c r="AB144" s="72"/>
      <c r="AC144" s="73"/>
      <c r="AD144" s="80" t="s">
        <v>1546</v>
      </c>
      <c r="AE144" s="80"/>
      <c r="AF144" s="80"/>
      <c r="AG144" s="80"/>
      <c r="AH144" s="80"/>
      <c r="AI144" s="80"/>
      <c r="AJ144" s="87">
        <v>40064.549479166664</v>
      </c>
      <c r="AK144" s="85" t="str">
        <f>HYPERLINK("https://yt3.ggpht.com/ytc/AKedOLS__LVSIn5tZZ0dPl5RAGoVhpfrSpX-ub78JswDhw=s88-c-k-c0x00ffffff-no-rj")</f>
        <v>https://yt3.ggpht.com/ytc/AKedOLS__LVSIn5tZZ0dPl5RAGoVhpfrSpX-ub78JswDhw=s88-c-k-c0x00ffffff-no-rj</v>
      </c>
      <c r="AL144" s="80">
        <v>27958</v>
      </c>
      <c r="AM144" s="80">
        <v>0</v>
      </c>
      <c r="AN144" s="80">
        <v>79</v>
      </c>
      <c r="AO144" s="80" t="b">
        <v>0</v>
      </c>
      <c r="AP144" s="80">
        <v>63</v>
      </c>
      <c r="AQ144" s="80"/>
      <c r="AR144" s="80"/>
      <c r="AS144" s="80" t="s">
        <v>2085</v>
      </c>
      <c r="AT144" s="85" t="str">
        <f>HYPERLINK("https://www.youtube.com/channel/UC0XSjBFZc67Pde9N4bYiBSQ")</f>
        <v>https://www.youtube.com/channel/UC0XSjBFZc67Pde9N4bYiBSQ</v>
      </c>
      <c r="AU144" s="80" t="str">
        <f>REPLACE(INDEX(GroupVertices[Group],MATCH(Vertices[[#This Row],[Vertex]],GroupVertices[Vertex],0)),1,1,"")</f>
        <v>1</v>
      </c>
      <c r="AV144" s="49">
        <v>1</v>
      </c>
      <c r="AW144" s="50">
        <v>1.0638297872340425</v>
      </c>
      <c r="AX144" s="49">
        <v>4</v>
      </c>
      <c r="AY144" s="50">
        <v>4.25531914893617</v>
      </c>
      <c r="AZ144" s="49">
        <v>0</v>
      </c>
      <c r="BA144" s="50">
        <v>0</v>
      </c>
      <c r="BB144" s="49">
        <v>89</v>
      </c>
      <c r="BC144" s="50">
        <v>94.68085106382979</v>
      </c>
      <c r="BD144" s="49">
        <v>94</v>
      </c>
      <c r="BE144" s="49"/>
      <c r="BF144" s="49"/>
      <c r="BG144" s="49"/>
      <c r="BH144" s="49"/>
      <c r="BI144" s="49"/>
      <c r="BJ144" s="49"/>
      <c r="BK144" s="111" t="s">
        <v>3529</v>
      </c>
      <c r="BL144" s="111" t="s">
        <v>3529</v>
      </c>
      <c r="BM144" s="111" t="s">
        <v>3977</v>
      </c>
      <c r="BN144" s="111" t="s">
        <v>3977</v>
      </c>
      <c r="BO144" s="2"/>
      <c r="BP144" s="3"/>
      <c r="BQ144" s="3"/>
      <c r="BR144" s="3"/>
      <c r="BS144" s="3"/>
    </row>
    <row r="145" spans="1:71" ht="15">
      <c r="A145" s="65" t="s">
        <v>479</v>
      </c>
      <c r="B145" s="66"/>
      <c r="C145" s="66"/>
      <c r="D145" s="67">
        <v>150</v>
      </c>
      <c r="E145" s="69"/>
      <c r="F145" s="103" t="str">
        <f>HYPERLINK("https://yt3.ggpht.com/ytc/AKedOLSXSV2hbb38s_MAFnLPJkfWjBlSaXonfMvWgQ=s88-c-k-c0x00ffffff-no-rj")</f>
        <v>https://yt3.ggpht.com/ytc/AKedOLSXSV2hbb38s_MAFnLPJkfWjBlSaXonfMvWgQ=s88-c-k-c0x00ffffff-no-rj</v>
      </c>
      <c r="G145" s="66"/>
      <c r="H145" s="70" t="s">
        <v>1547</v>
      </c>
      <c r="I145" s="71"/>
      <c r="J145" s="71" t="s">
        <v>159</v>
      </c>
      <c r="K145" s="70" t="s">
        <v>1547</v>
      </c>
      <c r="L145" s="74">
        <v>1</v>
      </c>
      <c r="M145" s="75">
        <v>461.199951171875</v>
      </c>
      <c r="N145" s="75">
        <v>7032.00732421875</v>
      </c>
      <c r="O145" s="76"/>
      <c r="P145" s="77"/>
      <c r="Q145" s="77"/>
      <c r="R145" s="89"/>
      <c r="S145" s="49">
        <v>0</v>
      </c>
      <c r="T145" s="49">
        <v>1</v>
      </c>
      <c r="U145" s="50">
        <v>0</v>
      </c>
      <c r="V145" s="50">
        <v>0.478122</v>
      </c>
      <c r="W145" s="50">
        <v>0.03471</v>
      </c>
      <c r="X145" s="50">
        <v>0.001935</v>
      </c>
      <c r="Y145" s="50">
        <v>0</v>
      </c>
      <c r="Z145" s="50">
        <v>0</v>
      </c>
      <c r="AA145" s="72">
        <v>145</v>
      </c>
      <c r="AB145" s="72"/>
      <c r="AC145" s="73"/>
      <c r="AD145" s="80" t="s">
        <v>1547</v>
      </c>
      <c r="AE145" s="80"/>
      <c r="AF145" s="80"/>
      <c r="AG145" s="80"/>
      <c r="AH145" s="80"/>
      <c r="AI145" s="80"/>
      <c r="AJ145" s="87">
        <v>39453.63599537037</v>
      </c>
      <c r="AK145" s="85" t="str">
        <f>HYPERLINK("https://yt3.ggpht.com/ytc/AKedOLSXSV2hbb38s_MAFnLPJkfWjBlSaXonfMvWgQ=s88-c-k-c0x00ffffff-no-rj")</f>
        <v>https://yt3.ggpht.com/ytc/AKedOLSXSV2hbb38s_MAFnLPJkfWjBlSaXonfMvWgQ=s88-c-k-c0x00ffffff-no-rj</v>
      </c>
      <c r="AL145" s="80">
        <v>213753</v>
      </c>
      <c r="AM145" s="80">
        <v>0</v>
      </c>
      <c r="AN145" s="80">
        <v>24</v>
      </c>
      <c r="AO145" s="80" t="b">
        <v>0</v>
      </c>
      <c r="AP145" s="80">
        <v>2</v>
      </c>
      <c r="AQ145" s="80"/>
      <c r="AR145" s="80"/>
      <c r="AS145" s="80" t="s">
        <v>2085</v>
      </c>
      <c r="AT145" s="85" t="str">
        <f>HYPERLINK("https://www.youtube.com/channel/UCnrhrDLWRvP2KoJwlzsctzQ")</f>
        <v>https://www.youtube.com/channel/UCnrhrDLWRvP2KoJwlzsctzQ</v>
      </c>
      <c r="AU145" s="80" t="str">
        <f>REPLACE(INDEX(GroupVertices[Group],MATCH(Vertices[[#This Row],[Vertex]],GroupVertices[Vertex],0)),1,1,"")</f>
        <v>1</v>
      </c>
      <c r="AV145" s="49">
        <v>1</v>
      </c>
      <c r="AW145" s="50">
        <v>4.545454545454546</v>
      </c>
      <c r="AX145" s="49">
        <v>2</v>
      </c>
      <c r="AY145" s="50">
        <v>9.090909090909092</v>
      </c>
      <c r="AZ145" s="49">
        <v>0</v>
      </c>
      <c r="BA145" s="50">
        <v>0</v>
      </c>
      <c r="BB145" s="49">
        <v>19</v>
      </c>
      <c r="BC145" s="50">
        <v>86.36363636363636</v>
      </c>
      <c r="BD145" s="49">
        <v>22</v>
      </c>
      <c r="BE145" s="49"/>
      <c r="BF145" s="49"/>
      <c r="BG145" s="49"/>
      <c r="BH145" s="49"/>
      <c r="BI145" s="49"/>
      <c r="BJ145" s="49"/>
      <c r="BK145" s="111" t="s">
        <v>3530</v>
      </c>
      <c r="BL145" s="111" t="s">
        <v>3530</v>
      </c>
      <c r="BM145" s="111" t="s">
        <v>3978</v>
      </c>
      <c r="BN145" s="111" t="s">
        <v>3978</v>
      </c>
      <c r="BO145" s="2"/>
      <c r="BP145" s="3"/>
      <c r="BQ145" s="3"/>
      <c r="BR145" s="3"/>
      <c r="BS145" s="3"/>
    </row>
    <row r="146" spans="1:71" ht="15">
      <c r="A146" s="65" t="s">
        <v>480</v>
      </c>
      <c r="B146" s="66"/>
      <c r="C146" s="66"/>
      <c r="D146" s="67">
        <v>150</v>
      </c>
      <c r="E146" s="69"/>
      <c r="F146" s="103" t="str">
        <f>HYPERLINK("https://yt3.ggpht.com/ytc/AKedOLTquWX-Ou2mOs_ItSaCORLiJUyG7oDuqRYjcA=s88-c-k-c0x00ffffff-no-rj")</f>
        <v>https://yt3.ggpht.com/ytc/AKedOLTquWX-Ou2mOs_ItSaCORLiJUyG7oDuqRYjcA=s88-c-k-c0x00ffffff-no-rj</v>
      </c>
      <c r="G146" s="66"/>
      <c r="H146" s="70" t="s">
        <v>1548</v>
      </c>
      <c r="I146" s="71"/>
      <c r="J146" s="71" t="s">
        <v>159</v>
      </c>
      <c r="K146" s="70" t="s">
        <v>1548</v>
      </c>
      <c r="L146" s="74">
        <v>1</v>
      </c>
      <c r="M146" s="75">
        <v>3953.41259765625</v>
      </c>
      <c r="N146" s="75">
        <v>1003.888427734375</v>
      </c>
      <c r="O146" s="76"/>
      <c r="P146" s="77"/>
      <c r="Q146" s="77"/>
      <c r="R146" s="89"/>
      <c r="S146" s="49">
        <v>0</v>
      </c>
      <c r="T146" s="49">
        <v>1</v>
      </c>
      <c r="U146" s="50">
        <v>0</v>
      </c>
      <c r="V146" s="50">
        <v>0.478122</v>
      </c>
      <c r="W146" s="50">
        <v>0.03471</v>
      </c>
      <c r="X146" s="50">
        <v>0.001935</v>
      </c>
      <c r="Y146" s="50">
        <v>0</v>
      </c>
      <c r="Z146" s="50">
        <v>0</v>
      </c>
      <c r="AA146" s="72">
        <v>146</v>
      </c>
      <c r="AB146" s="72"/>
      <c r="AC146" s="73"/>
      <c r="AD146" s="80" t="s">
        <v>1548</v>
      </c>
      <c r="AE146" s="80"/>
      <c r="AF146" s="80"/>
      <c r="AG146" s="80"/>
      <c r="AH146" s="80"/>
      <c r="AI146" s="80"/>
      <c r="AJ146" s="87">
        <v>39326.27049768518</v>
      </c>
      <c r="AK146" s="85" t="str">
        <f>HYPERLINK("https://yt3.ggpht.com/ytc/AKedOLTquWX-Ou2mOs_ItSaCORLiJUyG7oDuqRYjcA=s88-c-k-c0x00ffffff-no-rj")</f>
        <v>https://yt3.ggpht.com/ytc/AKedOLTquWX-Ou2mOs_ItSaCORLiJUyG7oDuqRYjcA=s88-c-k-c0x00ffffff-no-rj</v>
      </c>
      <c r="AL146" s="80">
        <v>0</v>
      </c>
      <c r="AM146" s="80">
        <v>0</v>
      </c>
      <c r="AN146" s="80">
        <v>6</v>
      </c>
      <c r="AO146" s="80" t="b">
        <v>0</v>
      </c>
      <c r="AP146" s="80">
        <v>0</v>
      </c>
      <c r="AQ146" s="80"/>
      <c r="AR146" s="80"/>
      <c r="AS146" s="80" t="s">
        <v>2085</v>
      </c>
      <c r="AT146" s="85" t="str">
        <f>HYPERLINK("https://www.youtube.com/channel/UC4sITMVla3iKR5KPXO8i4wQ")</f>
        <v>https://www.youtube.com/channel/UC4sITMVla3iKR5KPXO8i4wQ</v>
      </c>
      <c r="AU146" s="80" t="str">
        <f>REPLACE(INDEX(GroupVertices[Group],MATCH(Vertices[[#This Row],[Vertex]],GroupVertices[Vertex],0)),1,1,"")</f>
        <v>1</v>
      </c>
      <c r="AV146" s="49">
        <v>4</v>
      </c>
      <c r="AW146" s="50">
        <v>13.333333333333334</v>
      </c>
      <c r="AX146" s="49">
        <v>0</v>
      </c>
      <c r="AY146" s="50">
        <v>0</v>
      </c>
      <c r="AZ146" s="49">
        <v>0</v>
      </c>
      <c r="BA146" s="50">
        <v>0</v>
      </c>
      <c r="BB146" s="49">
        <v>26</v>
      </c>
      <c r="BC146" s="50">
        <v>86.66666666666667</v>
      </c>
      <c r="BD146" s="49">
        <v>30</v>
      </c>
      <c r="BE146" s="49"/>
      <c r="BF146" s="49"/>
      <c r="BG146" s="49"/>
      <c r="BH146" s="49"/>
      <c r="BI146" s="49"/>
      <c r="BJ146" s="49"/>
      <c r="BK146" s="111" t="s">
        <v>3531</v>
      </c>
      <c r="BL146" s="111" t="s">
        <v>3531</v>
      </c>
      <c r="BM146" s="111" t="s">
        <v>3979</v>
      </c>
      <c r="BN146" s="111" t="s">
        <v>3979</v>
      </c>
      <c r="BO146" s="2"/>
      <c r="BP146" s="3"/>
      <c r="BQ146" s="3"/>
      <c r="BR146" s="3"/>
      <c r="BS146" s="3"/>
    </row>
    <row r="147" spans="1:71" ht="15">
      <c r="A147" s="65" t="s">
        <v>481</v>
      </c>
      <c r="B147" s="66"/>
      <c r="C147" s="66"/>
      <c r="D147" s="67">
        <v>150</v>
      </c>
      <c r="E147" s="69"/>
      <c r="F147" s="103" t="str">
        <f>HYPERLINK("https://yt3.ggpht.com/ytc/AKedOLQmH2jzjlLf9EgBpvMUai74hGQ14HqdZ30-xQ=s88-c-k-c0x00ffffff-no-rj")</f>
        <v>https://yt3.ggpht.com/ytc/AKedOLQmH2jzjlLf9EgBpvMUai74hGQ14HqdZ30-xQ=s88-c-k-c0x00ffffff-no-rj</v>
      </c>
      <c r="G147" s="66"/>
      <c r="H147" s="70" t="s">
        <v>1549</v>
      </c>
      <c r="I147" s="71"/>
      <c r="J147" s="71" t="s">
        <v>159</v>
      </c>
      <c r="K147" s="70" t="s">
        <v>1549</v>
      </c>
      <c r="L147" s="74">
        <v>1</v>
      </c>
      <c r="M147" s="75">
        <v>2322.725341796875</v>
      </c>
      <c r="N147" s="75">
        <v>1068.922119140625</v>
      </c>
      <c r="O147" s="76"/>
      <c r="P147" s="77"/>
      <c r="Q147" s="77"/>
      <c r="R147" s="89"/>
      <c r="S147" s="49">
        <v>0</v>
      </c>
      <c r="T147" s="49">
        <v>1</v>
      </c>
      <c r="U147" s="50">
        <v>0</v>
      </c>
      <c r="V147" s="50">
        <v>0.478122</v>
      </c>
      <c r="W147" s="50">
        <v>0.03471</v>
      </c>
      <c r="X147" s="50">
        <v>0.001935</v>
      </c>
      <c r="Y147" s="50">
        <v>0</v>
      </c>
      <c r="Z147" s="50">
        <v>0</v>
      </c>
      <c r="AA147" s="72">
        <v>147</v>
      </c>
      <c r="AB147" s="72"/>
      <c r="AC147" s="73"/>
      <c r="AD147" s="80" t="s">
        <v>1549</v>
      </c>
      <c r="AE147" s="80"/>
      <c r="AF147" s="80"/>
      <c r="AG147" s="80"/>
      <c r="AH147" s="80"/>
      <c r="AI147" s="80"/>
      <c r="AJ147" s="87">
        <v>39145.20832175926</v>
      </c>
      <c r="AK147" s="85" t="str">
        <f>HYPERLINK("https://yt3.ggpht.com/ytc/AKedOLQmH2jzjlLf9EgBpvMUai74hGQ14HqdZ30-xQ=s88-c-k-c0x00ffffff-no-rj")</f>
        <v>https://yt3.ggpht.com/ytc/AKedOLQmH2jzjlLf9EgBpvMUai74hGQ14HqdZ30-xQ=s88-c-k-c0x00ffffff-no-rj</v>
      </c>
      <c r="AL147" s="80">
        <v>1641</v>
      </c>
      <c r="AM147" s="80">
        <v>0</v>
      </c>
      <c r="AN147" s="80">
        <v>2</v>
      </c>
      <c r="AO147" s="80" t="b">
        <v>0</v>
      </c>
      <c r="AP147" s="80">
        <v>2</v>
      </c>
      <c r="AQ147" s="80"/>
      <c r="AR147" s="80"/>
      <c r="AS147" s="80" t="s">
        <v>2085</v>
      </c>
      <c r="AT147" s="85" t="str">
        <f>HYPERLINK("https://www.youtube.com/channel/UCOZ8e2ZZOSN0o5zq_SoypbQ")</f>
        <v>https://www.youtube.com/channel/UCOZ8e2ZZOSN0o5zq_SoypbQ</v>
      </c>
      <c r="AU147" s="80" t="str">
        <f>REPLACE(INDEX(GroupVertices[Group],MATCH(Vertices[[#This Row],[Vertex]],GroupVertices[Vertex],0)),1,1,"")</f>
        <v>1</v>
      </c>
      <c r="AV147" s="49">
        <v>0</v>
      </c>
      <c r="AW147" s="50">
        <v>0</v>
      </c>
      <c r="AX147" s="49">
        <v>0</v>
      </c>
      <c r="AY147" s="50">
        <v>0</v>
      </c>
      <c r="AZ147" s="49">
        <v>0</v>
      </c>
      <c r="BA147" s="50">
        <v>0</v>
      </c>
      <c r="BB147" s="49">
        <v>10</v>
      </c>
      <c r="BC147" s="50">
        <v>100</v>
      </c>
      <c r="BD147" s="49">
        <v>10</v>
      </c>
      <c r="BE147" s="49"/>
      <c r="BF147" s="49"/>
      <c r="BG147" s="49"/>
      <c r="BH147" s="49"/>
      <c r="BI147" s="49"/>
      <c r="BJ147" s="49"/>
      <c r="BK147" s="111" t="s">
        <v>3532</v>
      </c>
      <c r="BL147" s="111" t="s">
        <v>3532</v>
      </c>
      <c r="BM147" s="111" t="s">
        <v>3980</v>
      </c>
      <c r="BN147" s="111" t="s">
        <v>3980</v>
      </c>
      <c r="BO147" s="2"/>
      <c r="BP147" s="3"/>
      <c r="BQ147" s="3"/>
      <c r="BR147" s="3"/>
      <c r="BS147" s="3"/>
    </row>
    <row r="148" spans="1:71" ht="15">
      <c r="A148" s="65" t="s">
        <v>482</v>
      </c>
      <c r="B148" s="66"/>
      <c r="C148" s="66"/>
      <c r="D148" s="67">
        <v>150</v>
      </c>
      <c r="E148" s="69"/>
      <c r="F148" s="103" t="str">
        <f>HYPERLINK("https://yt3.ggpht.com/ytc/AKedOLQHXLjLiw3Z7iCed6BVGL2BSKFSaZczz-lKCQ=s88-c-k-c0x00ffffff-no-rj")</f>
        <v>https://yt3.ggpht.com/ytc/AKedOLQHXLjLiw3Z7iCed6BVGL2BSKFSaZczz-lKCQ=s88-c-k-c0x00ffffff-no-rj</v>
      </c>
      <c r="G148" s="66"/>
      <c r="H148" s="70" t="s">
        <v>1550</v>
      </c>
      <c r="I148" s="71"/>
      <c r="J148" s="71" t="s">
        <v>159</v>
      </c>
      <c r="K148" s="70" t="s">
        <v>1550</v>
      </c>
      <c r="L148" s="74">
        <v>1</v>
      </c>
      <c r="M148" s="75">
        <v>8072.69873046875</v>
      </c>
      <c r="N148" s="75">
        <v>4466.28759765625</v>
      </c>
      <c r="O148" s="76"/>
      <c r="P148" s="77"/>
      <c r="Q148" s="77"/>
      <c r="R148" s="89"/>
      <c r="S148" s="49">
        <v>0</v>
      </c>
      <c r="T148" s="49">
        <v>1</v>
      </c>
      <c r="U148" s="50">
        <v>0</v>
      </c>
      <c r="V148" s="50">
        <v>0.478122</v>
      </c>
      <c r="W148" s="50">
        <v>0.03471</v>
      </c>
      <c r="X148" s="50">
        <v>0.001935</v>
      </c>
      <c r="Y148" s="50">
        <v>0</v>
      </c>
      <c r="Z148" s="50">
        <v>0</v>
      </c>
      <c r="AA148" s="72">
        <v>148</v>
      </c>
      <c r="AB148" s="72"/>
      <c r="AC148" s="73"/>
      <c r="AD148" s="80" t="s">
        <v>1550</v>
      </c>
      <c r="AE148" s="80"/>
      <c r="AF148" s="80"/>
      <c r="AG148" s="80"/>
      <c r="AH148" s="80"/>
      <c r="AI148" s="80"/>
      <c r="AJ148" s="87">
        <v>40720.037523148145</v>
      </c>
      <c r="AK148" s="85" t="str">
        <f>HYPERLINK("https://yt3.ggpht.com/ytc/AKedOLQHXLjLiw3Z7iCed6BVGL2BSKFSaZczz-lKCQ=s88-c-k-c0x00ffffff-no-rj")</f>
        <v>https://yt3.ggpht.com/ytc/AKedOLQHXLjLiw3Z7iCed6BVGL2BSKFSaZczz-lKCQ=s88-c-k-c0x00ffffff-no-rj</v>
      </c>
      <c r="AL148" s="80">
        <v>0</v>
      </c>
      <c r="AM148" s="80">
        <v>0</v>
      </c>
      <c r="AN148" s="80">
        <v>0</v>
      </c>
      <c r="AO148" s="80" t="b">
        <v>0</v>
      </c>
      <c r="AP148" s="80">
        <v>0</v>
      </c>
      <c r="AQ148" s="80"/>
      <c r="AR148" s="80"/>
      <c r="AS148" s="80" t="s">
        <v>2085</v>
      </c>
      <c r="AT148" s="85" t="str">
        <f>HYPERLINK("https://www.youtube.com/channel/UC80K-iJwEmwH1L-JALZMYIg")</f>
        <v>https://www.youtube.com/channel/UC80K-iJwEmwH1L-JALZMYIg</v>
      </c>
      <c r="AU148" s="80" t="str">
        <f>REPLACE(INDEX(GroupVertices[Group],MATCH(Vertices[[#This Row],[Vertex]],GroupVertices[Vertex],0)),1,1,"")</f>
        <v>1</v>
      </c>
      <c r="AV148" s="49">
        <v>1</v>
      </c>
      <c r="AW148" s="50">
        <v>10</v>
      </c>
      <c r="AX148" s="49">
        <v>0</v>
      </c>
      <c r="AY148" s="50">
        <v>0</v>
      </c>
      <c r="AZ148" s="49">
        <v>0</v>
      </c>
      <c r="BA148" s="50">
        <v>0</v>
      </c>
      <c r="BB148" s="49">
        <v>9</v>
      </c>
      <c r="BC148" s="50">
        <v>90</v>
      </c>
      <c r="BD148" s="49">
        <v>10</v>
      </c>
      <c r="BE148" s="49"/>
      <c r="BF148" s="49"/>
      <c r="BG148" s="49"/>
      <c r="BH148" s="49"/>
      <c r="BI148" s="49"/>
      <c r="BJ148" s="49"/>
      <c r="BK148" s="111" t="s">
        <v>3533</v>
      </c>
      <c r="BL148" s="111" t="s">
        <v>3533</v>
      </c>
      <c r="BM148" s="111" t="s">
        <v>3981</v>
      </c>
      <c r="BN148" s="111" t="s">
        <v>3981</v>
      </c>
      <c r="BO148" s="2"/>
      <c r="BP148" s="3"/>
      <c r="BQ148" s="3"/>
      <c r="BR148" s="3"/>
      <c r="BS148" s="3"/>
    </row>
    <row r="149" spans="1:71" ht="15">
      <c r="A149" s="65" t="s">
        <v>483</v>
      </c>
      <c r="B149" s="66"/>
      <c r="C149" s="66"/>
      <c r="D149" s="67">
        <v>150</v>
      </c>
      <c r="E149" s="69"/>
      <c r="F149" s="103" t="str">
        <f>HYPERLINK("https://yt3.ggpht.com/ytc/AKedOLR94zpodV_NAq5MWW0pjGaTQk1EhxYmmTEfiQ=s88-c-k-c0x00ffffff-no-rj")</f>
        <v>https://yt3.ggpht.com/ytc/AKedOLR94zpodV_NAq5MWW0pjGaTQk1EhxYmmTEfiQ=s88-c-k-c0x00ffffff-no-rj</v>
      </c>
      <c r="G149" s="66"/>
      <c r="H149" s="70" t="s">
        <v>1551</v>
      </c>
      <c r="I149" s="71"/>
      <c r="J149" s="71" t="s">
        <v>159</v>
      </c>
      <c r="K149" s="70" t="s">
        <v>1551</v>
      </c>
      <c r="L149" s="74">
        <v>1</v>
      </c>
      <c r="M149" s="75">
        <v>1683.6829833984375</v>
      </c>
      <c r="N149" s="75">
        <v>8795.11328125</v>
      </c>
      <c r="O149" s="76"/>
      <c r="P149" s="77"/>
      <c r="Q149" s="77"/>
      <c r="R149" s="89"/>
      <c r="S149" s="49">
        <v>0</v>
      </c>
      <c r="T149" s="49">
        <v>1</v>
      </c>
      <c r="U149" s="50">
        <v>0</v>
      </c>
      <c r="V149" s="50">
        <v>0.478122</v>
      </c>
      <c r="W149" s="50">
        <v>0.03471</v>
      </c>
      <c r="X149" s="50">
        <v>0.001935</v>
      </c>
      <c r="Y149" s="50">
        <v>0</v>
      </c>
      <c r="Z149" s="50">
        <v>0</v>
      </c>
      <c r="AA149" s="72">
        <v>149</v>
      </c>
      <c r="AB149" s="72"/>
      <c r="AC149" s="73"/>
      <c r="AD149" s="80" t="s">
        <v>1551</v>
      </c>
      <c r="AE149" s="80"/>
      <c r="AF149" s="80"/>
      <c r="AG149" s="80"/>
      <c r="AH149" s="80"/>
      <c r="AI149" s="80"/>
      <c r="AJ149" s="87">
        <v>39283.25417824074</v>
      </c>
      <c r="AK149" s="85" t="str">
        <f>HYPERLINK("https://yt3.ggpht.com/ytc/AKedOLR94zpodV_NAq5MWW0pjGaTQk1EhxYmmTEfiQ=s88-c-k-c0x00ffffff-no-rj")</f>
        <v>https://yt3.ggpht.com/ytc/AKedOLR94zpodV_NAq5MWW0pjGaTQk1EhxYmmTEfiQ=s88-c-k-c0x00ffffff-no-rj</v>
      </c>
      <c r="AL149" s="80">
        <v>811</v>
      </c>
      <c r="AM149" s="80">
        <v>0</v>
      </c>
      <c r="AN149" s="80">
        <v>9</v>
      </c>
      <c r="AO149" s="80" t="b">
        <v>0</v>
      </c>
      <c r="AP149" s="80">
        <v>8</v>
      </c>
      <c r="AQ149" s="80"/>
      <c r="AR149" s="80"/>
      <c r="AS149" s="80" t="s">
        <v>2085</v>
      </c>
      <c r="AT149" s="85" t="str">
        <f>HYPERLINK("https://www.youtube.com/channel/UCKn14BKTwi54h2efB3lkKcg")</f>
        <v>https://www.youtube.com/channel/UCKn14BKTwi54h2efB3lkKcg</v>
      </c>
      <c r="AU149" s="80" t="str">
        <f>REPLACE(INDEX(GroupVertices[Group],MATCH(Vertices[[#This Row],[Vertex]],GroupVertices[Vertex],0)),1,1,"")</f>
        <v>1</v>
      </c>
      <c r="AV149" s="49">
        <v>0</v>
      </c>
      <c r="AW149" s="50">
        <v>0</v>
      </c>
      <c r="AX149" s="49">
        <v>1</v>
      </c>
      <c r="AY149" s="50">
        <v>14.285714285714286</v>
      </c>
      <c r="AZ149" s="49">
        <v>0</v>
      </c>
      <c r="BA149" s="50">
        <v>0</v>
      </c>
      <c r="BB149" s="49">
        <v>6</v>
      </c>
      <c r="BC149" s="50">
        <v>85.71428571428571</v>
      </c>
      <c r="BD149" s="49">
        <v>7</v>
      </c>
      <c r="BE149" s="49"/>
      <c r="BF149" s="49"/>
      <c r="BG149" s="49"/>
      <c r="BH149" s="49"/>
      <c r="BI149" s="49"/>
      <c r="BJ149" s="49"/>
      <c r="BK149" s="111" t="s">
        <v>3534</v>
      </c>
      <c r="BL149" s="111" t="s">
        <v>3534</v>
      </c>
      <c r="BM149" s="111" t="s">
        <v>3982</v>
      </c>
      <c r="BN149" s="111" t="s">
        <v>3982</v>
      </c>
      <c r="BO149" s="2"/>
      <c r="BP149" s="3"/>
      <c r="BQ149" s="3"/>
      <c r="BR149" s="3"/>
      <c r="BS149" s="3"/>
    </row>
    <row r="150" spans="1:71" ht="15">
      <c r="A150" s="65" t="s">
        <v>484</v>
      </c>
      <c r="B150" s="66"/>
      <c r="C150" s="66"/>
      <c r="D150" s="67">
        <v>150</v>
      </c>
      <c r="E150" s="69"/>
      <c r="F150" s="103" t="str">
        <f>HYPERLINK("https://yt3.ggpht.com/ytc/AKedOLRrKSegW-2KxgZA8aYCJh6dyvFKVVdE2svlOA=s88-c-k-c0x00ffffff-no-rj")</f>
        <v>https://yt3.ggpht.com/ytc/AKedOLRrKSegW-2KxgZA8aYCJh6dyvFKVVdE2svlOA=s88-c-k-c0x00ffffff-no-rj</v>
      </c>
      <c r="G150" s="66"/>
      <c r="H150" s="70" t="s">
        <v>1552</v>
      </c>
      <c r="I150" s="71"/>
      <c r="J150" s="71" t="s">
        <v>159</v>
      </c>
      <c r="K150" s="70" t="s">
        <v>1552</v>
      </c>
      <c r="L150" s="74">
        <v>1</v>
      </c>
      <c r="M150" s="75">
        <v>191.298583984375</v>
      </c>
      <c r="N150" s="75">
        <v>3892.902099609375</v>
      </c>
      <c r="O150" s="76"/>
      <c r="P150" s="77"/>
      <c r="Q150" s="77"/>
      <c r="R150" s="89"/>
      <c r="S150" s="49">
        <v>0</v>
      </c>
      <c r="T150" s="49">
        <v>1</v>
      </c>
      <c r="U150" s="50">
        <v>0</v>
      </c>
      <c r="V150" s="50">
        <v>0.478122</v>
      </c>
      <c r="W150" s="50">
        <v>0.03471</v>
      </c>
      <c r="X150" s="50">
        <v>0.001935</v>
      </c>
      <c r="Y150" s="50">
        <v>0</v>
      </c>
      <c r="Z150" s="50">
        <v>0</v>
      </c>
      <c r="AA150" s="72">
        <v>150</v>
      </c>
      <c r="AB150" s="72"/>
      <c r="AC150" s="73"/>
      <c r="AD150" s="80" t="s">
        <v>1552</v>
      </c>
      <c r="AE150" s="80"/>
      <c r="AF150" s="80"/>
      <c r="AG150" s="80"/>
      <c r="AH150" s="80"/>
      <c r="AI150" s="80"/>
      <c r="AJ150" s="87">
        <v>38946.08917824074</v>
      </c>
      <c r="AK150" s="85" t="str">
        <f>HYPERLINK("https://yt3.ggpht.com/ytc/AKedOLRrKSegW-2KxgZA8aYCJh6dyvFKVVdE2svlOA=s88-c-k-c0x00ffffff-no-rj")</f>
        <v>https://yt3.ggpht.com/ytc/AKedOLRrKSegW-2KxgZA8aYCJh6dyvFKVVdE2svlOA=s88-c-k-c0x00ffffff-no-rj</v>
      </c>
      <c r="AL150" s="80">
        <v>0</v>
      </c>
      <c r="AM150" s="80">
        <v>0</v>
      </c>
      <c r="AN150" s="80">
        <v>2</v>
      </c>
      <c r="AO150" s="80" t="b">
        <v>0</v>
      </c>
      <c r="AP150" s="80">
        <v>0</v>
      </c>
      <c r="AQ150" s="80"/>
      <c r="AR150" s="80"/>
      <c r="AS150" s="80" t="s">
        <v>2085</v>
      </c>
      <c r="AT150" s="85" t="str">
        <f>HYPERLINK("https://www.youtube.com/channel/UCME5F1eMaSBeBEiIQcPWV-Q")</f>
        <v>https://www.youtube.com/channel/UCME5F1eMaSBeBEiIQcPWV-Q</v>
      </c>
      <c r="AU150" s="80" t="str">
        <f>REPLACE(INDEX(GroupVertices[Group],MATCH(Vertices[[#This Row],[Vertex]],GroupVertices[Vertex],0)),1,1,"")</f>
        <v>1</v>
      </c>
      <c r="AV150" s="49">
        <v>3</v>
      </c>
      <c r="AW150" s="50">
        <v>2.7522935779816513</v>
      </c>
      <c r="AX150" s="49">
        <v>3</v>
      </c>
      <c r="AY150" s="50">
        <v>2.7522935779816513</v>
      </c>
      <c r="AZ150" s="49">
        <v>0</v>
      </c>
      <c r="BA150" s="50">
        <v>0</v>
      </c>
      <c r="BB150" s="49">
        <v>103</v>
      </c>
      <c r="BC150" s="50">
        <v>94.4954128440367</v>
      </c>
      <c r="BD150" s="49">
        <v>109</v>
      </c>
      <c r="BE150" s="49"/>
      <c r="BF150" s="49"/>
      <c r="BG150" s="49"/>
      <c r="BH150" s="49"/>
      <c r="BI150" s="49"/>
      <c r="BJ150" s="49"/>
      <c r="BK150" s="111" t="s">
        <v>3535</v>
      </c>
      <c r="BL150" s="111" t="s">
        <v>3535</v>
      </c>
      <c r="BM150" s="111" t="s">
        <v>3983</v>
      </c>
      <c r="BN150" s="111" t="s">
        <v>3983</v>
      </c>
      <c r="BO150" s="2"/>
      <c r="BP150" s="3"/>
      <c r="BQ150" s="3"/>
      <c r="BR150" s="3"/>
      <c r="BS150" s="3"/>
    </row>
    <row r="151" spans="1:71" ht="15">
      <c r="A151" s="65" t="s">
        <v>485</v>
      </c>
      <c r="B151" s="66"/>
      <c r="C151" s="66"/>
      <c r="D151" s="67">
        <v>150</v>
      </c>
      <c r="E151" s="69"/>
      <c r="F151" s="103" t="str">
        <f>HYPERLINK("https://yt3.ggpht.com/ytc/AKedOLS6mfsnlGhyF66CaeUG4rpCurIeese7EPD6Cmp8kg=s88-c-k-c0x00ffffff-no-rj")</f>
        <v>https://yt3.ggpht.com/ytc/AKedOLS6mfsnlGhyF66CaeUG4rpCurIeese7EPD6Cmp8kg=s88-c-k-c0x00ffffff-no-rj</v>
      </c>
      <c r="G151" s="66"/>
      <c r="H151" s="70" t="s">
        <v>1553</v>
      </c>
      <c r="I151" s="71"/>
      <c r="J151" s="71" t="s">
        <v>159</v>
      </c>
      <c r="K151" s="70" t="s">
        <v>1553</v>
      </c>
      <c r="L151" s="74">
        <v>1</v>
      </c>
      <c r="M151" s="75">
        <v>5951.02587890625</v>
      </c>
      <c r="N151" s="75">
        <v>9226.201171875</v>
      </c>
      <c r="O151" s="76"/>
      <c r="P151" s="77"/>
      <c r="Q151" s="77"/>
      <c r="R151" s="89"/>
      <c r="S151" s="49">
        <v>0</v>
      </c>
      <c r="T151" s="49">
        <v>1</v>
      </c>
      <c r="U151" s="50">
        <v>0</v>
      </c>
      <c r="V151" s="50">
        <v>0.478122</v>
      </c>
      <c r="W151" s="50">
        <v>0.03471</v>
      </c>
      <c r="X151" s="50">
        <v>0.001935</v>
      </c>
      <c r="Y151" s="50">
        <v>0</v>
      </c>
      <c r="Z151" s="50">
        <v>0</v>
      </c>
      <c r="AA151" s="72">
        <v>151</v>
      </c>
      <c r="AB151" s="72"/>
      <c r="AC151" s="73"/>
      <c r="AD151" s="80" t="s">
        <v>1553</v>
      </c>
      <c r="AE151" s="80" t="s">
        <v>1984</v>
      </c>
      <c r="AF151" s="80"/>
      <c r="AG151" s="80"/>
      <c r="AH151" s="80"/>
      <c r="AI151" s="80" t="s">
        <v>2067</v>
      </c>
      <c r="AJ151" s="87">
        <v>39846.71776620371</v>
      </c>
      <c r="AK151" s="85" t="str">
        <f>HYPERLINK("https://yt3.ggpht.com/ytc/AKedOLS6mfsnlGhyF66CaeUG4rpCurIeese7EPD6Cmp8kg=s88-c-k-c0x00ffffff-no-rj")</f>
        <v>https://yt3.ggpht.com/ytc/AKedOLS6mfsnlGhyF66CaeUG4rpCurIeese7EPD6Cmp8kg=s88-c-k-c0x00ffffff-no-rj</v>
      </c>
      <c r="AL151" s="80">
        <v>6108262</v>
      </c>
      <c r="AM151" s="80">
        <v>0</v>
      </c>
      <c r="AN151" s="80">
        <v>35500</v>
      </c>
      <c r="AO151" s="80" t="b">
        <v>0</v>
      </c>
      <c r="AP151" s="80">
        <v>654</v>
      </c>
      <c r="AQ151" s="80"/>
      <c r="AR151" s="80"/>
      <c r="AS151" s="80" t="s">
        <v>2085</v>
      </c>
      <c r="AT151" s="85" t="str">
        <f>HYPERLINK("https://www.youtube.com/channel/UCTkydyNvBtEjOX7sD17Di8w")</f>
        <v>https://www.youtube.com/channel/UCTkydyNvBtEjOX7sD17Di8w</v>
      </c>
      <c r="AU151" s="80" t="str">
        <f>REPLACE(INDEX(GroupVertices[Group],MATCH(Vertices[[#This Row],[Vertex]],GroupVertices[Vertex],0)),1,1,"")</f>
        <v>1</v>
      </c>
      <c r="AV151" s="49">
        <v>1</v>
      </c>
      <c r="AW151" s="50">
        <v>1.1363636363636365</v>
      </c>
      <c r="AX151" s="49">
        <v>0</v>
      </c>
      <c r="AY151" s="50">
        <v>0</v>
      </c>
      <c r="AZ151" s="49">
        <v>0</v>
      </c>
      <c r="BA151" s="50">
        <v>0</v>
      </c>
      <c r="BB151" s="49">
        <v>87</v>
      </c>
      <c r="BC151" s="50">
        <v>98.86363636363636</v>
      </c>
      <c r="BD151" s="49">
        <v>88</v>
      </c>
      <c r="BE151" s="49"/>
      <c r="BF151" s="49"/>
      <c r="BG151" s="49"/>
      <c r="BH151" s="49"/>
      <c r="BI151" s="49"/>
      <c r="BJ151" s="49"/>
      <c r="BK151" s="111" t="s">
        <v>3536</v>
      </c>
      <c r="BL151" s="111" t="s">
        <v>3536</v>
      </c>
      <c r="BM151" s="111" t="s">
        <v>3984</v>
      </c>
      <c r="BN151" s="111" t="s">
        <v>3984</v>
      </c>
      <c r="BO151" s="2"/>
      <c r="BP151" s="3"/>
      <c r="BQ151" s="3"/>
      <c r="BR151" s="3"/>
      <c r="BS151" s="3"/>
    </row>
    <row r="152" spans="1:71" ht="15">
      <c r="A152" s="65" t="s">
        <v>486</v>
      </c>
      <c r="B152" s="66"/>
      <c r="C152" s="66"/>
      <c r="D152" s="67">
        <v>150</v>
      </c>
      <c r="E152" s="69"/>
      <c r="F152" s="103" t="str">
        <f>HYPERLINK("https://yt3.ggpht.com/ytc/AKedOLQwZ-zJJbTI1vC8XQMO4n-Bs_r3YAYZL4afnw=s88-c-k-c0x00ffffff-no-rj")</f>
        <v>https://yt3.ggpht.com/ytc/AKedOLQwZ-zJJbTI1vC8XQMO4n-Bs_r3YAYZL4afnw=s88-c-k-c0x00ffffff-no-rj</v>
      </c>
      <c r="G152" s="66"/>
      <c r="H152" s="70" t="s">
        <v>1554</v>
      </c>
      <c r="I152" s="71"/>
      <c r="J152" s="71" t="s">
        <v>159</v>
      </c>
      <c r="K152" s="70" t="s">
        <v>1554</v>
      </c>
      <c r="L152" s="74">
        <v>1</v>
      </c>
      <c r="M152" s="75">
        <v>1781.4921875</v>
      </c>
      <c r="N152" s="75">
        <v>1279.0128173828125</v>
      </c>
      <c r="O152" s="76"/>
      <c r="P152" s="77"/>
      <c r="Q152" s="77"/>
      <c r="R152" s="89"/>
      <c r="S152" s="49">
        <v>0</v>
      </c>
      <c r="T152" s="49">
        <v>1</v>
      </c>
      <c r="U152" s="50">
        <v>0</v>
      </c>
      <c r="V152" s="50">
        <v>0.478122</v>
      </c>
      <c r="W152" s="50">
        <v>0.03471</v>
      </c>
      <c r="X152" s="50">
        <v>0.001935</v>
      </c>
      <c r="Y152" s="50">
        <v>0</v>
      </c>
      <c r="Z152" s="50">
        <v>0</v>
      </c>
      <c r="AA152" s="72">
        <v>152</v>
      </c>
      <c r="AB152" s="72"/>
      <c r="AC152" s="73"/>
      <c r="AD152" s="80" t="s">
        <v>1554</v>
      </c>
      <c r="AE152" s="80" t="s">
        <v>1985</v>
      </c>
      <c r="AF152" s="80"/>
      <c r="AG152" s="80"/>
      <c r="AH152" s="80"/>
      <c r="AI152" s="80"/>
      <c r="AJ152" s="87">
        <v>38957.57177083333</v>
      </c>
      <c r="AK152" s="85" t="str">
        <f>HYPERLINK("https://yt3.ggpht.com/ytc/AKedOLQwZ-zJJbTI1vC8XQMO4n-Bs_r3YAYZL4afnw=s88-c-k-c0x00ffffff-no-rj")</f>
        <v>https://yt3.ggpht.com/ytc/AKedOLQwZ-zJJbTI1vC8XQMO4n-Bs_r3YAYZL4afnw=s88-c-k-c0x00ffffff-no-rj</v>
      </c>
      <c r="AL152" s="80">
        <v>0</v>
      </c>
      <c r="AM152" s="80">
        <v>0</v>
      </c>
      <c r="AN152" s="80">
        <v>64</v>
      </c>
      <c r="AO152" s="80" t="b">
        <v>0</v>
      </c>
      <c r="AP152" s="80">
        <v>0</v>
      </c>
      <c r="AQ152" s="80"/>
      <c r="AR152" s="80"/>
      <c r="AS152" s="80" t="s">
        <v>2085</v>
      </c>
      <c r="AT152" s="85" t="str">
        <f>HYPERLINK("https://www.youtube.com/channel/UClP0ucxUZqe-x_o_nPZQBPA")</f>
        <v>https://www.youtube.com/channel/UClP0ucxUZqe-x_o_nPZQBPA</v>
      </c>
      <c r="AU152" s="80" t="str">
        <f>REPLACE(INDEX(GroupVertices[Group],MATCH(Vertices[[#This Row],[Vertex]],GroupVertices[Vertex],0)),1,1,"")</f>
        <v>1</v>
      </c>
      <c r="AV152" s="49">
        <v>4</v>
      </c>
      <c r="AW152" s="50">
        <v>3.9215686274509802</v>
      </c>
      <c r="AX152" s="49">
        <v>2</v>
      </c>
      <c r="AY152" s="50">
        <v>1.9607843137254901</v>
      </c>
      <c r="AZ152" s="49">
        <v>0</v>
      </c>
      <c r="BA152" s="50">
        <v>0</v>
      </c>
      <c r="BB152" s="49">
        <v>96</v>
      </c>
      <c r="BC152" s="50">
        <v>94.11764705882354</v>
      </c>
      <c r="BD152" s="49">
        <v>102</v>
      </c>
      <c r="BE152" s="49"/>
      <c r="BF152" s="49"/>
      <c r="BG152" s="49"/>
      <c r="BH152" s="49"/>
      <c r="BI152" s="49"/>
      <c r="BJ152" s="49"/>
      <c r="BK152" s="111" t="s">
        <v>3537</v>
      </c>
      <c r="BL152" s="111" t="s">
        <v>3828</v>
      </c>
      <c r="BM152" s="111" t="s">
        <v>3985</v>
      </c>
      <c r="BN152" s="111" t="s">
        <v>3985</v>
      </c>
      <c r="BO152" s="2"/>
      <c r="BP152" s="3"/>
      <c r="BQ152" s="3"/>
      <c r="BR152" s="3"/>
      <c r="BS152" s="3"/>
    </row>
    <row r="153" spans="1:71" ht="15">
      <c r="A153" s="65" t="s">
        <v>487</v>
      </c>
      <c r="B153" s="66"/>
      <c r="C153" s="66"/>
      <c r="D153" s="67">
        <v>150</v>
      </c>
      <c r="E153" s="69"/>
      <c r="F153" s="103" t="str">
        <f>HYPERLINK("https://yt3.ggpht.com/ytc/AKedOLQlkl0vbb93W0kaw4w6h_vNQFxUgs1HvbaOnL7R=s88-c-k-c0x00ffffff-no-rj")</f>
        <v>https://yt3.ggpht.com/ytc/AKedOLQlkl0vbb93W0kaw4w6h_vNQFxUgs1HvbaOnL7R=s88-c-k-c0x00ffffff-no-rj</v>
      </c>
      <c r="G153" s="66"/>
      <c r="H153" s="70" t="s">
        <v>1555</v>
      </c>
      <c r="I153" s="71"/>
      <c r="J153" s="71" t="s">
        <v>159</v>
      </c>
      <c r="K153" s="70" t="s">
        <v>1555</v>
      </c>
      <c r="L153" s="74">
        <v>1</v>
      </c>
      <c r="M153" s="75">
        <v>8236.9677734375</v>
      </c>
      <c r="N153" s="75">
        <v>5370.42578125</v>
      </c>
      <c r="O153" s="76"/>
      <c r="P153" s="77"/>
      <c r="Q153" s="77"/>
      <c r="R153" s="89"/>
      <c r="S153" s="49">
        <v>0</v>
      </c>
      <c r="T153" s="49">
        <v>1</v>
      </c>
      <c r="U153" s="50">
        <v>0</v>
      </c>
      <c r="V153" s="50">
        <v>0.478122</v>
      </c>
      <c r="W153" s="50">
        <v>0.03471</v>
      </c>
      <c r="X153" s="50">
        <v>0.001935</v>
      </c>
      <c r="Y153" s="50">
        <v>0</v>
      </c>
      <c r="Z153" s="50">
        <v>0</v>
      </c>
      <c r="AA153" s="72">
        <v>153</v>
      </c>
      <c r="AB153" s="72"/>
      <c r="AC153" s="73"/>
      <c r="AD153" s="80" t="s">
        <v>1555</v>
      </c>
      <c r="AE153" s="80"/>
      <c r="AF153" s="80"/>
      <c r="AG153" s="80"/>
      <c r="AH153" s="80"/>
      <c r="AI153" s="80"/>
      <c r="AJ153" s="87">
        <v>40888.966944444444</v>
      </c>
      <c r="AK153" s="85" t="str">
        <f>HYPERLINK("https://yt3.ggpht.com/ytc/AKedOLQlkl0vbb93W0kaw4w6h_vNQFxUgs1HvbaOnL7R=s88-c-k-c0x00ffffff-no-rj")</f>
        <v>https://yt3.ggpht.com/ytc/AKedOLQlkl0vbb93W0kaw4w6h_vNQFxUgs1HvbaOnL7R=s88-c-k-c0x00ffffff-no-rj</v>
      </c>
      <c r="AL153" s="80">
        <v>188</v>
      </c>
      <c r="AM153" s="80">
        <v>0</v>
      </c>
      <c r="AN153" s="80">
        <v>4</v>
      </c>
      <c r="AO153" s="80" t="b">
        <v>0</v>
      </c>
      <c r="AP153" s="80">
        <v>1</v>
      </c>
      <c r="AQ153" s="80"/>
      <c r="AR153" s="80"/>
      <c r="AS153" s="80" t="s">
        <v>2085</v>
      </c>
      <c r="AT153" s="85" t="str">
        <f>HYPERLINK("https://www.youtube.com/channel/UCo7GzEp1TtihFueS7zGiYCg")</f>
        <v>https://www.youtube.com/channel/UCo7GzEp1TtihFueS7zGiYCg</v>
      </c>
      <c r="AU153" s="80" t="str">
        <f>REPLACE(INDEX(GroupVertices[Group],MATCH(Vertices[[#This Row],[Vertex]],GroupVertices[Vertex],0)),1,1,"")</f>
        <v>1</v>
      </c>
      <c r="AV153" s="49">
        <v>3</v>
      </c>
      <c r="AW153" s="50">
        <v>3.7974683544303796</v>
      </c>
      <c r="AX153" s="49">
        <v>2</v>
      </c>
      <c r="AY153" s="50">
        <v>2.5316455696202533</v>
      </c>
      <c r="AZ153" s="49">
        <v>0</v>
      </c>
      <c r="BA153" s="50">
        <v>0</v>
      </c>
      <c r="BB153" s="49">
        <v>74</v>
      </c>
      <c r="BC153" s="50">
        <v>93.67088607594937</v>
      </c>
      <c r="BD153" s="49">
        <v>79</v>
      </c>
      <c r="BE153" s="49"/>
      <c r="BF153" s="49"/>
      <c r="BG153" s="49"/>
      <c r="BH153" s="49"/>
      <c r="BI153" s="49"/>
      <c r="BJ153" s="49"/>
      <c r="BK153" s="111" t="s">
        <v>3538</v>
      </c>
      <c r="BL153" s="111" t="s">
        <v>3538</v>
      </c>
      <c r="BM153" s="111" t="s">
        <v>3986</v>
      </c>
      <c r="BN153" s="111" t="s">
        <v>3986</v>
      </c>
      <c r="BO153" s="2"/>
      <c r="BP153" s="3"/>
      <c r="BQ153" s="3"/>
      <c r="BR153" s="3"/>
      <c r="BS153" s="3"/>
    </row>
    <row r="154" spans="1:71" ht="15">
      <c r="A154" s="65" t="s">
        <v>488</v>
      </c>
      <c r="B154" s="66"/>
      <c r="C154" s="66"/>
      <c r="D154" s="67">
        <v>150</v>
      </c>
      <c r="E154" s="69"/>
      <c r="F154" s="103" t="str">
        <f>HYPERLINK("https://yt3.ggpht.com/ytc/AKedOLSHmfi6xvW53JqAIogQv_O1uXaD6p9dZqwrTQ=s88-c-k-c0x00ffffff-no-rj")</f>
        <v>https://yt3.ggpht.com/ytc/AKedOLSHmfi6xvW53JqAIogQv_O1uXaD6p9dZqwrTQ=s88-c-k-c0x00ffffff-no-rj</v>
      </c>
      <c r="G154" s="66"/>
      <c r="H154" s="70" t="s">
        <v>1556</v>
      </c>
      <c r="I154" s="71"/>
      <c r="J154" s="71" t="s">
        <v>159</v>
      </c>
      <c r="K154" s="70" t="s">
        <v>1556</v>
      </c>
      <c r="L154" s="74">
        <v>1</v>
      </c>
      <c r="M154" s="75">
        <v>6409.9033203125</v>
      </c>
      <c r="N154" s="75">
        <v>8540.2685546875</v>
      </c>
      <c r="O154" s="76"/>
      <c r="P154" s="77"/>
      <c r="Q154" s="77"/>
      <c r="R154" s="89"/>
      <c r="S154" s="49">
        <v>0</v>
      </c>
      <c r="T154" s="49">
        <v>1</v>
      </c>
      <c r="U154" s="50">
        <v>0</v>
      </c>
      <c r="V154" s="50">
        <v>0.478122</v>
      </c>
      <c r="W154" s="50">
        <v>0.03471</v>
      </c>
      <c r="X154" s="50">
        <v>0.001935</v>
      </c>
      <c r="Y154" s="50">
        <v>0</v>
      </c>
      <c r="Z154" s="50">
        <v>0</v>
      </c>
      <c r="AA154" s="72">
        <v>154</v>
      </c>
      <c r="AB154" s="72"/>
      <c r="AC154" s="73"/>
      <c r="AD154" s="80" t="s">
        <v>1556</v>
      </c>
      <c r="AE154" s="80"/>
      <c r="AF154" s="80"/>
      <c r="AG154" s="80"/>
      <c r="AH154" s="80"/>
      <c r="AI154" s="80"/>
      <c r="AJ154" s="87">
        <v>38917.466157407405</v>
      </c>
      <c r="AK154" s="85" t="str">
        <f>HYPERLINK("https://yt3.ggpht.com/ytc/AKedOLSHmfi6xvW53JqAIogQv_O1uXaD6p9dZqwrTQ=s88-c-k-c0x00ffffff-no-rj")</f>
        <v>https://yt3.ggpht.com/ytc/AKedOLSHmfi6xvW53JqAIogQv_O1uXaD6p9dZqwrTQ=s88-c-k-c0x00ffffff-no-rj</v>
      </c>
      <c r="AL154" s="80">
        <v>0</v>
      </c>
      <c r="AM154" s="80">
        <v>0</v>
      </c>
      <c r="AN154" s="80">
        <v>11</v>
      </c>
      <c r="AO154" s="80" t="b">
        <v>0</v>
      </c>
      <c r="AP154" s="80">
        <v>0</v>
      </c>
      <c r="AQ154" s="80"/>
      <c r="AR154" s="80"/>
      <c r="AS154" s="80" t="s">
        <v>2085</v>
      </c>
      <c r="AT154" s="85" t="str">
        <f>HYPERLINK("https://www.youtube.com/channel/UCnfOIxXxHtCq2hHoltwLlsg")</f>
        <v>https://www.youtube.com/channel/UCnfOIxXxHtCq2hHoltwLlsg</v>
      </c>
      <c r="AU154" s="80" t="str">
        <f>REPLACE(INDEX(GroupVertices[Group],MATCH(Vertices[[#This Row],[Vertex]],GroupVertices[Vertex],0)),1,1,"")</f>
        <v>1</v>
      </c>
      <c r="AV154" s="49">
        <v>0</v>
      </c>
      <c r="AW154" s="50">
        <v>0</v>
      </c>
      <c r="AX154" s="49">
        <v>0</v>
      </c>
      <c r="AY154" s="50">
        <v>0</v>
      </c>
      <c r="AZ154" s="49">
        <v>0</v>
      </c>
      <c r="BA154" s="50">
        <v>0</v>
      </c>
      <c r="BB154" s="49">
        <v>6</v>
      </c>
      <c r="BC154" s="50">
        <v>100</v>
      </c>
      <c r="BD154" s="49">
        <v>6</v>
      </c>
      <c r="BE154" s="49"/>
      <c r="BF154" s="49"/>
      <c r="BG154" s="49"/>
      <c r="BH154" s="49"/>
      <c r="BI154" s="49"/>
      <c r="BJ154" s="49"/>
      <c r="BK154" s="111" t="s">
        <v>2495</v>
      </c>
      <c r="BL154" s="111" t="s">
        <v>2495</v>
      </c>
      <c r="BM154" s="111" t="s">
        <v>1927</v>
      </c>
      <c r="BN154" s="111" t="s">
        <v>1927</v>
      </c>
      <c r="BO154" s="2"/>
      <c r="BP154" s="3"/>
      <c r="BQ154" s="3"/>
      <c r="BR154" s="3"/>
      <c r="BS154" s="3"/>
    </row>
    <row r="155" spans="1:71" ht="15">
      <c r="A155" s="65" t="s">
        <v>489</v>
      </c>
      <c r="B155" s="66"/>
      <c r="C155" s="66"/>
      <c r="D155" s="67">
        <v>150</v>
      </c>
      <c r="E155" s="69"/>
      <c r="F155" s="103" t="str">
        <f>HYPERLINK("https://yt3.ggpht.com/ytc/AKedOLQWQFd3xmrmpcyXjhoJnrQB-RnpQWM6vLx6Sw=s88-c-k-c0x00ffffff-no-rj")</f>
        <v>https://yt3.ggpht.com/ytc/AKedOLQWQFd3xmrmpcyXjhoJnrQB-RnpQWM6vLx6Sw=s88-c-k-c0x00ffffff-no-rj</v>
      </c>
      <c r="G155" s="66"/>
      <c r="H155" s="70" t="s">
        <v>1557</v>
      </c>
      <c r="I155" s="71"/>
      <c r="J155" s="71" t="s">
        <v>159</v>
      </c>
      <c r="K155" s="70" t="s">
        <v>1557</v>
      </c>
      <c r="L155" s="74">
        <v>1</v>
      </c>
      <c r="M155" s="75">
        <v>549.37451171875</v>
      </c>
      <c r="N155" s="75">
        <v>6858.68017578125</v>
      </c>
      <c r="O155" s="76"/>
      <c r="P155" s="77"/>
      <c r="Q155" s="77"/>
      <c r="R155" s="89"/>
      <c r="S155" s="49">
        <v>0</v>
      </c>
      <c r="T155" s="49">
        <v>1</v>
      </c>
      <c r="U155" s="50">
        <v>0</v>
      </c>
      <c r="V155" s="50">
        <v>0.478122</v>
      </c>
      <c r="W155" s="50">
        <v>0.03471</v>
      </c>
      <c r="X155" s="50">
        <v>0.001935</v>
      </c>
      <c r="Y155" s="50">
        <v>0</v>
      </c>
      <c r="Z155" s="50">
        <v>0</v>
      </c>
      <c r="AA155" s="72">
        <v>155</v>
      </c>
      <c r="AB155" s="72"/>
      <c r="AC155" s="73"/>
      <c r="AD155" s="80" t="s">
        <v>1557</v>
      </c>
      <c r="AE155" s="80"/>
      <c r="AF155" s="80"/>
      <c r="AG155" s="80"/>
      <c r="AH155" s="80"/>
      <c r="AI155" s="80"/>
      <c r="AJ155" s="87">
        <v>39286.19425925926</v>
      </c>
      <c r="AK155" s="85" t="str">
        <f>HYPERLINK("https://yt3.ggpht.com/ytc/AKedOLQWQFd3xmrmpcyXjhoJnrQB-RnpQWM6vLx6Sw=s88-c-k-c0x00ffffff-no-rj")</f>
        <v>https://yt3.ggpht.com/ytc/AKedOLQWQFd3xmrmpcyXjhoJnrQB-RnpQWM6vLx6Sw=s88-c-k-c0x00ffffff-no-rj</v>
      </c>
      <c r="AL155" s="80">
        <v>1141</v>
      </c>
      <c r="AM155" s="80">
        <v>0</v>
      </c>
      <c r="AN155" s="80">
        <v>96</v>
      </c>
      <c r="AO155" s="80" t="b">
        <v>0</v>
      </c>
      <c r="AP155" s="80">
        <v>2</v>
      </c>
      <c r="AQ155" s="80"/>
      <c r="AR155" s="80"/>
      <c r="AS155" s="80" t="s">
        <v>2085</v>
      </c>
      <c r="AT155" s="85" t="str">
        <f>HYPERLINK("https://www.youtube.com/channel/UCn9qCtKejAR9WHTo0N6slUg")</f>
        <v>https://www.youtube.com/channel/UCn9qCtKejAR9WHTo0N6slUg</v>
      </c>
      <c r="AU155" s="80" t="str">
        <f>REPLACE(INDEX(GroupVertices[Group],MATCH(Vertices[[#This Row],[Vertex]],GroupVertices[Vertex],0)),1,1,"")</f>
        <v>1</v>
      </c>
      <c r="AV155" s="49">
        <v>0</v>
      </c>
      <c r="AW155" s="50">
        <v>0</v>
      </c>
      <c r="AX155" s="49">
        <v>3</v>
      </c>
      <c r="AY155" s="50">
        <v>12</v>
      </c>
      <c r="AZ155" s="49">
        <v>0</v>
      </c>
      <c r="BA155" s="50">
        <v>0</v>
      </c>
      <c r="BB155" s="49">
        <v>22</v>
      </c>
      <c r="BC155" s="50">
        <v>88</v>
      </c>
      <c r="BD155" s="49">
        <v>25</v>
      </c>
      <c r="BE155" s="49"/>
      <c r="BF155" s="49"/>
      <c r="BG155" s="49"/>
      <c r="BH155" s="49"/>
      <c r="BI155" s="49"/>
      <c r="BJ155" s="49"/>
      <c r="BK155" s="111" t="s">
        <v>3539</v>
      </c>
      <c r="BL155" s="111" t="s">
        <v>3539</v>
      </c>
      <c r="BM155" s="111" t="s">
        <v>3987</v>
      </c>
      <c r="BN155" s="111" t="s">
        <v>3987</v>
      </c>
      <c r="BO155" s="2"/>
      <c r="BP155" s="3"/>
      <c r="BQ155" s="3"/>
      <c r="BR155" s="3"/>
      <c r="BS155" s="3"/>
    </row>
    <row r="156" spans="1:71" ht="15">
      <c r="A156" s="65" t="s">
        <v>490</v>
      </c>
      <c r="B156" s="66"/>
      <c r="C156" s="66"/>
      <c r="D156" s="67">
        <v>150</v>
      </c>
      <c r="E156" s="69"/>
      <c r="F156" s="103" t="str">
        <f>HYPERLINK("https://yt3.ggpht.com/ytc/AKedOLQnxGUxWjpt-OA3_RQoJWXtbVdAwpaIJQb71Q=s88-c-k-c0x00ffffff-no-rj")</f>
        <v>https://yt3.ggpht.com/ytc/AKedOLQnxGUxWjpt-OA3_RQoJWXtbVdAwpaIJQb71Q=s88-c-k-c0x00ffffff-no-rj</v>
      </c>
      <c r="G156" s="66"/>
      <c r="H156" s="70" t="s">
        <v>1558</v>
      </c>
      <c r="I156" s="71"/>
      <c r="J156" s="71" t="s">
        <v>159</v>
      </c>
      <c r="K156" s="70" t="s">
        <v>1558</v>
      </c>
      <c r="L156" s="74">
        <v>1</v>
      </c>
      <c r="M156" s="75">
        <v>6354.92919921875</v>
      </c>
      <c r="N156" s="75">
        <v>2135.651611328125</v>
      </c>
      <c r="O156" s="76"/>
      <c r="P156" s="77"/>
      <c r="Q156" s="77"/>
      <c r="R156" s="89"/>
      <c r="S156" s="49">
        <v>0</v>
      </c>
      <c r="T156" s="49">
        <v>1</v>
      </c>
      <c r="U156" s="50">
        <v>0</v>
      </c>
      <c r="V156" s="50">
        <v>0.478122</v>
      </c>
      <c r="W156" s="50">
        <v>0.03471</v>
      </c>
      <c r="X156" s="50">
        <v>0.001935</v>
      </c>
      <c r="Y156" s="50">
        <v>0</v>
      </c>
      <c r="Z156" s="50">
        <v>0</v>
      </c>
      <c r="AA156" s="72">
        <v>156</v>
      </c>
      <c r="AB156" s="72"/>
      <c r="AC156" s="73"/>
      <c r="AD156" s="80" t="s">
        <v>1558</v>
      </c>
      <c r="AE156" s="80"/>
      <c r="AF156" s="80"/>
      <c r="AG156" s="80"/>
      <c r="AH156" s="80"/>
      <c r="AI156" s="80"/>
      <c r="AJ156" s="87">
        <v>38777.33436342593</v>
      </c>
      <c r="AK156" s="85" t="str">
        <f>HYPERLINK("https://yt3.ggpht.com/ytc/AKedOLQnxGUxWjpt-OA3_RQoJWXtbVdAwpaIJQb71Q=s88-c-k-c0x00ffffff-no-rj")</f>
        <v>https://yt3.ggpht.com/ytc/AKedOLQnxGUxWjpt-OA3_RQoJWXtbVdAwpaIJQb71Q=s88-c-k-c0x00ffffff-no-rj</v>
      </c>
      <c r="AL156" s="80">
        <v>0</v>
      </c>
      <c r="AM156" s="80">
        <v>0</v>
      </c>
      <c r="AN156" s="80">
        <v>0</v>
      </c>
      <c r="AO156" s="80" t="b">
        <v>0</v>
      </c>
      <c r="AP156" s="80">
        <v>0</v>
      </c>
      <c r="AQ156" s="80"/>
      <c r="AR156" s="80"/>
      <c r="AS156" s="80" t="s">
        <v>2085</v>
      </c>
      <c r="AT156" s="85" t="str">
        <f>HYPERLINK("https://www.youtube.com/channel/UCs8UJ9JazQwL5AI8KsdplrA")</f>
        <v>https://www.youtube.com/channel/UCs8UJ9JazQwL5AI8KsdplrA</v>
      </c>
      <c r="AU156" s="80" t="str">
        <f>REPLACE(INDEX(GroupVertices[Group],MATCH(Vertices[[#This Row],[Vertex]],GroupVertices[Vertex],0)),1,1,"")</f>
        <v>1</v>
      </c>
      <c r="AV156" s="49">
        <v>0</v>
      </c>
      <c r="AW156" s="50">
        <v>0</v>
      </c>
      <c r="AX156" s="49">
        <v>2</v>
      </c>
      <c r="AY156" s="50">
        <v>66.66666666666667</v>
      </c>
      <c r="AZ156" s="49">
        <v>0</v>
      </c>
      <c r="BA156" s="50">
        <v>0</v>
      </c>
      <c r="BB156" s="49">
        <v>1</v>
      </c>
      <c r="BC156" s="50">
        <v>33.333333333333336</v>
      </c>
      <c r="BD156" s="49">
        <v>3</v>
      </c>
      <c r="BE156" s="49"/>
      <c r="BF156" s="49"/>
      <c r="BG156" s="49"/>
      <c r="BH156" s="49"/>
      <c r="BI156" s="49"/>
      <c r="BJ156" s="49"/>
      <c r="BK156" s="111" t="s">
        <v>3540</v>
      </c>
      <c r="BL156" s="111" t="s">
        <v>3540</v>
      </c>
      <c r="BM156" s="111" t="s">
        <v>3988</v>
      </c>
      <c r="BN156" s="111" t="s">
        <v>3988</v>
      </c>
      <c r="BO156" s="2"/>
      <c r="BP156" s="3"/>
      <c r="BQ156" s="3"/>
      <c r="BR156" s="3"/>
      <c r="BS156" s="3"/>
    </row>
    <row r="157" spans="1:71" ht="15">
      <c r="A157" s="65" t="s">
        <v>491</v>
      </c>
      <c r="B157" s="66"/>
      <c r="C157" s="66"/>
      <c r="D157" s="67">
        <v>150</v>
      </c>
      <c r="E157" s="69"/>
      <c r="F157" s="103" t="str">
        <f>HYPERLINK("https://yt3.ggpht.com/ytc/AKedOLR5qVrUDc1B0r_dahkm3mJorIgJUpLKgjRkhXnkqpM=s88-c-k-c0x00ffffff-no-rj")</f>
        <v>https://yt3.ggpht.com/ytc/AKedOLR5qVrUDc1B0r_dahkm3mJorIgJUpLKgjRkhXnkqpM=s88-c-k-c0x00ffffff-no-rj</v>
      </c>
      <c r="G157" s="66"/>
      <c r="H157" s="70" t="s">
        <v>1559</v>
      </c>
      <c r="I157" s="71"/>
      <c r="J157" s="71" t="s">
        <v>159</v>
      </c>
      <c r="K157" s="70" t="s">
        <v>1559</v>
      </c>
      <c r="L157" s="74">
        <v>1</v>
      </c>
      <c r="M157" s="75">
        <v>668.9745483398438</v>
      </c>
      <c r="N157" s="75">
        <v>3507.29736328125</v>
      </c>
      <c r="O157" s="76"/>
      <c r="P157" s="77"/>
      <c r="Q157" s="77"/>
      <c r="R157" s="89"/>
      <c r="S157" s="49">
        <v>0</v>
      </c>
      <c r="T157" s="49">
        <v>1</v>
      </c>
      <c r="U157" s="50">
        <v>0</v>
      </c>
      <c r="V157" s="50">
        <v>0.478122</v>
      </c>
      <c r="W157" s="50">
        <v>0.03471</v>
      </c>
      <c r="X157" s="50">
        <v>0.001935</v>
      </c>
      <c r="Y157" s="50">
        <v>0</v>
      </c>
      <c r="Z157" s="50">
        <v>0</v>
      </c>
      <c r="AA157" s="72">
        <v>157</v>
      </c>
      <c r="AB157" s="72"/>
      <c r="AC157" s="73"/>
      <c r="AD157" s="80" t="s">
        <v>1559</v>
      </c>
      <c r="AE157" s="80"/>
      <c r="AF157" s="80"/>
      <c r="AG157" s="80"/>
      <c r="AH157" s="80"/>
      <c r="AI157" s="80"/>
      <c r="AJ157" s="87">
        <v>39551.60872685185</v>
      </c>
      <c r="AK157" s="85" t="str">
        <f>HYPERLINK("https://yt3.ggpht.com/ytc/AKedOLR5qVrUDc1B0r_dahkm3mJorIgJUpLKgjRkhXnkqpM=s88-c-k-c0x00ffffff-no-rj")</f>
        <v>https://yt3.ggpht.com/ytc/AKedOLR5qVrUDc1B0r_dahkm3mJorIgJUpLKgjRkhXnkqpM=s88-c-k-c0x00ffffff-no-rj</v>
      </c>
      <c r="AL157" s="80">
        <v>979</v>
      </c>
      <c r="AM157" s="80">
        <v>0</v>
      </c>
      <c r="AN157" s="80">
        <v>4</v>
      </c>
      <c r="AO157" s="80" t="b">
        <v>0</v>
      </c>
      <c r="AP157" s="80">
        <v>3</v>
      </c>
      <c r="AQ157" s="80"/>
      <c r="AR157" s="80"/>
      <c r="AS157" s="80" t="s">
        <v>2085</v>
      </c>
      <c r="AT157" s="85" t="str">
        <f>HYPERLINK("https://www.youtube.com/channel/UCCt6FVz_V46ZRI0P3PeBLFA")</f>
        <v>https://www.youtube.com/channel/UCCt6FVz_V46ZRI0P3PeBLFA</v>
      </c>
      <c r="AU157" s="80" t="str">
        <f>REPLACE(INDEX(GroupVertices[Group],MATCH(Vertices[[#This Row],[Vertex]],GroupVertices[Vertex],0)),1,1,"")</f>
        <v>1</v>
      </c>
      <c r="AV157" s="49">
        <v>1</v>
      </c>
      <c r="AW157" s="50">
        <v>50</v>
      </c>
      <c r="AX157" s="49">
        <v>0</v>
      </c>
      <c r="AY157" s="50">
        <v>0</v>
      </c>
      <c r="AZ157" s="49">
        <v>0</v>
      </c>
      <c r="BA157" s="50">
        <v>0</v>
      </c>
      <c r="BB157" s="49">
        <v>1</v>
      </c>
      <c r="BC157" s="50">
        <v>50</v>
      </c>
      <c r="BD157" s="49">
        <v>2</v>
      </c>
      <c r="BE157" s="49"/>
      <c r="BF157" s="49"/>
      <c r="BG157" s="49"/>
      <c r="BH157" s="49"/>
      <c r="BI157" s="49"/>
      <c r="BJ157" s="49"/>
      <c r="BK157" s="111" t="s">
        <v>3541</v>
      </c>
      <c r="BL157" s="111" t="s">
        <v>3541</v>
      </c>
      <c r="BM157" s="111" t="s">
        <v>3989</v>
      </c>
      <c r="BN157" s="111" t="s">
        <v>3989</v>
      </c>
      <c r="BO157" s="2"/>
      <c r="BP157" s="3"/>
      <c r="BQ157" s="3"/>
      <c r="BR157" s="3"/>
      <c r="BS157" s="3"/>
    </row>
    <row r="158" spans="1:71" ht="15">
      <c r="A158" s="65" t="s">
        <v>492</v>
      </c>
      <c r="B158" s="66"/>
      <c r="C158" s="66"/>
      <c r="D158" s="67">
        <v>150</v>
      </c>
      <c r="E158" s="69"/>
      <c r="F158" s="103" t="str">
        <f>HYPERLINK("https://yt3.ggpht.com/ytc/AKedOLQJQ0iZvKo3GXlHTDTnjNX-iqBdFGNZJsaokQGJmrs=s88-c-k-c0x00ffffff-no-rj")</f>
        <v>https://yt3.ggpht.com/ytc/AKedOLQJQ0iZvKo3GXlHTDTnjNX-iqBdFGNZJsaokQGJmrs=s88-c-k-c0x00ffffff-no-rj</v>
      </c>
      <c r="G158" s="66"/>
      <c r="H158" s="70" t="s">
        <v>1560</v>
      </c>
      <c r="I158" s="71"/>
      <c r="J158" s="71" t="s">
        <v>159</v>
      </c>
      <c r="K158" s="70" t="s">
        <v>1560</v>
      </c>
      <c r="L158" s="74">
        <v>1</v>
      </c>
      <c r="M158" s="75">
        <v>7756.0048828125</v>
      </c>
      <c r="N158" s="75">
        <v>3751.330078125</v>
      </c>
      <c r="O158" s="76"/>
      <c r="P158" s="77"/>
      <c r="Q158" s="77"/>
      <c r="R158" s="89"/>
      <c r="S158" s="49">
        <v>0</v>
      </c>
      <c r="T158" s="49">
        <v>1</v>
      </c>
      <c r="U158" s="50">
        <v>0</v>
      </c>
      <c r="V158" s="50">
        <v>0.478122</v>
      </c>
      <c r="W158" s="50">
        <v>0.03471</v>
      </c>
      <c r="X158" s="50">
        <v>0.001935</v>
      </c>
      <c r="Y158" s="50">
        <v>0</v>
      </c>
      <c r="Z158" s="50">
        <v>0</v>
      </c>
      <c r="AA158" s="72">
        <v>158</v>
      </c>
      <c r="AB158" s="72"/>
      <c r="AC158" s="73"/>
      <c r="AD158" s="80" t="s">
        <v>1560</v>
      </c>
      <c r="AE158" s="80"/>
      <c r="AF158" s="80"/>
      <c r="AG158" s="80"/>
      <c r="AH158" s="80"/>
      <c r="AI158" s="80"/>
      <c r="AJ158" s="87">
        <v>40099.45275462963</v>
      </c>
      <c r="AK158" s="85" t="str">
        <f>HYPERLINK("https://yt3.ggpht.com/ytc/AKedOLQJQ0iZvKo3GXlHTDTnjNX-iqBdFGNZJsaokQGJmrs=s88-c-k-c0x00ffffff-no-rj")</f>
        <v>https://yt3.ggpht.com/ytc/AKedOLQJQ0iZvKo3GXlHTDTnjNX-iqBdFGNZJsaokQGJmrs=s88-c-k-c0x00ffffff-no-rj</v>
      </c>
      <c r="AL158" s="80">
        <v>0</v>
      </c>
      <c r="AM158" s="80">
        <v>0</v>
      </c>
      <c r="AN158" s="80">
        <v>8</v>
      </c>
      <c r="AO158" s="80" t="b">
        <v>0</v>
      </c>
      <c r="AP158" s="80">
        <v>0</v>
      </c>
      <c r="AQ158" s="80"/>
      <c r="AR158" s="80"/>
      <c r="AS158" s="80" t="s">
        <v>2085</v>
      </c>
      <c r="AT158" s="85" t="str">
        <f>HYPERLINK("https://www.youtube.com/channel/UC7tDCPfjQaEoetZOv0J6hCg")</f>
        <v>https://www.youtube.com/channel/UC7tDCPfjQaEoetZOv0J6hCg</v>
      </c>
      <c r="AU158" s="80" t="str">
        <f>REPLACE(INDEX(GroupVertices[Group],MATCH(Vertices[[#This Row],[Vertex]],GroupVertices[Vertex],0)),1,1,"")</f>
        <v>1</v>
      </c>
      <c r="AV158" s="49">
        <v>3</v>
      </c>
      <c r="AW158" s="50">
        <v>2.112676056338028</v>
      </c>
      <c r="AX158" s="49">
        <v>8</v>
      </c>
      <c r="AY158" s="50">
        <v>5.633802816901408</v>
      </c>
      <c r="AZ158" s="49">
        <v>0</v>
      </c>
      <c r="BA158" s="50">
        <v>0</v>
      </c>
      <c r="BB158" s="49">
        <v>131</v>
      </c>
      <c r="BC158" s="50">
        <v>92.25352112676056</v>
      </c>
      <c r="BD158" s="49">
        <v>142</v>
      </c>
      <c r="BE158" s="49"/>
      <c r="BF158" s="49"/>
      <c r="BG158" s="49"/>
      <c r="BH158" s="49"/>
      <c r="BI158" s="49"/>
      <c r="BJ158" s="49"/>
      <c r="BK158" s="111" t="s">
        <v>3542</v>
      </c>
      <c r="BL158" s="111" t="s">
        <v>3829</v>
      </c>
      <c r="BM158" s="111" t="s">
        <v>3990</v>
      </c>
      <c r="BN158" s="111" t="s">
        <v>3990</v>
      </c>
      <c r="BO158" s="2"/>
      <c r="BP158" s="3"/>
      <c r="BQ158" s="3"/>
      <c r="BR158" s="3"/>
      <c r="BS158" s="3"/>
    </row>
    <row r="159" spans="1:71" ht="15">
      <c r="A159" s="65" t="s">
        <v>493</v>
      </c>
      <c r="B159" s="66"/>
      <c r="C159" s="66"/>
      <c r="D159" s="67">
        <v>150</v>
      </c>
      <c r="E159" s="69"/>
      <c r="F159" s="103" t="str">
        <f>HYPERLINK("https://yt3.ggpht.com/ytc/AKedOLS74ecQ38PpgeVQnQBAZp4vr6MhlpT6zjXVG6Ur=s88-c-k-c0x00ffffff-no-rj")</f>
        <v>https://yt3.ggpht.com/ytc/AKedOLS74ecQ38PpgeVQnQBAZp4vr6MhlpT6zjXVG6Ur=s88-c-k-c0x00ffffff-no-rj</v>
      </c>
      <c r="G159" s="66"/>
      <c r="H159" s="70" t="s">
        <v>1561</v>
      </c>
      <c r="I159" s="71"/>
      <c r="J159" s="71" t="s">
        <v>159</v>
      </c>
      <c r="K159" s="70" t="s">
        <v>1561</v>
      </c>
      <c r="L159" s="74">
        <v>1</v>
      </c>
      <c r="M159" s="75">
        <v>3741.027099609375</v>
      </c>
      <c r="N159" s="75">
        <v>4009.829345703125</v>
      </c>
      <c r="O159" s="76"/>
      <c r="P159" s="77"/>
      <c r="Q159" s="77"/>
      <c r="R159" s="89"/>
      <c r="S159" s="49">
        <v>0</v>
      </c>
      <c r="T159" s="49">
        <v>1</v>
      </c>
      <c r="U159" s="50">
        <v>0</v>
      </c>
      <c r="V159" s="50">
        <v>0.478122</v>
      </c>
      <c r="W159" s="50">
        <v>0.03471</v>
      </c>
      <c r="X159" s="50">
        <v>0.001935</v>
      </c>
      <c r="Y159" s="50">
        <v>0</v>
      </c>
      <c r="Z159" s="50">
        <v>0</v>
      </c>
      <c r="AA159" s="72">
        <v>159</v>
      </c>
      <c r="AB159" s="72"/>
      <c r="AC159" s="73"/>
      <c r="AD159" s="80" t="s">
        <v>1561</v>
      </c>
      <c r="AE159" s="80"/>
      <c r="AF159" s="80"/>
      <c r="AG159" s="80"/>
      <c r="AH159" s="80"/>
      <c r="AI159" s="80"/>
      <c r="AJ159" s="87">
        <v>40653.83393518518</v>
      </c>
      <c r="AK159" s="85" t="str">
        <f>HYPERLINK("https://yt3.ggpht.com/ytc/AKedOLS74ecQ38PpgeVQnQBAZp4vr6MhlpT6zjXVG6Ur=s88-c-k-c0x00ffffff-no-rj")</f>
        <v>https://yt3.ggpht.com/ytc/AKedOLS74ecQ38PpgeVQnQBAZp4vr6MhlpT6zjXVG6Ur=s88-c-k-c0x00ffffff-no-rj</v>
      </c>
      <c r="AL159" s="80">
        <v>2390</v>
      </c>
      <c r="AM159" s="80">
        <v>0</v>
      </c>
      <c r="AN159" s="80">
        <v>12</v>
      </c>
      <c r="AO159" s="80" t="b">
        <v>0</v>
      </c>
      <c r="AP159" s="80">
        <v>15</v>
      </c>
      <c r="AQ159" s="80"/>
      <c r="AR159" s="80"/>
      <c r="AS159" s="80" t="s">
        <v>2085</v>
      </c>
      <c r="AT159" s="85" t="str">
        <f>HYPERLINK("https://www.youtube.com/channel/UCaxEabjy5w2w0quLQSTwlMA")</f>
        <v>https://www.youtube.com/channel/UCaxEabjy5w2w0quLQSTwlMA</v>
      </c>
      <c r="AU159" s="80" t="str">
        <f>REPLACE(INDEX(GroupVertices[Group],MATCH(Vertices[[#This Row],[Vertex]],GroupVertices[Vertex],0)),1,1,"")</f>
        <v>1</v>
      </c>
      <c r="AV159" s="49">
        <v>1</v>
      </c>
      <c r="AW159" s="50">
        <v>14.285714285714286</v>
      </c>
      <c r="AX159" s="49">
        <v>0</v>
      </c>
      <c r="AY159" s="50">
        <v>0</v>
      </c>
      <c r="AZ159" s="49">
        <v>0</v>
      </c>
      <c r="BA159" s="50">
        <v>0</v>
      </c>
      <c r="BB159" s="49">
        <v>6</v>
      </c>
      <c r="BC159" s="50">
        <v>85.71428571428571</v>
      </c>
      <c r="BD159" s="49">
        <v>7</v>
      </c>
      <c r="BE159" s="49"/>
      <c r="BF159" s="49"/>
      <c r="BG159" s="49"/>
      <c r="BH159" s="49"/>
      <c r="BI159" s="49"/>
      <c r="BJ159" s="49"/>
      <c r="BK159" s="111" t="s">
        <v>3543</v>
      </c>
      <c r="BL159" s="111" t="s">
        <v>3543</v>
      </c>
      <c r="BM159" s="111" t="s">
        <v>3991</v>
      </c>
      <c r="BN159" s="111" t="s">
        <v>3991</v>
      </c>
      <c r="BO159" s="2"/>
      <c r="BP159" s="3"/>
      <c r="BQ159" s="3"/>
      <c r="BR159" s="3"/>
      <c r="BS159" s="3"/>
    </row>
    <row r="160" spans="1:71" ht="15">
      <c r="A160" s="65" t="s">
        <v>494</v>
      </c>
      <c r="B160" s="66"/>
      <c r="C160" s="66"/>
      <c r="D160" s="67">
        <v>150</v>
      </c>
      <c r="E160" s="69"/>
      <c r="F160" s="103" t="str">
        <f>HYPERLINK("https://yt3.ggpht.com/ytc/AKedOLRNpyfSxZJbQos5g7pRw4I3cZlhFG8FRsdgHBTL1Q=s88-c-k-c0x00ffffff-no-rj")</f>
        <v>https://yt3.ggpht.com/ytc/AKedOLRNpyfSxZJbQos5g7pRw4I3cZlhFG8FRsdgHBTL1Q=s88-c-k-c0x00ffffff-no-rj</v>
      </c>
      <c r="G160" s="66"/>
      <c r="H160" s="70" t="s">
        <v>1562</v>
      </c>
      <c r="I160" s="71"/>
      <c r="J160" s="71" t="s">
        <v>159</v>
      </c>
      <c r="K160" s="70" t="s">
        <v>1562</v>
      </c>
      <c r="L160" s="74">
        <v>1</v>
      </c>
      <c r="M160" s="75">
        <v>5853.85595703125</v>
      </c>
      <c r="N160" s="75">
        <v>4573.0966796875</v>
      </c>
      <c r="O160" s="76"/>
      <c r="P160" s="77"/>
      <c r="Q160" s="77"/>
      <c r="R160" s="89"/>
      <c r="S160" s="49">
        <v>0</v>
      </c>
      <c r="T160" s="49">
        <v>1</v>
      </c>
      <c r="U160" s="50">
        <v>0</v>
      </c>
      <c r="V160" s="50">
        <v>0.478122</v>
      </c>
      <c r="W160" s="50">
        <v>0.03471</v>
      </c>
      <c r="X160" s="50">
        <v>0.001935</v>
      </c>
      <c r="Y160" s="50">
        <v>0</v>
      </c>
      <c r="Z160" s="50">
        <v>0</v>
      </c>
      <c r="AA160" s="72">
        <v>160</v>
      </c>
      <c r="AB160" s="72"/>
      <c r="AC160" s="73"/>
      <c r="AD160" s="80" t="s">
        <v>1562</v>
      </c>
      <c r="AE160" s="80"/>
      <c r="AF160" s="80"/>
      <c r="AG160" s="80"/>
      <c r="AH160" s="80"/>
      <c r="AI160" s="80"/>
      <c r="AJ160" s="87">
        <v>39544.09986111111</v>
      </c>
      <c r="AK160" s="85" t="str">
        <f>HYPERLINK("https://yt3.ggpht.com/ytc/AKedOLRNpyfSxZJbQos5g7pRw4I3cZlhFG8FRsdgHBTL1Q=s88-c-k-c0x00ffffff-no-rj")</f>
        <v>https://yt3.ggpht.com/ytc/AKedOLRNpyfSxZJbQos5g7pRw4I3cZlhFG8FRsdgHBTL1Q=s88-c-k-c0x00ffffff-no-rj</v>
      </c>
      <c r="AL160" s="80">
        <v>326064</v>
      </c>
      <c r="AM160" s="80">
        <v>0</v>
      </c>
      <c r="AN160" s="80">
        <v>830</v>
      </c>
      <c r="AO160" s="80" t="b">
        <v>0</v>
      </c>
      <c r="AP160" s="80">
        <v>13</v>
      </c>
      <c r="AQ160" s="80"/>
      <c r="AR160" s="80"/>
      <c r="AS160" s="80" t="s">
        <v>2085</v>
      </c>
      <c r="AT160" s="85" t="str">
        <f>HYPERLINK("https://www.youtube.com/channel/UCBXLI4-dB-OMA6vvULUnJRg")</f>
        <v>https://www.youtube.com/channel/UCBXLI4-dB-OMA6vvULUnJRg</v>
      </c>
      <c r="AU160" s="80" t="str">
        <f>REPLACE(INDEX(GroupVertices[Group],MATCH(Vertices[[#This Row],[Vertex]],GroupVertices[Vertex],0)),1,1,"")</f>
        <v>1</v>
      </c>
      <c r="AV160" s="49">
        <v>21</v>
      </c>
      <c r="AW160" s="50">
        <v>4.046242774566474</v>
      </c>
      <c r="AX160" s="49">
        <v>25</v>
      </c>
      <c r="AY160" s="50">
        <v>4.8169556840077075</v>
      </c>
      <c r="AZ160" s="49">
        <v>0</v>
      </c>
      <c r="BA160" s="50">
        <v>0</v>
      </c>
      <c r="BB160" s="49">
        <v>473</v>
      </c>
      <c r="BC160" s="50">
        <v>91.13680154142583</v>
      </c>
      <c r="BD160" s="49">
        <v>519</v>
      </c>
      <c r="BE160" s="49"/>
      <c r="BF160" s="49"/>
      <c r="BG160" s="49"/>
      <c r="BH160" s="49"/>
      <c r="BI160" s="49"/>
      <c r="BJ160" s="49"/>
      <c r="BK160" s="111" t="s">
        <v>3544</v>
      </c>
      <c r="BL160" s="111" t="s">
        <v>3830</v>
      </c>
      <c r="BM160" s="111" t="s">
        <v>3992</v>
      </c>
      <c r="BN160" s="111" t="s">
        <v>3992</v>
      </c>
      <c r="BO160" s="2"/>
      <c r="BP160" s="3"/>
      <c r="BQ160" s="3"/>
      <c r="BR160" s="3"/>
      <c r="BS160" s="3"/>
    </row>
    <row r="161" spans="1:71" ht="15">
      <c r="A161" s="65" t="s">
        <v>495</v>
      </c>
      <c r="B161" s="66"/>
      <c r="C161" s="66"/>
      <c r="D161" s="67">
        <v>150</v>
      </c>
      <c r="E161" s="69"/>
      <c r="F161" s="103" t="str">
        <f>HYPERLINK("https://yt3.ggpht.com/ytc/AKedOLQ_mHJCmzapWLwhG4-kuPeWd1wJoNfYwr0DRp4B6Q=s88-c-k-c0x00ffffff-no-rj")</f>
        <v>https://yt3.ggpht.com/ytc/AKedOLQ_mHJCmzapWLwhG4-kuPeWd1wJoNfYwr0DRp4B6Q=s88-c-k-c0x00ffffff-no-rj</v>
      </c>
      <c r="G161" s="66"/>
      <c r="H161" s="70" t="s">
        <v>1563</v>
      </c>
      <c r="I161" s="71"/>
      <c r="J161" s="71" t="s">
        <v>159</v>
      </c>
      <c r="K161" s="70" t="s">
        <v>1563</v>
      </c>
      <c r="L161" s="74">
        <v>1</v>
      </c>
      <c r="M161" s="75">
        <v>2434.96240234375</v>
      </c>
      <c r="N161" s="75">
        <v>6873.10498046875</v>
      </c>
      <c r="O161" s="76"/>
      <c r="P161" s="77"/>
      <c r="Q161" s="77"/>
      <c r="R161" s="89"/>
      <c r="S161" s="49">
        <v>0</v>
      </c>
      <c r="T161" s="49">
        <v>1</v>
      </c>
      <c r="U161" s="50">
        <v>0</v>
      </c>
      <c r="V161" s="50">
        <v>0.478122</v>
      </c>
      <c r="W161" s="50">
        <v>0.03471</v>
      </c>
      <c r="X161" s="50">
        <v>0.001935</v>
      </c>
      <c r="Y161" s="50">
        <v>0</v>
      </c>
      <c r="Z161" s="50">
        <v>0</v>
      </c>
      <c r="AA161" s="72">
        <v>161</v>
      </c>
      <c r="AB161" s="72"/>
      <c r="AC161" s="73"/>
      <c r="AD161" s="80" t="s">
        <v>1563</v>
      </c>
      <c r="AE161" s="80"/>
      <c r="AF161" s="80"/>
      <c r="AG161" s="80"/>
      <c r="AH161" s="80"/>
      <c r="AI161" s="80"/>
      <c r="AJ161" s="87">
        <v>40535.15892361111</v>
      </c>
      <c r="AK161" s="85" t="str">
        <f>HYPERLINK("https://yt3.ggpht.com/ytc/AKedOLQ_mHJCmzapWLwhG4-kuPeWd1wJoNfYwr0DRp4B6Q=s88-c-k-c0x00ffffff-no-rj")</f>
        <v>https://yt3.ggpht.com/ytc/AKedOLQ_mHJCmzapWLwhG4-kuPeWd1wJoNfYwr0DRp4B6Q=s88-c-k-c0x00ffffff-no-rj</v>
      </c>
      <c r="AL161" s="80">
        <v>0</v>
      </c>
      <c r="AM161" s="80">
        <v>0</v>
      </c>
      <c r="AN161" s="80">
        <v>7</v>
      </c>
      <c r="AO161" s="80" t="b">
        <v>0</v>
      </c>
      <c r="AP161" s="80">
        <v>0</v>
      </c>
      <c r="AQ161" s="80"/>
      <c r="AR161" s="80"/>
      <c r="AS161" s="80" t="s">
        <v>2085</v>
      </c>
      <c r="AT161" s="85" t="str">
        <f>HYPERLINK("https://www.youtube.com/channel/UCaVj9dy6-8SIkGpknU4GZ8w")</f>
        <v>https://www.youtube.com/channel/UCaVj9dy6-8SIkGpknU4GZ8w</v>
      </c>
      <c r="AU161" s="80" t="str">
        <f>REPLACE(INDEX(GroupVertices[Group],MATCH(Vertices[[#This Row],[Vertex]],GroupVertices[Vertex],0)),1,1,"")</f>
        <v>1</v>
      </c>
      <c r="AV161" s="49">
        <v>19</v>
      </c>
      <c r="AW161" s="50">
        <v>4.194260485651214</v>
      </c>
      <c r="AX161" s="49">
        <v>8</v>
      </c>
      <c r="AY161" s="50">
        <v>1.7660044150110374</v>
      </c>
      <c r="AZ161" s="49">
        <v>0</v>
      </c>
      <c r="BA161" s="50">
        <v>0</v>
      </c>
      <c r="BB161" s="49">
        <v>426</v>
      </c>
      <c r="BC161" s="50">
        <v>94.03973509933775</v>
      </c>
      <c r="BD161" s="49">
        <v>453</v>
      </c>
      <c r="BE161" s="49"/>
      <c r="BF161" s="49"/>
      <c r="BG161" s="49"/>
      <c r="BH161" s="49"/>
      <c r="BI161" s="49"/>
      <c r="BJ161" s="49"/>
      <c r="BK161" s="111" t="s">
        <v>3545</v>
      </c>
      <c r="BL161" s="111" t="s">
        <v>3831</v>
      </c>
      <c r="BM161" s="111" t="s">
        <v>3993</v>
      </c>
      <c r="BN161" s="111" t="s">
        <v>4260</v>
      </c>
      <c r="BO161" s="2"/>
      <c r="BP161" s="3"/>
      <c r="BQ161" s="3"/>
      <c r="BR161" s="3"/>
      <c r="BS161" s="3"/>
    </row>
    <row r="162" spans="1:71" ht="15">
      <c r="A162" s="65" t="s">
        <v>496</v>
      </c>
      <c r="B162" s="66"/>
      <c r="C162" s="66"/>
      <c r="D162" s="67">
        <v>150</v>
      </c>
      <c r="E162" s="69"/>
      <c r="F162" s="103" t="str">
        <f>HYPERLINK("https://yt3.ggpht.com/ytc/AKedOLSC1vMVnPnLPMBI5Mcl-mW_bsLGqKoajtuvhQ=s88-c-k-c0x00ffffff-no-rj")</f>
        <v>https://yt3.ggpht.com/ytc/AKedOLSC1vMVnPnLPMBI5Mcl-mW_bsLGqKoajtuvhQ=s88-c-k-c0x00ffffff-no-rj</v>
      </c>
      <c r="G162" s="66"/>
      <c r="H162" s="70" t="s">
        <v>1564</v>
      </c>
      <c r="I162" s="71"/>
      <c r="J162" s="71" t="s">
        <v>159</v>
      </c>
      <c r="K162" s="70" t="s">
        <v>1564</v>
      </c>
      <c r="L162" s="74">
        <v>1</v>
      </c>
      <c r="M162" s="75">
        <v>4744.06640625</v>
      </c>
      <c r="N162" s="75">
        <v>4992.06884765625</v>
      </c>
      <c r="O162" s="76"/>
      <c r="P162" s="77"/>
      <c r="Q162" s="77"/>
      <c r="R162" s="89"/>
      <c r="S162" s="49">
        <v>0</v>
      </c>
      <c r="T162" s="49">
        <v>1</v>
      </c>
      <c r="U162" s="50">
        <v>0</v>
      </c>
      <c r="V162" s="50">
        <v>0.478122</v>
      </c>
      <c r="W162" s="50">
        <v>0.03471</v>
      </c>
      <c r="X162" s="50">
        <v>0.001935</v>
      </c>
      <c r="Y162" s="50">
        <v>0</v>
      </c>
      <c r="Z162" s="50">
        <v>0</v>
      </c>
      <c r="AA162" s="72">
        <v>162</v>
      </c>
      <c r="AB162" s="72"/>
      <c r="AC162" s="73"/>
      <c r="AD162" s="80" t="s">
        <v>1564</v>
      </c>
      <c r="AE162" s="80"/>
      <c r="AF162" s="80"/>
      <c r="AG162" s="80"/>
      <c r="AH162" s="80"/>
      <c r="AI162" s="80"/>
      <c r="AJ162" s="87">
        <v>40799.015810185185</v>
      </c>
      <c r="AK162" s="85" t="str">
        <f>HYPERLINK("https://yt3.ggpht.com/ytc/AKedOLSC1vMVnPnLPMBI5Mcl-mW_bsLGqKoajtuvhQ=s88-c-k-c0x00ffffff-no-rj")</f>
        <v>https://yt3.ggpht.com/ytc/AKedOLSC1vMVnPnLPMBI5Mcl-mW_bsLGqKoajtuvhQ=s88-c-k-c0x00ffffff-no-rj</v>
      </c>
      <c r="AL162" s="80">
        <v>0</v>
      </c>
      <c r="AM162" s="80">
        <v>0</v>
      </c>
      <c r="AN162" s="80">
        <v>3</v>
      </c>
      <c r="AO162" s="80" t="b">
        <v>0</v>
      </c>
      <c r="AP162" s="80">
        <v>0</v>
      </c>
      <c r="AQ162" s="80"/>
      <c r="AR162" s="80"/>
      <c r="AS162" s="80" t="s">
        <v>2085</v>
      </c>
      <c r="AT162" s="85" t="str">
        <f>HYPERLINK("https://www.youtube.com/channel/UCBXhOMzNoFQJBBrVyXBsQQA")</f>
        <v>https://www.youtube.com/channel/UCBXhOMzNoFQJBBrVyXBsQQA</v>
      </c>
      <c r="AU162" s="80" t="str">
        <f>REPLACE(INDEX(GroupVertices[Group],MATCH(Vertices[[#This Row],[Vertex]],GroupVertices[Vertex],0)),1,1,"")</f>
        <v>1</v>
      </c>
      <c r="AV162" s="49">
        <v>1</v>
      </c>
      <c r="AW162" s="50">
        <v>1.9607843137254901</v>
      </c>
      <c r="AX162" s="49">
        <v>3</v>
      </c>
      <c r="AY162" s="50">
        <v>5.882352941176471</v>
      </c>
      <c r="AZ162" s="49">
        <v>0</v>
      </c>
      <c r="BA162" s="50">
        <v>0</v>
      </c>
      <c r="BB162" s="49">
        <v>47</v>
      </c>
      <c r="BC162" s="50">
        <v>92.15686274509804</v>
      </c>
      <c r="BD162" s="49">
        <v>51</v>
      </c>
      <c r="BE162" s="49"/>
      <c r="BF162" s="49"/>
      <c r="BG162" s="49"/>
      <c r="BH162" s="49"/>
      <c r="BI162" s="49"/>
      <c r="BJ162" s="49"/>
      <c r="BK162" s="111" t="s">
        <v>3546</v>
      </c>
      <c r="BL162" s="111" t="s">
        <v>3546</v>
      </c>
      <c r="BM162" s="111" t="s">
        <v>3994</v>
      </c>
      <c r="BN162" s="111" t="s">
        <v>3994</v>
      </c>
      <c r="BO162" s="2"/>
      <c r="BP162" s="3"/>
      <c r="BQ162" s="3"/>
      <c r="BR162" s="3"/>
      <c r="BS162" s="3"/>
    </row>
    <row r="163" spans="1:71" ht="15">
      <c r="A163" s="65" t="s">
        <v>497</v>
      </c>
      <c r="B163" s="66"/>
      <c r="C163" s="66"/>
      <c r="D163" s="67">
        <v>150</v>
      </c>
      <c r="E163" s="69"/>
      <c r="F163" s="103" t="str">
        <f>HYPERLINK("https://yt3.ggpht.com/ytc/AKedOLQolDWmjhWBJjSgQDgM4Qx96v_V-6syEnOw7qhlxg=s88-c-k-c0x00ffffff-no-rj")</f>
        <v>https://yt3.ggpht.com/ytc/AKedOLQolDWmjhWBJjSgQDgM4Qx96v_V-6syEnOw7qhlxg=s88-c-k-c0x00ffffff-no-rj</v>
      </c>
      <c r="G163" s="66"/>
      <c r="H163" s="70" t="s">
        <v>1565</v>
      </c>
      <c r="I163" s="71"/>
      <c r="J163" s="71" t="s">
        <v>159</v>
      </c>
      <c r="K163" s="70" t="s">
        <v>1565</v>
      </c>
      <c r="L163" s="74">
        <v>1</v>
      </c>
      <c r="M163" s="75">
        <v>7179.458984375</v>
      </c>
      <c r="N163" s="75">
        <v>7768.35888671875</v>
      </c>
      <c r="O163" s="76"/>
      <c r="P163" s="77"/>
      <c r="Q163" s="77"/>
      <c r="R163" s="89"/>
      <c r="S163" s="49">
        <v>0</v>
      </c>
      <c r="T163" s="49">
        <v>1</v>
      </c>
      <c r="U163" s="50">
        <v>0</v>
      </c>
      <c r="V163" s="50">
        <v>0.478122</v>
      </c>
      <c r="W163" s="50">
        <v>0.03471</v>
      </c>
      <c r="X163" s="50">
        <v>0.001935</v>
      </c>
      <c r="Y163" s="50">
        <v>0</v>
      </c>
      <c r="Z163" s="50">
        <v>0</v>
      </c>
      <c r="AA163" s="72">
        <v>163</v>
      </c>
      <c r="AB163" s="72"/>
      <c r="AC163" s="73"/>
      <c r="AD163" s="80" t="s">
        <v>1565</v>
      </c>
      <c r="AE163" s="80" t="s">
        <v>1986</v>
      </c>
      <c r="AF163" s="80"/>
      <c r="AG163" s="80"/>
      <c r="AH163" s="80"/>
      <c r="AI163" s="80"/>
      <c r="AJ163" s="87">
        <v>39184.483715277776</v>
      </c>
      <c r="AK163" s="85" t="str">
        <f>HYPERLINK("https://yt3.ggpht.com/ytc/AKedOLQolDWmjhWBJjSgQDgM4Qx96v_V-6syEnOw7qhlxg=s88-c-k-c0x00ffffff-no-rj")</f>
        <v>https://yt3.ggpht.com/ytc/AKedOLQolDWmjhWBJjSgQDgM4Qx96v_V-6syEnOw7qhlxg=s88-c-k-c0x00ffffff-no-rj</v>
      </c>
      <c r="AL163" s="80">
        <v>392</v>
      </c>
      <c r="AM163" s="80">
        <v>0</v>
      </c>
      <c r="AN163" s="80">
        <v>23</v>
      </c>
      <c r="AO163" s="80" t="b">
        <v>0</v>
      </c>
      <c r="AP163" s="80">
        <v>4</v>
      </c>
      <c r="AQ163" s="80"/>
      <c r="AR163" s="80"/>
      <c r="AS163" s="80" t="s">
        <v>2085</v>
      </c>
      <c r="AT163" s="85" t="str">
        <f>HYPERLINK("https://www.youtube.com/channel/UCelX8funsIY4mqUUnBE6ZAg")</f>
        <v>https://www.youtube.com/channel/UCelX8funsIY4mqUUnBE6ZAg</v>
      </c>
      <c r="AU163" s="80" t="str">
        <f>REPLACE(INDEX(GroupVertices[Group],MATCH(Vertices[[#This Row],[Vertex]],GroupVertices[Vertex],0)),1,1,"")</f>
        <v>1</v>
      </c>
      <c r="AV163" s="49">
        <v>8</v>
      </c>
      <c r="AW163" s="50">
        <v>4.419889502762431</v>
      </c>
      <c r="AX163" s="49">
        <v>5</v>
      </c>
      <c r="AY163" s="50">
        <v>2.7624309392265194</v>
      </c>
      <c r="AZ163" s="49">
        <v>0</v>
      </c>
      <c r="BA163" s="50">
        <v>0</v>
      </c>
      <c r="BB163" s="49">
        <v>168</v>
      </c>
      <c r="BC163" s="50">
        <v>92.81767955801105</v>
      </c>
      <c r="BD163" s="49">
        <v>181</v>
      </c>
      <c r="BE163" s="49"/>
      <c r="BF163" s="49"/>
      <c r="BG163" s="49"/>
      <c r="BH163" s="49"/>
      <c r="BI163" s="49"/>
      <c r="BJ163" s="49"/>
      <c r="BK163" s="111" t="s">
        <v>3547</v>
      </c>
      <c r="BL163" s="111" t="s">
        <v>3832</v>
      </c>
      <c r="BM163" s="111" t="s">
        <v>3995</v>
      </c>
      <c r="BN163" s="111" t="s">
        <v>4261</v>
      </c>
      <c r="BO163" s="2"/>
      <c r="BP163" s="3"/>
      <c r="BQ163" s="3"/>
      <c r="BR163" s="3"/>
      <c r="BS163" s="3"/>
    </row>
    <row r="164" spans="1:71" ht="15">
      <c r="A164" s="65" t="s">
        <v>498</v>
      </c>
      <c r="B164" s="66"/>
      <c r="C164" s="66"/>
      <c r="D164" s="67">
        <v>150</v>
      </c>
      <c r="E164" s="69"/>
      <c r="F164" s="103" t="str">
        <f>HYPERLINK("https://yt3.ggpht.com/ytc/AKedOLRDy9ibHtxRJa_WhEFmzsGvZl6UvrCL6VKzYSq6Lw=s88-c-k-c0x00ffffff-no-rj")</f>
        <v>https://yt3.ggpht.com/ytc/AKedOLRDy9ibHtxRJa_WhEFmzsGvZl6UvrCL6VKzYSq6Lw=s88-c-k-c0x00ffffff-no-rj</v>
      </c>
      <c r="G164" s="66"/>
      <c r="H164" s="70" t="s">
        <v>1566</v>
      </c>
      <c r="I164" s="71"/>
      <c r="J164" s="71" t="s">
        <v>159</v>
      </c>
      <c r="K164" s="70" t="s">
        <v>1566</v>
      </c>
      <c r="L164" s="74">
        <v>1</v>
      </c>
      <c r="M164" s="75">
        <v>7492.14453125</v>
      </c>
      <c r="N164" s="75">
        <v>2440.751220703125</v>
      </c>
      <c r="O164" s="76"/>
      <c r="P164" s="77"/>
      <c r="Q164" s="77"/>
      <c r="R164" s="89"/>
      <c r="S164" s="49">
        <v>0</v>
      </c>
      <c r="T164" s="49">
        <v>1</v>
      </c>
      <c r="U164" s="50">
        <v>0</v>
      </c>
      <c r="V164" s="50">
        <v>0.478122</v>
      </c>
      <c r="W164" s="50">
        <v>0.03471</v>
      </c>
      <c r="X164" s="50">
        <v>0.001935</v>
      </c>
      <c r="Y164" s="50">
        <v>0</v>
      </c>
      <c r="Z164" s="50">
        <v>0</v>
      </c>
      <c r="AA164" s="72">
        <v>164</v>
      </c>
      <c r="AB164" s="72"/>
      <c r="AC164" s="73"/>
      <c r="AD164" s="80" t="s">
        <v>1566</v>
      </c>
      <c r="AE164" s="80"/>
      <c r="AF164" s="80"/>
      <c r="AG164" s="80"/>
      <c r="AH164" s="80"/>
      <c r="AI164" s="80"/>
      <c r="AJ164" s="87">
        <v>39211.78517361111</v>
      </c>
      <c r="AK164" s="85" t="str">
        <f>HYPERLINK("https://yt3.ggpht.com/ytc/AKedOLRDy9ibHtxRJa_WhEFmzsGvZl6UvrCL6VKzYSq6Lw=s88-c-k-c0x00ffffff-no-rj")</f>
        <v>https://yt3.ggpht.com/ytc/AKedOLRDy9ibHtxRJa_WhEFmzsGvZl6UvrCL6VKzYSq6Lw=s88-c-k-c0x00ffffff-no-rj</v>
      </c>
      <c r="AL164" s="80">
        <v>0</v>
      </c>
      <c r="AM164" s="80">
        <v>0</v>
      </c>
      <c r="AN164" s="80">
        <v>199</v>
      </c>
      <c r="AO164" s="80" t="b">
        <v>0</v>
      </c>
      <c r="AP164" s="80">
        <v>0</v>
      </c>
      <c r="AQ164" s="80"/>
      <c r="AR164" s="80"/>
      <c r="AS164" s="80" t="s">
        <v>2085</v>
      </c>
      <c r="AT164" s="85" t="str">
        <f>HYPERLINK("https://www.youtube.com/channel/UCHugYXdGnfn6HRlcgRkXfeA")</f>
        <v>https://www.youtube.com/channel/UCHugYXdGnfn6HRlcgRkXfeA</v>
      </c>
      <c r="AU164" s="80" t="str">
        <f>REPLACE(INDEX(GroupVertices[Group],MATCH(Vertices[[#This Row],[Vertex]],GroupVertices[Vertex],0)),1,1,"")</f>
        <v>1</v>
      </c>
      <c r="AV164" s="49">
        <v>4</v>
      </c>
      <c r="AW164" s="50">
        <v>6.779661016949152</v>
      </c>
      <c r="AX164" s="49">
        <v>2</v>
      </c>
      <c r="AY164" s="50">
        <v>3.389830508474576</v>
      </c>
      <c r="AZ164" s="49">
        <v>0</v>
      </c>
      <c r="BA164" s="50">
        <v>0</v>
      </c>
      <c r="BB164" s="49">
        <v>53</v>
      </c>
      <c r="BC164" s="50">
        <v>89.83050847457628</v>
      </c>
      <c r="BD164" s="49">
        <v>59</v>
      </c>
      <c r="BE164" s="49"/>
      <c r="BF164" s="49"/>
      <c r="BG164" s="49"/>
      <c r="BH164" s="49"/>
      <c r="BI164" s="49"/>
      <c r="BJ164" s="49"/>
      <c r="BK164" s="111" t="s">
        <v>3548</v>
      </c>
      <c r="BL164" s="111" t="s">
        <v>3548</v>
      </c>
      <c r="BM164" s="111" t="s">
        <v>3996</v>
      </c>
      <c r="BN164" s="111" t="s">
        <v>3996</v>
      </c>
      <c r="BO164" s="2"/>
      <c r="BP164" s="3"/>
      <c r="BQ164" s="3"/>
      <c r="BR164" s="3"/>
      <c r="BS164" s="3"/>
    </row>
    <row r="165" spans="1:71" ht="15">
      <c r="A165" s="65" t="s">
        <v>499</v>
      </c>
      <c r="B165" s="66"/>
      <c r="C165" s="66"/>
      <c r="D165" s="67">
        <v>150</v>
      </c>
      <c r="E165" s="69"/>
      <c r="F165" s="103" t="str">
        <f>HYPERLINK("https://yt3.ggpht.com/ytc/AKedOLQx3rJTLWt0-CKZqm1RIOof_BiTgBSSfZcale1unw=s88-c-k-c0x00ffffff-no-rj")</f>
        <v>https://yt3.ggpht.com/ytc/AKedOLQx3rJTLWt0-CKZqm1RIOof_BiTgBSSfZcale1unw=s88-c-k-c0x00ffffff-no-rj</v>
      </c>
      <c r="G165" s="66"/>
      <c r="H165" s="70" t="s">
        <v>1567</v>
      </c>
      <c r="I165" s="71"/>
      <c r="J165" s="71" t="s">
        <v>159</v>
      </c>
      <c r="K165" s="70" t="s">
        <v>1567</v>
      </c>
      <c r="L165" s="74">
        <v>1</v>
      </c>
      <c r="M165" s="75">
        <v>5681.8876953125</v>
      </c>
      <c r="N165" s="75">
        <v>6244.78662109375</v>
      </c>
      <c r="O165" s="76"/>
      <c r="P165" s="77"/>
      <c r="Q165" s="77"/>
      <c r="R165" s="89"/>
      <c r="S165" s="49">
        <v>0</v>
      </c>
      <c r="T165" s="49">
        <v>1</v>
      </c>
      <c r="U165" s="50">
        <v>0</v>
      </c>
      <c r="V165" s="50">
        <v>0.478122</v>
      </c>
      <c r="W165" s="50">
        <v>0.03471</v>
      </c>
      <c r="X165" s="50">
        <v>0.001935</v>
      </c>
      <c r="Y165" s="50">
        <v>0</v>
      </c>
      <c r="Z165" s="50">
        <v>0</v>
      </c>
      <c r="AA165" s="72">
        <v>165</v>
      </c>
      <c r="AB165" s="72"/>
      <c r="AC165" s="73"/>
      <c r="AD165" s="80" t="s">
        <v>1567</v>
      </c>
      <c r="AE165" s="80"/>
      <c r="AF165" s="80"/>
      <c r="AG165" s="80"/>
      <c r="AH165" s="80"/>
      <c r="AI165" s="80" t="s">
        <v>2068</v>
      </c>
      <c r="AJ165" s="87">
        <v>39889.8346875</v>
      </c>
      <c r="AK165" s="85" t="str">
        <f>HYPERLINK("https://yt3.ggpht.com/ytc/AKedOLQx3rJTLWt0-CKZqm1RIOof_BiTgBSSfZcale1unw=s88-c-k-c0x00ffffff-no-rj")</f>
        <v>https://yt3.ggpht.com/ytc/AKedOLQx3rJTLWt0-CKZqm1RIOof_BiTgBSSfZcale1unw=s88-c-k-c0x00ffffff-no-rj</v>
      </c>
      <c r="AL165" s="80">
        <v>3645405</v>
      </c>
      <c r="AM165" s="80">
        <v>0</v>
      </c>
      <c r="AN165" s="80">
        <v>1420</v>
      </c>
      <c r="AO165" s="80" t="b">
        <v>0</v>
      </c>
      <c r="AP165" s="80">
        <v>95</v>
      </c>
      <c r="AQ165" s="80"/>
      <c r="AR165" s="80"/>
      <c r="AS165" s="80" t="s">
        <v>2085</v>
      </c>
      <c r="AT165" s="85" t="str">
        <f>HYPERLINK("https://www.youtube.com/channel/UCNnxGXWJRUuie_mEDKhlYaA")</f>
        <v>https://www.youtube.com/channel/UCNnxGXWJRUuie_mEDKhlYaA</v>
      </c>
      <c r="AU165" s="80" t="str">
        <f>REPLACE(INDEX(GroupVertices[Group],MATCH(Vertices[[#This Row],[Vertex]],GroupVertices[Vertex],0)),1,1,"")</f>
        <v>1</v>
      </c>
      <c r="AV165" s="49">
        <v>0</v>
      </c>
      <c r="AW165" s="50">
        <v>0</v>
      </c>
      <c r="AX165" s="49">
        <v>2</v>
      </c>
      <c r="AY165" s="50">
        <v>8</v>
      </c>
      <c r="AZ165" s="49">
        <v>0</v>
      </c>
      <c r="BA165" s="50">
        <v>0</v>
      </c>
      <c r="BB165" s="49">
        <v>23</v>
      </c>
      <c r="BC165" s="50">
        <v>92</v>
      </c>
      <c r="BD165" s="49">
        <v>25</v>
      </c>
      <c r="BE165" s="49"/>
      <c r="BF165" s="49"/>
      <c r="BG165" s="49"/>
      <c r="BH165" s="49"/>
      <c r="BI165" s="49"/>
      <c r="BJ165" s="49"/>
      <c r="BK165" s="111" t="s">
        <v>3549</v>
      </c>
      <c r="BL165" s="111" t="s">
        <v>3549</v>
      </c>
      <c r="BM165" s="111" t="s">
        <v>3997</v>
      </c>
      <c r="BN165" s="111" t="s">
        <v>3997</v>
      </c>
      <c r="BO165" s="2"/>
      <c r="BP165" s="3"/>
      <c r="BQ165" s="3"/>
      <c r="BR165" s="3"/>
      <c r="BS165" s="3"/>
    </row>
    <row r="166" spans="1:71" ht="15">
      <c r="A166" s="65" t="s">
        <v>500</v>
      </c>
      <c r="B166" s="66"/>
      <c r="C166" s="66"/>
      <c r="D166" s="67">
        <v>150</v>
      </c>
      <c r="E166" s="69"/>
      <c r="F166" s="103" t="str">
        <f>HYPERLINK("https://yt3.ggpht.com/ytc/AKedOLTUvNjDNa20KlLvuG1ETX6ZpefFAGzMba4Jdw=s88-c-k-c0x00ffffff-no-rj")</f>
        <v>https://yt3.ggpht.com/ytc/AKedOLTUvNjDNa20KlLvuG1ETX6ZpefFAGzMba4Jdw=s88-c-k-c0x00ffffff-no-rj</v>
      </c>
      <c r="G166" s="66"/>
      <c r="H166" s="70" t="s">
        <v>1568</v>
      </c>
      <c r="I166" s="71"/>
      <c r="J166" s="71" t="s">
        <v>159</v>
      </c>
      <c r="K166" s="70" t="s">
        <v>1568</v>
      </c>
      <c r="L166" s="74">
        <v>1</v>
      </c>
      <c r="M166" s="75">
        <v>6549.10205078125</v>
      </c>
      <c r="N166" s="75">
        <v>8772.91015625</v>
      </c>
      <c r="O166" s="76"/>
      <c r="P166" s="77"/>
      <c r="Q166" s="77"/>
      <c r="R166" s="89"/>
      <c r="S166" s="49">
        <v>0</v>
      </c>
      <c r="T166" s="49">
        <v>1</v>
      </c>
      <c r="U166" s="50">
        <v>0</v>
      </c>
      <c r="V166" s="50">
        <v>0.478122</v>
      </c>
      <c r="W166" s="50">
        <v>0.03471</v>
      </c>
      <c r="X166" s="50">
        <v>0.001935</v>
      </c>
      <c r="Y166" s="50">
        <v>0</v>
      </c>
      <c r="Z166" s="50">
        <v>0</v>
      </c>
      <c r="AA166" s="72">
        <v>166</v>
      </c>
      <c r="AB166" s="72"/>
      <c r="AC166" s="73"/>
      <c r="AD166" s="80" t="s">
        <v>1568</v>
      </c>
      <c r="AE166" s="80"/>
      <c r="AF166" s="80"/>
      <c r="AG166" s="80"/>
      <c r="AH166" s="80"/>
      <c r="AI166" s="80"/>
      <c r="AJ166" s="87">
        <v>40293.63511574074</v>
      </c>
      <c r="AK166" s="85" t="str">
        <f>HYPERLINK("https://yt3.ggpht.com/ytc/AKedOLTUvNjDNa20KlLvuG1ETX6ZpefFAGzMba4Jdw=s88-c-k-c0x00ffffff-no-rj")</f>
        <v>https://yt3.ggpht.com/ytc/AKedOLTUvNjDNa20KlLvuG1ETX6ZpefFAGzMba4Jdw=s88-c-k-c0x00ffffff-no-rj</v>
      </c>
      <c r="AL166" s="80">
        <v>0</v>
      </c>
      <c r="AM166" s="80">
        <v>0</v>
      </c>
      <c r="AN166" s="80">
        <v>1</v>
      </c>
      <c r="AO166" s="80" t="b">
        <v>0</v>
      </c>
      <c r="AP166" s="80">
        <v>0</v>
      </c>
      <c r="AQ166" s="80"/>
      <c r="AR166" s="80"/>
      <c r="AS166" s="80" t="s">
        <v>2085</v>
      </c>
      <c r="AT166" s="85" t="str">
        <f>HYPERLINK("https://www.youtube.com/channel/UCATuF5XusLj_hBLW7xkdN9g")</f>
        <v>https://www.youtube.com/channel/UCATuF5XusLj_hBLW7xkdN9g</v>
      </c>
      <c r="AU166" s="80" t="str">
        <f>REPLACE(INDEX(GroupVertices[Group],MATCH(Vertices[[#This Row],[Vertex]],GroupVertices[Vertex],0)),1,1,"")</f>
        <v>1</v>
      </c>
      <c r="AV166" s="49">
        <v>0</v>
      </c>
      <c r="AW166" s="50">
        <v>0</v>
      </c>
      <c r="AX166" s="49">
        <v>0</v>
      </c>
      <c r="AY166" s="50">
        <v>0</v>
      </c>
      <c r="AZ166" s="49">
        <v>0</v>
      </c>
      <c r="BA166" s="50">
        <v>0</v>
      </c>
      <c r="BB166" s="49">
        <v>15</v>
      </c>
      <c r="BC166" s="50">
        <v>100</v>
      </c>
      <c r="BD166" s="49">
        <v>15</v>
      </c>
      <c r="BE166" s="49"/>
      <c r="BF166" s="49"/>
      <c r="BG166" s="49"/>
      <c r="BH166" s="49"/>
      <c r="BI166" s="49"/>
      <c r="BJ166" s="49"/>
      <c r="BK166" s="111" t="s">
        <v>3550</v>
      </c>
      <c r="BL166" s="111" t="s">
        <v>3550</v>
      </c>
      <c r="BM166" s="111" t="s">
        <v>3998</v>
      </c>
      <c r="BN166" s="111" t="s">
        <v>3998</v>
      </c>
      <c r="BO166" s="2"/>
      <c r="BP166" s="3"/>
      <c r="BQ166" s="3"/>
      <c r="BR166" s="3"/>
      <c r="BS166" s="3"/>
    </row>
    <row r="167" spans="1:71" ht="15">
      <c r="A167" s="65" t="s">
        <v>501</v>
      </c>
      <c r="B167" s="66"/>
      <c r="C167" s="66"/>
      <c r="D167" s="67">
        <v>150</v>
      </c>
      <c r="E167" s="69"/>
      <c r="F167" s="103" t="str">
        <f>HYPERLINK("https://yt3.ggpht.com/_xIJ3IOtGXUISseOrGNW-uNzJ25xVupEmkZ02VvliCEeW8TFTAO0-ohYaliVpskzvMrfy-2H=s88-c-k-c0x00ffffff-no-rj")</f>
        <v>https://yt3.ggpht.com/_xIJ3IOtGXUISseOrGNW-uNzJ25xVupEmkZ02VvliCEeW8TFTAO0-ohYaliVpskzvMrfy-2H=s88-c-k-c0x00ffffff-no-rj</v>
      </c>
      <c r="G167" s="66"/>
      <c r="H167" s="70" t="s">
        <v>1569</v>
      </c>
      <c r="I167" s="71"/>
      <c r="J167" s="71" t="s">
        <v>159</v>
      </c>
      <c r="K167" s="70" t="s">
        <v>1569</v>
      </c>
      <c r="L167" s="74">
        <v>1</v>
      </c>
      <c r="M167" s="75">
        <v>6917.6376953125</v>
      </c>
      <c r="N167" s="75">
        <v>7846.46484375</v>
      </c>
      <c r="O167" s="76"/>
      <c r="P167" s="77"/>
      <c r="Q167" s="77"/>
      <c r="R167" s="89"/>
      <c r="S167" s="49">
        <v>0</v>
      </c>
      <c r="T167" s="49">
        <v>1</v>
      </c>
      <c r="U167" s="50">
        <v>0</v>
      </c>
      <c r="V167" s="50">
        <v>0.478122</v>
      </c>
      <c r="W167" s="50">
        <v>0.03471</v>
      </c>
      <c r="X167" s="50">
        <v>0.001935</v>
      </c>
      <c r="Y167" s="50">
        <v>0</v>
      </c>
      <c r="Z167" s="50">
        <v>0</v>
      </c>
      <c r="AA167" s="72">
        <v>167</v>
      </c>
      <c r="AB167" s="72"/>
      <c r="AC167" s="73"/>
      <c r="AD167" s="80" t="s">
        <v>1569</v>
      </c>
      <c r="AE167" s="80" t="s">
        <v>1987</v>
      </c>
      <c r="AF167" s="80"/>
      <c r="AG167" s="80"/>
      <c r="AH167" s="80"/>
      <c r="AI167" s="80" t="s">
        <v>2069</v>
      </c>
      <c r="AJ167" s="87">
        <v>39034.785046296296</v>
      </c>
      <c r="AK167" s="85" t="str">
        <f>HYPERLINK("https://yt3.ggpht.com/_xIJ3IOtGXUISseOrGNW-uNzJ25xVupEmkZ02VvliCEeW8TFTAO0-ohYaliVpskzvMrfy-2H=s88-c-k-c0x00ffffff-no-rj")</f>
        <v>https://yt3.ggpht.com/_xIJ3IOtGXUISseOrGNW-uNzJ25xVupEmkZ02VvliCEeW8TFTAO0-ohYaliVpskzvMrfy-2H=s88-c-k-c0x00ffffff-no-rj</v>
      </c>
      <c r="AL167" s="80">
        <v>19008</v>
      </c>
      <c r="AM167" s="80">
        <v>0</v>
      </c>
      <c r="AN167" s="80">
        <v>131</v>
      </c>
      <c r="AO167" s="80" t="b">
        <v>0</v>
      </c>
      <c r="AP167" s="80">
        <v>236</v>
      </c>
      <c r="AQ167" s="80"/>
      <c r="AR167" s="80"/>
      <c r="AS167" s="80" t="s">
        <v>2085</v>
      </c>
      <c r="AT167" s="85" t="str">
        <f>HYPERLINK("https://www.youtube.com/channel/UCXWqpW8BB33EJy_UF5syh1g")</f>
        <v>https://www.youtube.com/channel/UCXWqpW8BB33EJy_UF5syh1g</v>
      </c>
      <c r="AU167" s="80" t="str">
        <f>REPLACE(INDEX(GroupVertices[Group],MATCH(Vertices[[#This Row],[Vertex]],GroupVertices[Vertex],0)),1,1,"")</f>
        <v>1</v>
      </c>
      <c r="AV167" s="49">
        <v>1</v>
      </c>
      <c r="AW167" s="50">
        <v>5.882352941176471</v>
      </c>
      <c r="AX167" s="49">
        <v>0</v>
      </c>
      <c r="AY167" s="50">
        <v>0</v>
      </c>
      <c r="AZ167" s="49">
        <v>0</v>
      </c>
      <c r="BA167" s="50">
        <v>0</v>
      </c>
      <c r="BB167" s="49">
        <v>16</v>
      </c>
      <c r="BC167" s="50">
        <v>94.11764705882354</v>
      </c>
      <c r="BD167" s="49">
        <v>17</v>
      </c>
      <c r="BE167" s="49"/>
      <c r="BF167" s="49"/>
      <c r="BG167" s="49"/>
      <c r="BH167" s="49"/>
      <c r="BI167" s="49"/>
      <c r="BJ167" s="49"/>
      <c r="BK167" s="111" t="s">
        <v>3551</v>
      </c>
      <c r="BL167" s="111" t="s">
        <v>3551</v>
      </c>
      <c r="BM167" s="111" t="s">
        <v>3999</v>
      </c>
      <c r="BN167" s="111" t="s">
        <v>3999</v>
      </c>
      <c r="BO167" s="2"/>
      <c r="BP167" s="3"/>
      <c r="BQ167" s="3"/>
      <c r="BR167" s="3"/>
      <c r="BS167" s="3"/>
    </row>
    <row r="168" spans="1:71" ht="15">
      <c r="A168" s="65" t="s">
        <v>502</v>
      </c>
      <c r="B168" s="66"/>
      <c r="C168" s="66"/>
      <c r="D168" s="67">
        <v>150</v>
      </c>
      <c r="E168" s="69"/>
      <c r="F168" s="103" t="str">
        <f>HYPERLINK("https://yt3.ggpht.com/ytc/AKedOLTK-OUaD4xJUEA02ND8yrma0Tuw7STt7kIt0A=s88-c-k-c0x00ffffff-no-rj")</f>
        <v>https://yt3.ggpht.com/ytc/AKedOLTK-OUaD4xJUEA02ND8yrma0Tuw7STt7kIt0A=s88-c-k-c0x00ffffff-no-rj</v>
      </c>
      <c r="G168" s="66"/>
      <c r="H168" s="70" t="s">
        <v>1570</v>
      </c>
      <c r="I168" s="71"/>
      <c r="J168" s="71" t="s">
        <v>159</v>
      </c>
      <c r="K168" s="70" t="s">
        <v>1570</v>
      </c>
      <c r="L168" s="74">
        <v>1</v>
      </c>
      <c r="M168" s="75">
        <v>8343.1142578125</v>
      </c>
      <c r="N168" s="75">
        <v>7213.11181640625</v>
      </c>
      <c r="O168" s="76"/>
      <c r="P168" s="77"/>
      <c r="Q168" s="77"/>
      <c r="R168" s="89"/>
      <c r="S168" s="49">
        <v>0</v>
      </c>
      <c r="T168" s="49">
        <v>1</v>
      </c>
      <c r="U168" s="50">
        <v>0</v>
      </c>
      <c r="V168" s="50">
        <v>0.324638</v>
      </c>
      <c r="W168" s="50">
        <v>0.001677</v>
      </c>
      <c r="X168" s="50">
        <v>0.002011</v>
      </c>
      <c r="Y168" s="50">
        <v>0</v>
      </c>
      <c r="Z168" s="50">
        <v>0</v>
      </c>
      <c r="AA168" s="72">
        <v>168</v>
      </c>
      <c r="AB168" s="72"/>
      <c r="AC168" s="73"/>
      <c r="AD168" s="80" t="s">
        <v>1570</v>
      </c>
      <c r="AE168" s="80"/>
      <c r="AF168" s="80"/>
      <c r="AG168" s="80"/>
      <c r="AH168" s="80"/>
      <c r="AI168" s="80"/>
      <c r="AJ168" s="87">
        <v>41787.88857638889</v>
      </c>
      <c r="AK168" s="85" t="str">
        <f>HYPERLINK("https://yt3.ggpht.com/ytc/AKedOLTK-OUaD4xJUEA02ND8yrma0Tuw7STt7kIt0A=s88-c-k-c0x00ffffff-no-rj")</f>
        <v>https://yt3.ggpht.com/ytc/AKedOLTK-OUaD4xJUEA02ND8yrma0Tuw7STt7kIt0A=s88-c-k-c0x00ffffff-no-rj</v>
      </c>
      <c r="AL168" s="80">
        <v>0</v>
      </c>
      <c r="AM168" s="80">
        <v>0</v>
      </c>
      <c r="AN168" s="80">
        <v>3</v>
      </c>
      <c r="AO168" s="80" t="b">
        <v>0</v>
      </c>
      <c r="AP168" s="80">
        <v>0</v>
      </c>
      <c r="AQ168" s="80"/>
      <c r="AR168" s="80"/>
      <c r="AS168" s="80" t="s">
        <v>2085</v>
      </c>
      <c r="AT168" s="85" t="str">
        <f>HYPERLINK("https://www.youtube.com/channel/UCcZPEjGcl9UKaI-KWP7rMBQ")</f>
        <v>https://www.youtube.com/channel/UCcZPEjGcl9UKaI-KWP7rMBQ</v>
      </c>
      <c r="AU168" s="80" t="str">
        <f>REPLACE(INDEX(GroupVertices[Group],MATCH(Vertices[[#This Row],[Vertex]],GroupVertices[Vertex],0)),1,1,"")</f>
        <v>3</v>
      </c>
      <c r="AV168" s="49">
        <v>0</v>
      </c>
      <c r="AW168" s="50">
        <v>0</v>
      </c>
      <c r="AX168" s="49">
        <v>0</v>
      </c>
      <c r="AY168" s="50">
        <v>0</v>
      </c>
      <c r="AZ168" s="49">
        <v>0</v>
      </c>
      <c r="BA168" s="50">
        <v>0</v>
      </c>
      <c r="BB168" s="49">
        <v>4</v>
      </c>
      <c r="BC168" s="50">
        <v>100</v>
      </c>
      <c r="BD168" s="49">
        <v>4</v>
      </c>
      <c r="BE168" s="49"/>
      <c r="BF168" s="49"/>
      <c r="BG168" s="49"/>
      <c r="BH168" s="49"/>
      <c r="BI168" s="49"/>
      <c r="BJ168" s="49"/>
      <c r="BK168" s="111" t="s">
        <v>3552</v>
      </c>
      <c r="BL168" s="111" t="s">
        <v>3552</v>
      </c>
      <c r="BM168" s="111" t="s">
        <v>1927</v>
      </c>
      <c r="BN168" s="111" t="s">
        <v>1927</v>
      </c>
      <c r="BO168" s="2"/>
      <c r="BP168" s="3"/>
      <c r="BQ168" s="3"/>
      <c r="BR168" s="3"/>
      <c r="BS168" s="3"/>
    </row>
    <row r="169" spans="1:71" ht="15">
      <c r="A169" s="65" t="s">
        <v>504</v>
      </c>
      <c r="B169" s="66"/>
      <c r="C169" s="66"/>
      <c r="D169" s="67">
        <v>292.2057027832582</v>
      </c>
      <c r="E169" s="69"/>
      <c r="F169" s="103" t="str">
        <f>HYPERLINK("https://yt3.ggpht.com/ytc/AKedOLR3leDfa7vQ7N7RY3NMzoNtNiV_MgzVRgQb8sUqJUA=s88-c-k-c0x00ffffff-no-rj")</f>
        <v>https://yt3.ggpht.com/ytc/AKedOLR3leDfa7vQ7N7RY3NMzoNtNiV_MgzVRgQb8sUqJUA=s88-c-k-c0x00ffffff-no-rj</v>
      </c>
      <c r="G169" s="66"/>
      <c r="H169" s="70" t="s">
        <v>1572</v>
      </c>
      <c r="I169" s="71"/>
      <c r="J169" s="71" t="s">
        <v>75</v>
      </c>
      <c r="K169" s="70" t="s">
        <v>1572</v>
      </c>
      <c r="L169" s="74">
        <v>60.36263800218559</v>
      </c>
      <c r="M169" s="75">
        <v>8584.6923828125</v>
      </c>
      <c r="N169" s="75">
        <v>7396.37060546875</v>
      </c>
      <c r="O169" s="76"/>
      <c r="P169" s="77"/>
      <c r="Q169" s="77"/>
      <c r="R169" s="89"/>
      <c r="S169" s="49">
        <v>2</v>
      </c>
      <c r="T169" s="49">
        <v>1</v>
      </c>
      <c r="U169" s="50">
        <v>1187.166667</v>
      </c>
      <c r="V169" s="50">
        <v>0.480171</v>
      </c>
      <c r="W169" s="50">
        <v>0.035041</v>
      </c>
      <c r="X169" s="50">
        <v>0.002348</v>
      </c>
      <c r="Y169" s="50">
        <v>0</v>
      </c>
      <c r="Z169" s="50">
        <v>0</v>
      </c>
      <c r="AA169" s="72">
        <v>169</v>
      </c>
      <c r="AB169" s="72"/>
      <c r="AC169" s="73"/>
      <c r="AD169" s="80" t="s">
        <v>1572</v>
      </c>
      <c r="AE169" s="80"/>
      <c r="AF169" s="80"/>
      <c r="AG169" s="80"/>
      <c r="AH169" s="80"/>
      <c r="AI169" s="80"/>
      <c r="AJ169" s="87">
        <v>39044.99916666667</v>
      </c>
      <c r="AK169" s="85" t="str">
        <f>HYPERLINK("https://yt3.ggpht.com/ytc/AKedOLR3leDfa7vQ7N7RY3NMzoNtNiV_MgzVRgQb8sUqJUA=s88-c-k-c0x00ffffff-no-rj")</f>
        <v>https://yt3.ggpht.com/ytc/AKedOLR3leDfa7vQ7N7RY3NMzoNtNiV_MgzVRgQb8sUqJUA=s88-c-k-c0x00ffffff-no-rj</v>
      </c>
      <c r="AL169" s="80">
        <v>0</v>
      </c>
      <c r="AM169" s="80">
        <v>0</v>
      </c>
      <c r="AN169" s="80">
        <v>1</v>
      </c>
      <c r="AO169" s="80" t="b">
        <v>0</v>
      </c>
      <c r="AP169" s="80">
        <v>0</v>
      </c>
      <c r="AQ169" s="80"/>
      <c r="AR169" s="80"/>
      <c r="AS169" s="80" t="s">
        <v>2085</v>
      </c>
      <c r="AT169" s="85" t="str">
        <f>HYPERLINK("https://www.youtube.com/channel/UCQApcYMPd8boA_mv0F54XoA")</f>
        <v>https://www.youtube.com/channel/UCQApcYMPd8boA_mv0F54XoA</v>
      </c>
      <c r="AU169" s="80" t="str">
        <f>REPLACE(INDEX(GroupVertices[Group],MATCH(Vertices[[#This Row],[Vertex]],GroupVertices[Vertex],0)),1,1,"")</f>
        <v>3</v>
      </c>
      <c r="AV169" s="49">
        <v>2</v>
      </c>
      <c r="AW169" s="50">
        <v>3.5714285714285716</v>
      </c>
      <c r="AX169" s="49">
        <v>0</v>
      </c>
      <c r="AY169" s="50">
        <v>0</v>
      </c>
      <c r="AZ169" s="49">
        <v>0</v>
      </c>
      <c r="BA169" s="50">
        <v>0</v>
      </c>
      <c r="BB169" s="49">
        <v>54</v>
      </c>
      <c r="BC169" s="50">
        <v>96.42857142857143</v>
      </c>
      <c r="BD169" s="49">
        <v>56</v>
      </c>
      <c r="BE169" s="49"/>
      <c r="BF169" s="49"/>
      <c r="BG169" s="49"/>
      <c r="BH169" s="49"/>
      <c r="BI169" s="49"/>
      <c r="BJ169" s="49"/>
      <c r="BK169" s="111" t="s">
        <v>3553</v>
      </c>
      <c r="BL169" s="111" t="s">
        <v>3553</v>
      </c>
      <c r="BM169" s="111" t="s">
        <v>4000</v>
      </c>
      <c r="BN169" s="111" t="s">
        <v>4000</v>
      </c>
      <c r="BO169" s="2"/>
      <c r="BP169" s="3"/>
      <c r="BQ169" s="3"/>
      <c r="BR169" s="3"/>
      <c r="BS169" s="3"/>
    </row>
    <row r="170" spans="1:71" ht="15">
      <c r="A170" s="65" t="s">
        <v>503</v>
      </c>
      <c r="B170" s="66"/>
      <c r="C170" s="66"/>
      <c r="D170" s="67">
        <v>150.95828635851183</v>
      </c>
      <c r="E170" s="69"/>
      <c r="F170" s="103" t="str">
        <f>HYPERLINK("https://yt3.ggpht.com/ytc/AKedOLRM9FZJUW3Yiim-aC2PkDVes5jb3tqZJjo2tg9IbQ=s88-c-k-c0x00ffffff-no-rj")</f>
        <v>https://yt3.ggpht.com/ytc/AKedOLRM9FZJUW3Yiim-aC2PkDVes5jb3tqZJjo2tg9IbQ=s88-c-k-c0x00ffffff-no-rj</v>
      </c>
      <c r="G170" s="66"/>
      <c r="H170" s="70" t="s">
        <v>1571</v>
      </c>
      <c r="I170" s="71"/>
      <c r="J170" s="71" t="s">
        <v>75</v>
      </c>
      <c r="K170" s="70" t="s">
        <v>1571</v>
      </c>
      <c r="L170" s="74">
        <v>1.400029007904654</v>
      </c>
      <c r="M170" s="75">
        <v>8831.6328125</v>
      </c>
      <c r="N170" s="75">
        <v>7618.4560546875</v>
      </c>
      <c r="O170" s="76"/>
      <c r="P170" s="77"/>
      <c r="Q170" s="77"/>
      <c r="R170" s="89"/>
      <c r="S170" s="49">
        <v>0</v>
      </c>
      <c r="T170" s="49">
        <v>3</v>
      </c>
      <c r="U170" s="50">
        <v>8</v>
      </c>
      <c r="V170" s="50">
        <v>0.326769</v>
      </c>
      <c r="W170" s="50">
        <v>0.005117</v>
      </c>
      <c r="X170" s="50">
        <v>0.002234</v>
      </c>
      <c r="Y170" s="50">
        <v>0</v>
      </c>
      <c r="Z170" s="50">
        <v>0</v>
      </c>
      <c r="AA170" s="72">
        <v>170</v>
      </c>
      <c r="AB170" s="72"/>
      <c r="AC170" s="73"/>
      <c r="AD170" s="80" t="s">
        <v>1571</v>
      </c>
      <c r="AE170" s="80" t="s">
        <v>1988</v>
      </c>
      <c r="AF170" s="80"/>
      <c r="AG170" s="80"/>
      <c r="AH170" s="80"/>
      <c r="AI170" s="80"/>
      <c r="AJ170" s="87">
        <v>42808.06417824074</v>
      </c>
      <c r="AK170" s="85" t="str">
        <f>HYPERLINK("https://yt3.ggpht.com/ytc/AKedOLRM9FZJUW3Yiim-aC2PkDVes5jb3tqZJjo2tg9IbQ=s88-c-k-c0x00ffffff-no-rj")</f>
        <v>https://yt3.ggpht.com/ytc/AKedOLRM9FZJUW3Yiim-aC2PkDVes5jb3tqZJjo2tg9IbQ=s88-c-k-c0x00ffffff-no-rj</v>
      </c>
      <c r="AL170" s="80">
        <v>0</v>
      </c>
      <c r="AM170" s="80">
        <v>0</v>
      </c>
      <c r="AN170" s="80">
        <v>4</v>
      </c>
      <c r="AO170" s="80" t="b">
        <v>0</v>
      </c>
      <c r="AP170" s="80">
        <v>0</v>
      </c>
      <c r="AQ170" s="80"/>
      <c r="AR170" s="80"/>
      <c r="AS170" s="80" t="s">
        <v>2085</v>
      </c>
      <c r="AT170" s="85" t="str">
        <f>HYPERLINK("https://www.youtube.com/channel/UCcL0PxIXOU5-C1ckvdTiI1Q")</f>
        <v>https://www.youtube.com/channel/UCcL0PxIXOU5-C1ckvdTiI1Q</v>
      </c>
      <c r="AU170" s="80" t="str">
        <f>REPLACE(INDEX(GroupVertices[Group],MATCH(Vertices[[#This Row],[Vertex]],GroupVertices[Vertex],0)),1,1,"")</f>
        <v>3</v>
      </c>
      <c r="AV170" s="49">
        <v>2</v>
      </c>
      <c r="AW170" s="50">
        <v>3.508771929824561</v>
      </c>
      <c r="AX170" s="49">
        <v>1</v>
      </c>
      <c r="AY170" s="50">
        <v>1.7543859649122806</v>
      </c>
      <c r="AZ170" s="49">
        <v>0</v>
      </c>
      <c r="BA170" s="50">
        <v>0</v>
      </c>
      <c r="BB170" s="49">
        <v>54</v>
      </c>
      <c r="BC170" s="50">
        <v>94.73684210526316</v>
      </c>
      <c r="BD170" s="49">
        <v>57</v>
      </c>
      <c r="BE170" s="49"/>
      <c r="BF170" s="49"/>
      <c r="BG170" s="49"/>
      <c r="BH170" s="49"/>
      <c r="BI170" s="49"/>
      <c r="BJ170" s="49"/>
      <c r="BK170" s="111" t="s">
        <v>3554</v>
      </c>
      <c r="BL170" s="111" t="s">
        <v>3554</v>
      </c>
      <c r="BM170" s="111" t="s">
        <v>4001</v>
      </c>
      <c r="BN170" s="111" t="s">
        <v>4001</v>
      </c>
      <c r="BO170" s="2"/>
      <c r="BP170" s="3"/>
      <c r="BQ170" s="3"/>
      <c r="BR170" s="3"/>
      <c r="BS170" s="3"/>
    </row>
    <row r="171" spans="1:71" ht="15">
      <c r="A171" s="65" t="s">
        <v>505</v>
      </c>
      <c r="B171" s="66"/>
      <c r="C171" s="66"/>
      <c r="D171" s="67">
        <v>150</v>
      </c>
      <c r="E171" s="69"/>
      <c r="F171" s="103" t="str">
        <f>HYPERLINK("https://yt3.ggpht.com/ytc/AKedOLRI_xYN6bmgG1sFT8DhGKE3Hjhv31IQWdTGdQ=s88-c-k-c0x00ffffff-no-rj")</f>
        <v>https://yt3.ggpht.com/ytc/AKedOLRI_xYN6bmgG1sFT8DhGKE3Hjhv31IQWdTGdQ=s88-c-k-c0x00ffffff-no-rj</v>
      </c>
      <c r="G171" s="66"/>
      <c r="H171" s="70" t="s">
        <v>1573</v>
      </c>
      <c r="I171" s="71"/>
      <c r="J171" s="71" t="s">
        <v>159</v>
      </c>
      <c r="K171" s="70" t="s">
        <v>1573</v>
      </c>
      <c r="L171" s="74">
        <v>1</v>
      </c>
      <c r="M171" s="75">
        <v>1832.933349609375</v>
      </c>
      <c r="N171" s="75">
        <v>3365.04443359375</v>
      </c>
      <c r="O171" s="76"/>
      <c r="P171" s="77"/>
      <c r="Q171" s="77"/>
      <c r="R171" s="89"/>
      <c r="S171" s="49">
        <v>0</v>
      </c>
      <c r="T171" s="49">
        <v>1</v>
      </c>
      <c r="U171" s="50">
        <v>0</v>
      </c>
      <c r="V171" s="50">
        <v>0.478122</v>
      </c>
      <c r="W171" s="50">
        <v>0.03471</v>
      </c>
      <c r="X171" s="50">
        <v>0.001935</v>
      </c>
      <c r="Y171" s="50">
        <v>0</v>
      </c>
      <c r="Z171" s="50">
        <v>0</v>
      </c>
      <c r="AA171" s="72">
        <v>171</v>
      </c>
      <c r="AB171" s="72"/>
      <c r="AC171" s="73"/>
      <c r="AD171" s="80" t="s">
        <v>1573</v>
      </c>
      <c r="AE171" s="80" t="s">
        <v>1989</v>
      </c>
      <c r="AF171" s="80"/>
      <c r="AG171" s="80"/>
      <c r="AH171" s="80"/>
      <c r="AI171" s="80"/>
      <c r="AJ171" s="87">
        <v>40823.63982638889</v>
      </c>
      <c r="AK171" s="85" t="str">
        <f>HYPERLINK("https://yt3.ggpht.com/ytc/AKedOLRI_xYN6bmgG1sFT8DhGKE3Hjhv31IQWdTGdQ=s88-c-k-c0x00ffffff-no-rj")</f>
        <v>https://yt3.ggpht.com/ytc/AKedOLRI_xYN6bmgG1sFT8DhGKE3Hjhv31IQWdTGdQ=s88-c-k-c0x00ffffff-no-rj</v>
      </c>
      <c r="AL171" s="80">
        <v>0</v>
      </c>
      <c r="AM171" s="80">
        <v>0</v>
      </c>
      <c r="AN171" s="80">
        <v>5</v>
      </c>
      <c r="AO171" s="80" t="b">
        <v>0</v>
      </c>
      <c r="AP171" s="80">
        <v>0</v>
      </c>
      <c r="AQ171" s="80"/>
      <c r="AR171" s="80"/>
      <c r="AS171" s="80" t="s">
        <v>2085</v>
      </c>
      <c r="AT171" s="85" t="str">
        <f>HYPERLINK("https://www.youtube.com/channel/UCR9lCFHHkDFfevGWqKwU5nA")</f>
        <v>https://www.youtube.com/channel/UCR9lCFHHkDFfevGWqKwU5nA</v>
      </c>
      <c r="AU171" s="80" t="str">
        <f>REPLACE(INDEX(GroupVertices[Group],MATCH(Vertices[[#This Row],[Vertex]],GroupVertices[Vertex],0)),1,1,"")</f>
        <v>1</v>
      </c>
      <c r="AV171" s="49">
        <v>1</v>
      </c>
      <c r="AW171" s="50">
        <v>6.25</v>
      </c>
      <c r="AX171" s="49">
        <v>0</v>
      </c>
      <c r="AY171" s="50">
        <v>0</v>
      </c>
      <c r="AZ171" s="49">
        <v>0</v>
      </c>
      <c r="BA171" s="50">
        <v>0</v>
      </c>
      <c r="BB171" s="49">
        <v>15</v>
      </c>
      <c r="BC171" s="50">
        <v>93.75</v>
      </c>
      <c r="BD171" s="49">
        <v>16</v>
      </c>
      <c r="BE171" s="49"/>
      <c r="BF171" s="49"/>
      <c r="BG171" s="49"/>
      <c r="BH171" s="49"/>
      <c r="BI171" s="49"/>
      <c r="BJ171" s="49"/>
      <c r="BK171" s="111" t="s">
        <v>3555</v>
      </c>
      <c r="BL171" s="111" t="s">
        <v>3555</v>
      </c>
      <c r="BM171" s="111" t="s">
        <v>4002</v>
      </c>
      <c r="BN171" s="111" t="s">
        <v>4002</v>
      </c>
      <c r="BO171" s="2"/>
      <c r="BP171" s="3"/>
      <c r="BQ171" s="3"/>
      <c r="BR171" s="3"/>
      <c r="BS171" s="3"/>
    </row>
    <row r="172" spans="1:71" ht="15">
      <c r="A172" s="65" t="s">
        <v>506</v>
      </c>
      <c r="B172" s="66"/>
      <c r="C172" s="66"/>
      <c r="D172" s="67">
        <v>150</v>
      </c>
      <c r="E172" s="69"/>
      <c r="F172" s="103" t="str">
        <f>HYPERLINK("https://yt3.ggpht.com/ytc/AKedOLQqRXAOS0qJ_ofzpndOwK4uUXl2-_Lu7u2_qgDa5A=s88-c-k-c0x00ffffff-no-rj")</f>
        <v>https://yt3.ggpht.com/ytc/AKedOLQqRXAOS0qJ_ofzpndOwK4uUXl2-_Lu7u2_qgDa5A=s88-c-k-c0x00ffffff-no-rj</v>
      </c>
      <c r="G172" s="66"/>
      <c r="H172" s="70" t="s">
        <v>1574</v>
      </c>
      <c r="I172" s="71"/>
      <c r="J172" s="71" t="s">
        <v>159</v>
      </c>
      <c r="K172" s="70" t="s">
        <v>1574</v>
      </c>
      <c r="L172" s="74">
        <v>1</v>
      </c>
      <c r="M172" s="75">
        <v>2145.801025390625</v>
      </c>
      <c r="N172" s="75">
        <v>7273.56005859375</v>
      </c>
      <c r="O172" s="76"/>
      <c r="P172" s="77"/>
      <c r="Q172" s="77"/>
      <c r="R172" s="89"/>
      <c r="S172" s="49">
        <v>0</v>
      </c>
      <c r="T172" s="49">
        <v>1</v>
      </c>
      <c r="U172" s="50">
        <v>0</v>
      </c>
      <c r="V172" s="50">
        <v>0.478122</v>
      </c>
      <c r="W172" s="50">
        <v>0.03471</v>
      </c>
      <c r="X172" s="50">
        <v>0.001935</v>
      </c>
      <c r="Y172" s="50">
        <v>0</v>
      </c>
      <c r="Z172" s="50">
        <v>0</v>
      </c>
      <c r="AA172" s="72">
        <v>172</v>
      </c>
      <c r="AB172" s="72"/>
      <c r="AC172" s="73"/>
      <c r="AD172" s="80" t="s">
        <v>1574</v>
      </c>
      <c r="AE172" s="80" t="s">
        <v>1990</v>
      </c>
      <c r="AF172" s="80"/>
      <c r="AG172" s="80"/>
      <c r="AH172" s="80"/>
      <c r="AI172" s="80"/>
      <c r="AJ172" s="87">
        <v>40898.839525462965</v>
      </c>
      <c r="AK172" s="85" t="str">
        <f>HYPERLINK("https://yt3.ggpht.com/ytc/AKedOLQqRXAOS0qJ_ofzpndOwK4uUXl2-_Lu7u2_qgDa5A=s88-c-k-c0x00ffffff-no-rj")</f>
        <v>https://yt3.ggpht.com/ytc/AKedOLQqRXAOS0qJ_ofzpndOwK4uUXl2-_Lu7u2_qgDa5A=s88-c-k-c0x00ffffff-no-rj</v>
      </c>
      <c r="AL172" s="80">
        <v>614</v>
      </c>
      <c r="AM172" s="80">
        <v>0</v>
      </c>
      <c r="AN172" s="80">
        <v>17</v>
      </c>
      <c r="AO172" s="80" t="b">
        <v>0</v>
      </c>
      <c r="AP172" s="80">
        <v>1</v>
      </c>
      <c r="AQ172" s="80"/>
      <c r="AR172" s="80"/>
      <c r="AS172" s="80" t="s">
        <v>2085</v>
      </c>
      <c r="AT172" s="85" t="str">
        <f>HYPERLINK("https://www.youtube.com/channel/UCLbgLIDDu6O4P3pRAR_SSyA")</f>
        <v>https://www.youtube.com/channel/UCLbgLIDDu6O4P3pRAR_SSyA</v>
      </c>
      <c r="AU172" s="80" t="str">
        <f>REPLACE(INDEX(GroupVertices[Group],MATCH(Vertices[[#This Row],[Vertex]],GroupVertices[Vertex],0)),1,1,"")</f>
        <v>1</v>
      </c>
      <c r="AV172" s="49">
        <v>0</v>
      </c>
      <c r="AW172" s="50">
        <v>0</v>
      </c>
      <c r="AX172" s="49">
        <v>0</v>
      </c>
      <c r="AY172" s="50">
        <v>0</v>
      </c>
      <c r="AZ172" s="49">
        <v>0</v>
      </c>
      <c r="BA172" s="50">
        <v>0</v>
      </c>
      <c r="BB172" s="49">
        <v>2</v>
      </c>
      <c r="BC172" s="50">
        <v>100</v>
      </c>
      <c r="BD172" s="49">
        <v>2</v>
      </c>
      <c r="BE172" s="49"/>
      <c r="BF172" s="49"/>
      <c r="BG172" s="49"/>
      <c r="BH172" s="49"/>
      <c r="BI172" s="49"/>
      <c r="BJ172" s="49"/>
      <c r="BK172" s="111" t="s">
        <v>1047</v>
      </c>
      <c r="BL172" s="111" t="s">
        <v>1047</v>
      </c>
      <c r="BM172" s="111" t="s">
        <v>4003</v>
      </c>
      <c r="BN172" s="111" t="s">
        <v>4003</v>
      </c>
      <c r="BO172" s="2"/>
      <c r="BP172" s="3"/>
      <c r="BQ172" s="3"/>
      <c r="BR172" s="3"/>
      <c r="BS172" s="3"/>
    </row>
    <row r="173" spans="1:71" ht="15">
      <c r="A173" s="65" t="s">
        <v>507</v>
      </c>
      <c r="B173" s="66"/>
      <c r="C173" s="66"/>
      <c r="D173" s="67">
        <v>150</v>
      </c>
      <c r="E173" s="69"/>
      <c r="F173" s="103" t="str">
        <f>HYPERLINK("https://yt3.ggpht.com/ytc/AKedOLRMcWO607iOGPmFaqkxGxobSRzXJ7YJGyqWoMid=s88-c-k-c0x00ffffff-no-rj")</f>
        <v>https://yt3.ggpht.com/ytc/AKedOLRMcWO607iOGPmFaqkxGxobSRzXJ7YJGyqWoMid=s88-c-k-c0x00ffffff-no-rj</v>
      </c>
      <c r="G173" s="66"/>
      <c r="H173" s="70" t="s">
        <v>1575</v>
      </c>
      <c r="I173" s="71"/>
      <c r="J173" s="71" t="s">
        <v>159</v>
      </c>
      <c r="K173" s="70" t="s">
        <v>1575</v>
      </c>
      <c r="L173" s="74">
        <v>1</v>
      </c>
      <c r="M173" s="75">
        <v>6102.24267578125</v>
      </c>
      <c r="N173" s="75">
        <v>1783.5174560546875</v>
      </c>
      <c r="O173" s="76"/>
      <c r="P173" s="77"/>
      <c r="Q173" s="77"/>
      <c r="R173" s="89"/>
      <c r="S173" s="49">
        <v>0</v>
      </c>
      <c r="T173" s="49">
        <v>1</v>
      </c>
      <c r="U173" s="50">
        <v>0</v>
      </c>
      <c r="V173" s="50">
        <v>0.478122</v>
      </c>
      <c r="W173" s="50">
        <v>0.03471</v>
      </c>
      <c r="X173" s="50">
        <v>0.001935</v>
      </c>
      <c r="Y173" s="50">
        <v>0</v>
      </c>
      <c r="Z173" s="50">
        <v>0</v>
      </c>
      <c r="AA173" s="72">
        <v>173</v>
      </c>
      <c r="AB173" s="72"/>
      <c r="AC173" s="73"/>
      <c r="AD173" s="80" t="s">
        <v>1575</v>
      </c>
      <c r="AE173" s="80"/>
      <c r="AF173" s="80"/>
      <c r="AG173" s="80"/>
      <c r="AH173" s="80"/>
      <c r="AI173" s="80"/>
      <c r="AJ173" s="87">
        <v>39008.98884259259</v>
      </c>
      <c r="AK173" s="85" t="str">
        <f>HYPERLINK("https://yt3.ggpht.com/ytc/AKedOLRMcWO607iOGPmFaqkxGxobSRzXJ7YJGyqWoMid=s88-c-k-c0x00ffffff-no-rj")</f>
        <v>https://yt3.ggpht.com/ytc/AKedOLRMcWO607iOGPmFaqkxGxobSRzXJ7YJGyqWoMid=s88-c-k-c0x00ffffff-no-rj</v>
      </c>
      <c r="AL173" s="80">
        <v>230444</v>
      </c>
      <c r="AM173" s="80">
        <v>0</v>
      </c>
      <c r="AN173" s="80">
        <v>115</v>
      </c>
      <c r="AO173" s="80" t="b">
        <v>0</v>
      </c>
      <c r="AP173" s="80">
        <v>8</v>
      </c>
      <c r="AQ173" s="80"/>
      <c r="AR173" s="80"/>
      <c r="AS173" s="80" t="s">
        <v>2085</v>
      </c>
      <c r="AT173" s="85" t="str">
        <f>HYPERLINK("https://www.youtube.com/channel/UC0xiz1-h-yEafmAf2F3yo-Q")</f>
        <v>https://www.youtube.com/channel/UC0xiz1-h-yEafmAf2F3yo-Q</v>
      </c>
      <c r="AU173" s="80" t="str">
        <f>REPLACE(INDEX(GroupVertices[Group],MATCH(Vertices[[#This Row],[Vertex]],GroupVertices[Vertex],0)),1,1,"")</f>
        <v>1</v>
      </c>
      <c r="AV173" s="49">
        <v>0</v>
      </c>
      <c r="AW173" s="50">
        <v>0</v>
      </c>
      <c r="AX173" s="49">
        <v>1</v>
      </c>
      <c r="AY173" s="50">
        <v>1.9607843137254901</v>
      </c>
      <c r="AZ173" s="49">
        <v>0</v>
      </c>
      <c r="BA173" s="50">
        <v>0</v>
      </c>
      <c r="BB173" s="49">
        <v>50</v>
      </c>
      <c r="BC173" s="50">
        <v>98.03921568627452</v>
      </c>
      <c r="BD173" s="49">
        <v>51</v>
      </c>
      <c r="BE173" s="49"/>
      <c r="BF173" s="49"/>
      <c r="BG173" s="49"/>
      <c r="BH173" s="49"/>
      <c r="BI173" s="49"/>
      <c r="BJ173" s="49"/>
      <c r="BK173" s="111" t="s">
        <v>3556</v>
      </c>
      <c r="BL173" s="111" t="s">
        <v>3556</v>
      </c>
      <c r="BM173" s="111" t="s">
        <v>4004</v>
      </c>
      <c r="BN173" s="111" t="s">
        <v>4004</v>
      </c>
      <c r="BO173" s="2"/>
      <c r="BP173" s="3"/>
      <c r="BQ173" s="3"/>
      <c r="BR173" s="3"/>
      <c r="BS173" s="3"/>
    </row>
    <row r="174" spans="1:71" ht="15">
      <c r="A174" s="65" t="s">
        <v>508</v>
      </c>
      <c r="B174" s="66"/>
      <c r="C174" s="66"/>
      <c r="D174" s="67">
        <v>150</v>
      </c>
      <c r="E174" s="69"/>
      <c r="F174" s="103" t="str">
        <f>HYPERLINK("https://yt3.ggpht.com/ytc/AKedOLQ8e48Ducybs3UlqTBCesVBnVvaD9ywc2wlyu8neg=s88-c-k-c0x00ffffff-no-rj")</f>
        <v>https://yt3.ggpht.com/ytc/AKedOLQ8e48Ducybs3UlqTBCesVBnVvaD9ywc2wlyu8neg=s88-c-k-c0x00ffffff-no-rj</v>
      </c>
      <c r="G174" s="66"/>
      <c r="H174" s="70" t="s">
        <v>1576</v>
      </c>
      <c r="I174" s="71"/>
      <c r="J174" s="71" t="s">
        <v>159</v>
      </c>
      <c r="K174" s="70" t="s">
        <v>1576</v>
      </c>
      <c r="L174" s="74">
        <v>1</v>
      </c>
      <c r="M174" s="75">
        <v>2848.80859375</v>
      </c>
      <c r="N174" s="75">
        <v>567.4284057617188</v>
      </c>
      <c r="O174" s="76"/>
      <c r="P174" s="77"/>
      <c r="Q174" s="77"/>
      <c r="R174" s="89"/>
      <c r="S174" s="49">
        <v>0</v>
      </c>
      <c r="T174" s="49">
        <v>1</v>
      </c>
      <c r="U174" s="50">
        <v>0</v>
      </c>
      <c r="V174" s="50">
        <v>0.478122</v>
      </c>
      <c r="W174" s="50">
        <v>0.03471</v>
      </c>
      <c r="X174" s="50">
        <v>0.001935</v>
      </c>
      <c r="Y174" s="50">
        <v>0</v>
      </c>
      <c r="Z174" s="50">
        <v>0</v>
      </c>
      <c r="AA174" s="72">
        <v>174</v>
      </c>
      <c r="AB174" s="72"/>
      <c r="AC174" s="73"/>
      <c r="AD174" s="80" t="s">
        <v>1576</v>
      </c>
      <c r="AE174" s="80"/>
      <c r="AF174" s="80"/>
      <c r="AG174" s="80"/>
      <c r="AH174" s="80"/>
      <c r="AI174" s="80"/>
      <c r="AJ174" s="87">
        <v>40815.422997685186</v>
      </c>
      <c r="AK174" s="85" t="str">
        <f>HYPERLINK("https://yt3.ggpht.com/ytc/AKedOLQ8e48Ducybs3UlqTBCesVBnVvaD9ywc2wlyu8neg=s88-c-k-c0x00ffffff-no-rj")</f>
        <v>https://yt3.ggpht.com/ytc/AKedOLQ8e48Ducybs3UlqTBCesVBnVvaD9ywc2wlyu8neg=s88-c-k-c0x00ffffff-no-rj</v>
      </c>
      <c r="AL174" s="80">
        <v>0</v>
      </c>
      <c r="AM174" s="80">
        <v>0</v>
      </c>
      <c r="AN174" s="80">
        <v>0</v>
      </c>
      <c r="AO174" s="80" t="b">
        <v>0</v>
      </c>
      <c r="AP174" s="80">
        <v>0</v>
      </c>
      <c r="AQ174" s="80"/>
      <c r="AR174" s="80"/>
      <c r="AS174" s="80" t="s">
        <v>2085</v>
      </c>
      <c r="AT174" s="85" t="str">
        <f>HYPERLINK("https://www.youtube.com/channel/UCttOZCF64vZxijS26gvFmtQ")</f>
        <v>https://www.youtube.com/channel/UCttOZCF64vZxijS26gvFmtQ</v>
      </c>
      <c r="AU174" s="80" t="str">
        <f>REPLACE(INDEX(GroupVertices[Group],MATCH(Vertices[[#This Row],[Vertex]],GroupVertices[Vertex],0)),1,1,"")</f>
        <v>1</v>
      </c>
      <c r="AV174" s="49">
        <v>2</v>
      </c>
      <c r="AW174" s="50">
        <v>40</v>
      </c>
      <c r="AX174" s="49">
        <v>0</v>
      </c>
      <c r="AY174" s="50">
        <v>0</v>
      </c>
      <c r="AZ174" s="49">
        <v>0</v>
      </c>
      <c r="BA174" s="50">
        <v>0</v>
      </c>
      <c r="BB174" s="49">
        <v>3</v>
      </c>
      <c r="BC174" s="50">
        <v>60</v>
      </c>
      <c r="BD174" s="49">
        <v>5</v>
      </c>
      <c r="BE174" s="49"/>
      <c r="BF174" s="49"/>
      <c r="BG174" s="49"/>
      <c r="BH174" s="49"/>
      <c r="BI174" s="49"/>
      <c r="BJ174" s="49"/>
      <c r="BK174" s="111" t="s">
        <v>3557</v>
      </c>
      <c r="BL174" s="111" t="s">
        <v>3557</v>
      </c>
      <c r="BM174" s="111" t="s">
        <v>4005</v>
      </c>
      <c r="BN174" s="111" t="s">
        <v>4005</v>
      </c>
      <c r="BO174" s="2"/>
      <c r="BP174" s="3"/>
      <c r="BQ174" s="3"/>
      <c r="BR174" s="3"/>
      <c r="BS174" s="3"/>
    </row>
    <row r="175" spans="1:71" ht="15">
      <c r="A175" s="65" t="s">
        <v>509</v>
      </c>
      <c r="B175" s="66"/>
      <c r="C175" s="66"/>
      <c r="D175" s="67">
        <v>150</v>
      </c>
      <c r="E175" s="69"/>
      <c r="F175" s="103" t="str">
        <f>HYPERLINK("https://yt3.ggpht.com/ytc/AKedOLSHqoJS0iAJmJRTtFiikMj3fuZTYxDqALVKQQ=s88-c-k-c0x00ffffff-no-rj")</f>
        <v>https://yt3.ggpht.com/ytc/AKedOLSHqoJS0iAJmJRTtFiikMj3fuZTYxDqALVKQQ=s88-c-k-c0x00ffffff-no-rj</v>
      </c>
      <c r="G175" s="66"/>
      <c r="H175" s="70" t="s">
        <v>1577</v>
      </c>
      <c r="I175" s="71"/>
      <c r="J175" s="71" t="s">
        <v>159</v>
      </c>
      <c r="K175" s="70" t="s">
        <v>1577</v>
      </c>
      <c r="L175" s="74">
        <v>1</v>
      </c>
      <c r="M175" s="75">
        <v>3010.567138671875</v>
      </c>
      <c r="N175" s="75">
        <v>804.151123046875</v>
      </c>
      <c r="O175" s="76"/>
      <c r="P175" s="77"/>
      <c r="Q175" s="77"/>
      <c r="R175" s="89"/>
      <c r="S175" s="49">
        <v>0</v>
      </c>
      <c r="T175" s="49">
        <v>1</v>
      </c>
      <c r="U175" s="50">
        <v>0</v>
      </c>
      <c r="V175" s="50">
        <v>0.478122</v>
      </c>
      <c r="W175" s="50">
        <v>0.03471</v>
      </c>
      <c r="X175" s="50">
        <v>0.001935</v>
      </c>
      <c r="Y175" s="50">
        <v>0</v>
      </c>
      <c r="Z175" s="50">
        <v>0</v>
      </c>
      <c r="AA175" s="72">
        <v>175</v>
      </c>
      <c r="AB175" s="72"/>
      <c r="AC175" s="73"/>
      <c r="AD175" s="80" t="s">
        <v>1577</v>
      </c>
      <c r="AE175" s="80" t="s">
        <v>1991</v>
      </c>
      <c r="AF175" s="80"/>
      <c r="AG175" s="80"/>
      <c r="AH175" s="80"/>
      <c r="AI175" s="80"/>
      <c r="AJ175" s="87">
        <v>39291.32994212963</v>
      </c>
      <c r="AK175" s="85" t="str">
        <f>HYPERLINK("https://yt3.ggpht.com/ytc/AKedOLSHqoJS0iAJmJRTtFiikMj3fuZTYxDqALVKQQ=s88-c-k-c0x00ffffff-no-rj")</f>
        <v>https://yt3.ggpht.com/ytc/AKedOLSHqoJS0iAJmJRTtFiikMj3fuZTYxDqALVKQQ=s88-c-k-c0x00ffffff-no-rj</v>
      </c>
      <c r="AL175" s="80">
        <v>10128</v>
      </c>
      <c r="AM175" s="80">
        <v>0</v>
      </c>
      <c r="AN175" s="80">
        <v>271</v>
      </c>
      <c r="AO175" s="80" t="b">
        <v>0</v>
      </c>
      <c r="AP175" s="80">
        <v>4</v>
      </c>
      <c r="AQ175" s="80"/>
      <c r="AR175" s="80"/>
      <c r="AS175" s="80" t="s">
        <v>2085</v>
      </c>
      <c r="AT175" s="85" t="str">
        <f>HYPERLINK("https://www.youtube.com/channel/UC1A_GS9LcUKDOVcRPmuddAg")</f>
        <v>https://www.youtube.com/channel/UC1A_GS9LcUKDOVcRPmuddAg</v>
      </c>
      <c r="AU175" s="80" t="str">
        <f>REPLACE(INDEX(GroupVertices[Group],MATCH(Vertices[[#This Row],[Vertex]],GroupVertices[Vertex],0)),1,1,"")</f>
        <v>1</v>
      </c>
      <c r="AV175" s="49">
        <v>1</v>
      </c>
      <c r="AW175" s="50">
        <v>16.666666666666668</v>
      </c>
      <c r="AX175" s="49">
        <v>0</v>
      </c>
      <c r="AY175" s="50">
        <v>0</v>
      </c>
      <c r="AZ175" s="49">
        <v>0</v>
      </c>
      <c r="BA175" s="50">
        <v>0</v>
      </c>
      <c r="BB175" s="49">
        <v>5</v>
      </c>
      <c r="BC175" s="50">
        <v>83.33333333333333</v>
      </c>
      <c r="BD175" s="49">
        <v>6</v>
      </c>
      <c r="BE175" s="49"/>
      <c r="BF175" s="49"/>
      <c r="BG175" s="49"/>
      <c r="BH175" s="49"/>
      <c r="BI175" s="49"/>
      <c r="BJ175" s="49"/>
      <c r="BK175" s="111" t="s">
        <v>3558</v>
      </c>
      <c r="BL175" s="111" t="s">
        <v>3558</v>
      </c>
      <c r="BM175" s="111" t="s">
        <v>4006</v>
      </c>
      <c r="BN175" s="111" t="s">
        <v>4006</v>
      </c>
      <c r="BO175" s="2"/>
      <c r="BP175" s="3"/>
      <c r="BQ175" s="3"/>
      <c r="BR175" s="3"/>
      <c r="BS175" s="3"/>
    </row>
    <row r="176" spans="1:71" ht="15">
      <c r="A176" s="65" t="s">
        <v>510</v>
      </c>
      <c r="B176" s="66"/>
      <c r="C176" s="66"/>
      <c r="D176" s="67">
        <v>150</v>
      </c>
      <c r="E176" s="69"/>
      <c r="F176" s="103" t="str">
        <f>HYPERLINK("https://yt3.ggpht.com/ytc/AKedOLTf0SebGz8-jllnTJ0DtrjlolVaSGoCLj9NYuYQlw=s88-c-k-c0x00ffffff-no-rj")</f>
        <v>https://yt3.ggpht.com/ytc/AKedOLTf0SebGz8-jllnTJ0DtrjlolVaSGoCLj9NYuYQlw=s88-c-k-c0x00ffffff-no-rj</v>
      </c>
      <c r="G176" s="66"/>
      <c r="H176" s="70" t="s">
        <v>1578</v>
      </c>
      <c r="I176" s="71"/>
      <c r="J176" s="71" t="s">
        <v>159</v>
      </c>
      <c r="K176" s="70" t="s">
        <v>1578</v>
      </c>
      <c r="L176" s="74">
        <v>1</v>
      </c>
      <c r="M176" s="75">
        <v>1778.6123046875</v>
      </c>
      <c r="N176" s="75">
        <v>4755.220703125</v>
      </c>
      <c r="O176" s="76"/>
      <c r="P176" s="77"/>
      <c r="Q176" s="77"/>
      <c r="R176" s="89"/>
      <c r="S176" s="49">
        <v>0</v>
      </c>
      <c r="T176" s="49">
        <v>1</v>
      </c>
      <c r="U176" s="50">
        <v>0</v>
      </c>
      <c r="V176" s="50">
        <v>0.478122</v>
      </c>
      <c r="W176" s="50">
        <v>0.03471</v>
      </c>
      <c r="X176" s="50">
        <v>0.001935</v>
      </c>
      <c r="Y176" s="50">
        <v>0</v>
      </c>
      <c r="Z176" s="50">
        <v>0</v>
      </c>
      <c r="AA176" s="72">
        <v>176</v>
      </c>
      <c r="AB176" s="72"/>
      <c r="AC176" s="73"/>
      <c r="AD176" s="80" t="s">
        <v>1578</v>
      </c>
      <c r="AE176" s="80"/>
      <c r="AF176" s="80"/>
      <c r="AG176" s="80"/>
      <c r="AH176" s="80"/>
      <c r="AI176" s="80"/>
      <c r="AJ176" s="87">
        <v>39732.14087962963</v>
      </c>
      <c r="AK176" s="85" t="str">
        <f>HYPERLINK("https://yt3.ggpht.com/ytc/AKedOLTf0SebGz8-jllnTJ0DtrjlolVaSGoCLj9NYuYQlw=s88-c-k-c0x00ffffff-no-rj")</f>
        <v>https://yt3.ggpht.com/ytc/AKedOLTf0SebGz8-jllnTJ0DtrjlolVaSGoCLj9NYuYQlw=s88-c-k-c0x00ffffff-no-rj</v>
      </c>
      <c r="AL176" s="80">
        <v>0</v>
      </c>
      <c r="AM176" s="80">
        <v>0</v>
      </c>
      <c r="AN176" s="80">
        <v>9</v>
      </c>
      <c r="AO176" s="80" t="b">
        <v>0</v>
      </c>
      <c r="AP176" s="80">
        <v>0</v>
      </c>
      <c r="AQ176" s="80"/>
      <c r="AR176" s="80"/>
      <c r="AS176" s="80" t="s">
        <v>2085</v>
      </c>
      <c r="AT176" s="85" t="str">
        <f>HYPERLINK("https://www.youtube.com/channel/UCxforQTLeBZwQGUVizmMdlw")</f>
        <v>https://www.youtube.com/channel/UCxforQTLeBZwQGUVizmMdlw</v>
      </c>
      <c r="AU176" s="80" t="str">
        <f>REPLACE(INDEX(GroupVertices[Group],MATCH(Vertices[[#This Row],[Vertex]],GroupVertices[Vertex],0)),1,1,"")</f>
        <v>1</v>
      </c>
      <c r="AV176" s="49">
        <v>1</v>
      </c>
      <c r="AW176" s="50">
        <v>4.166666666666667</v>
      </c>
      <c r="AX176" s="49">
        <v>0</v>
      </c>
      <c r="AY176" s="50">
        <v>0</v>
      </c>
      <c r="AZ176" s="49">
        <v>0</v>
      </c>
      <c r="BA176" s="50">
        <v>0</v>
      </c>
      <c r="BB176" s="49">
        <v>23</v>
      </c>
      <c r="BC176" s="50">
        <v>95.83333333333333</v>
      </c>
      <c r="BD176" s="49">
        <v>24</v>
      </c>
      <c r="BE176" s="49"/>
      <c r="BF176" s="49"/>
      <c r="BG176" s="49"/>
      <c r="BH176" s="49"/>
      <c r="BI176" s="49"/>
      <c r="BJ176" s="49"/>
      <c r="BK176" s="111" t="s">
        <v>3559</v>
      </c>
      <c r="BL176" s="111" t="s">
        <v>3559</v>
      </c>
      <c r="BM176" s="111" t="s">
        <v>4007</v>
      </c>
      <c r="BN176" s="111" t="s">
        <v>4007</v>
      </c>
      <c r="BO176" s="2"/>
      <c r="BP176" s="3"/>
      <c r="BQ176" s="3"/>
      <c r="BR176" s="3"/>
      <c r="BS176" s="3"/>
    </row>
    <row r="177" spans="1:71" ht="15">
      <c r="A177" s="65" t="s">
        <v>511</v>
      </c>
      <c r="B177" s="66"/>
      <c r="C177" s="66"/>
      <c r="D177" s="67">
        <v>150</v>
      </c>
      <c r="E177" s="69"/>
      <c r="F177" s="103" t="str">
        <f>HYPERLINK("https://yt3.ggpht.com/ytc/AKedOLSXf4NCcHoYXLl8TK3sMV_-v5skNl7dftVV7w=s88-c-k-c0x00ffffff-no-rj")</f>
        <v>https://yt3.ggpht.com/ytc/AKedOLSXf4NCcHoYXLl8TK3sMV_-v5skNl7dftVV7w=s88-c-k-c0x00ffffff-no-rj</v>
      </c>
      <c r="G177" s="66"/>
      <c r="H177" s="70" t="s">
        <v>1579</v>
      </c>
      <c r="I177" s="71"/>
      <c r="J177" s="71" t="s">
        <v>159</v>
      </c>
      <c r="K177" s="70" t="s">
        <v>1579</v>
      </c>
      <c r="L177" s="74">
        <v>1</v>
      </c>
      <c r="M177" s="75">
        <v>7962.03173828125</v>
      </c>
      <c r="N177" s="75">
        <v>5321.17578125</v>
      </c>
      <c r="O177" s="76"/>
      <c r="P177" s="77"/>
      <c r="Q177" s="77"/>
      <c r="R177" s="89"/>
      <c r="S177" s="49">
        <v>0</v>
      </c>
      <c r="T177" s="49">
        <v>1</v>
      </c>
      <c r="U177" s="50">
        <v>0</v>
      </c>
      <c r="V177" s="50">
        <v>0.478122</v>
      </c>
      <c r="W177" s="50">
        <v>0.03471</v>
      </c>
      <c r="X177" s="50">
        <v>0.001935</v>
      </c>
      <c r="Y177" s="50">
        <v>0</v>
      </c>
      <c r="Z177" s="50">
        <v>0</v>
      </c>
      <c r="AA177" s="72">
        <v>177</v>
      </c>
      <c r="AB177" s="72"/>
      <c r="AC177" s="73"/>
      <c r="AD177" s="80" t="s">
        <v>1579</v>
      </c>
      <c r="AE177" s="80"/>
      <c r="AF177" s="80"/>
      <c r="AG177" s="80"/>
      <c r="AH177" s="80"/>
      <c r="AI177" s="80"/>
      <c r="AJ177" s="87">
        <v>39087.69247685185</v>
      </c>
      <c r="AK177" s="85" t="str">
        <f>HYPERLINK("https://yt3.ggpht.com/ytc/AKedOLSXf4NCcHoYXLl8TK3sMV_-v5skNl7dftVV7w=s88-c-k-c0x00ffffff-no-rj")</f>
        <v>https://yt3.ggpht.com/ytc/AKedOLSXf4NCcHoYXLl8TK3sMV_-v5skNl7dftVV7w=s88-c-k-c0x00ffffff-no-rj</v>
      </c>
      <c r="AL177" s="80">
        <v>0</v>
      </c>
      <c r="AM177" s="80">
        <v>0</v>
      </c>
      <c r="AN177" s="80">
        <v>15</v>
      </c>
      <c r="AO177" s="80" t="b">
        <v>0</v>
      </c>
      <c r="AP177" s="80">
        <v>0</v>
      </c>
      <c r="AQ177" s="80"/>
      <c r="AR177" s="80"/>
      <c r="AS177" s="80" t="s">
        <v>2085</v>
      </c>
      <c r="AT177" s="85" t="str">
        <f>HYPERLINK("https://www.youtube.com/channel/UCqMOCWe5FJuOWG7nGV_zHNA")</f>
        <v>https://www.youtube.com/channel/UCqMOCWe5FJuOWG7nGV_zHNA</v>
      </c>
      <c r="AU177" s="80" t="str">
        <f>REPLACE(INDEX(GroupVertices[Group],MATCH(Vertices[[#This Row],[Vertex]],GroupVertices[Vertex],0)),1,1,"")</f>
        <v>1</v>
      </c>
      <c r="AV177" s="49">
        <v>2</v>
      </c>
      <c r="AW177" s="50">
        <v>9.523809523809524</v>
      </c>
      <c r="AX177" s="49">
        <v>1</v>
      </c>
      <c r="AY177" s="50">
        <v>4.761904761904762</v>
      </c>
      <c r="AZ177" s="49">
        <v>0</v>
      </c>
      <c r="BA177" s="50">
        <v>0</v>
      </c>
      <c r="BB177" s="49">
        <v>18</v>
      </c>
      <c r="BC177" s="50">
        <v>85.71428571428571</v>
      </c>
      <c r="BD177" s="49">
        <v>21</v>
      </c>
      <c r="BE177" s="49"/>
      <c r="BF177" s="49"/>
      <c r="BG177" s="49"/>
      <c r="BH177" s="49"/>
      <c r="BI177" s="49"/>
      <c r="BJ177" s="49"/>
      <c r="BK177" s="111" t="s">
        <v>3560</v>
      </c>
      <c r="BL177" s="111" t="s">
        <v>3560</v>
      </c>
      <c r="BM177" s="111" t="s">
        <v>4008</v>
      </c>
      <c r="BN177" s="111" t="s">
        <v>4008</v>
      </c>
      <c r="BO177" s="2"/>
      <c r="BP177" s="3"/>
      <c r="BQ177" s="3"/>
      <c r="BR177" s="3"/>
      <c r="BS177" s="3"/>
    </row>
    <row r="178" spans="1:71" ht="15">
      <c r="A178" s="65" t="s">
        <v>512</v>
      </c>
      <c r="B178" s="66"/>
      <c r="C178" s="66"/>
      <c r="D178" s="67">
        <v>150</v>
      </c>
      <c r="E178" s="69"/>
      <c r="F178" s="103" t="str">
        <f>HYPERLINK("https://yt3.ggpht.com/ytc/AKedOLS8FCu0Y400BH-3W5MLAlzall3Gl0jkSIY11A=s88-c-k-c0x00ffffff-no-rj")</f>
        <v>https://yt3.ggpht.com/ytc/AKedOLS8FCu0Y400BH-3W5MLAlzall3Gl0jkSIY11A=s88-c-k-c0x00ffffff-no-rj</v>
      </c>
      <c r="G178" s="66"/>
      <c r="H178" s="70" t="s">
        <v>1580</v>
      </c>
      <c r="I178" s="71"/>
      <c r="J178" s="71" t="s">
        <v>159</v>
      </c>
      <c r="K178" s="70" t="s">
        <v>1580</v>
      </c>
      <c r="L178" s="74">
        <v>1</v>
      </c>
      <c r="M178" s="75">
        <v>5962.6240234375</v>
      </c>
      <c r="N178" s="75">
        <v>709.76611328125</v>
      </c>
      <c r="O178" s="76"/>
      <c r="P178" s="77"/>
      <c r="Q178" s="77"/>
      <c r="R178" s="89"/>
      <c r="S178" s="49">
        <v>0</v>
      </c>
      <c r="T178" s="49">
        <v>1</v>
      </c>
      <c r="U178" s="50">
        <v>0</v>
      </c>
      <c r="V178" s="50">
        <v>0.478122</v>
      </c>
      <c r="W178" s="50">
        <v>0.03471</v>
      </c>
      <c r="X178" s="50">
        <v>0.001935</v>
      </c>
      <c r="Y178" s="50">
        <v>0</v>
      </c>
      <c r="Z178" s="50">
        <v>0</v>
      </c>
      <c r="AA178" s="72">
        <v>178</v>
      </c>
      <c r="AB178" s="72"/>
      <c r="AC178" s="73"/>
      <c r="AD178" s="80" t="s">
        <v>1580</v>
      </c>
      <c r="AE178" s="80" t="s">
        <v>1992</v>
      </c>
      <c r="AF178" s="80"/>
      <c r="AG178" s="80"/>
      <c r="AH178" s="80"/>
      <c r="AI178" s="80"/>
      <c r="AJ178" s="87">
        <v>40907.63490740741</v>
      </c>
      <c r="AK178" s="85" t="str">
        <f>HYPERLINK("https://yt3.ggpht.com/ytc/AKedOLS8FCu0Y400BH-3W5MLAlzall3Gl0jkSIY11A=s88-c-k-c0x00ffffff-no-rj")</f>
        <v>https://yt3.ggpht.com/ytc/AKedOLS8FCu0Y400BH-3W5MLAlzall3Gl0jkSIY11A=s88-c-k-c0x00ffffff-no-rj</v>
      </c>
      <c r="AL178" s="80">
        <v>0</v>
      </c>
      <c r="AM178" s="80">
        <v>0</v>
      </c>
      <c r="AN178" s="80">
        <v>1</v>
      </c>
      <c r="AO178" s="80" t="b">
        <v>0</v>
      </c>
      <c r="AP178" s="80">
        <v>0</v>
      </c>
      <c r="AQ178" s="80"/>
      <c r="AR178" s="80"/>
      <c r="AS178" s="80" t="s">
        <v>2085</v>
      </c>
      <c r="AT178" s="85" t="str">
        <f>HYPERLINK("https://www.youtube.com/channel/UCdO7bHPTw-f9g8hbi6mJEng")</f>
        <v>https://www.youtube.com/channel/UCdO7bHPTw-f9g8hbi6mJEng</v>
      </c>
      <c r="AU178" s="80" t="str">
        <f>REPLACE(INDEX(GroupVertices[Group],MATCH(Vertices[[#This Row],[Vertex]],GroupVertices[Vertex],0)),1,1,"")</f>
        <v>1</v>
      </c>
      <c r="AV178" s="49">
        <v>1</v>
      </c>
      <c r="AW178" s="50">
        <v>6.25</v>
      </c>
      <c r="AX178" s="49">
        <v>0</v>
      </c>
      <c r="AY178" s="50">
        <v>0</v>
      </c>
      <c r="AZ178" s="49">
        <v>0</v>
      </c>
      <c r="BA178" s="50">
        <v>0</v>
      </c>
      <c r="BB178" s="49">
        <v>15</v>
      </c>
      <c r="BC178" s="50">
        <v>93.75</v>
      </c>
      <c r="BD178" s="49">
        <v>16</v>
      </c>
      <c r="BE178" s="49"/>
      <c r="BF178" s="49"/>
      <c r="BG178" s="49"/>
      <c r="BH178" s="49"/>
      <c r="BI178" s="49"/>
      <c r="BJ178" s="49"/>
      <c r="BK178" s="111" t="s">
        <v>3561</v>
      </c>
      <c r="BL178" s="111" t="s">
        <v>3561</v>
      </c>
      <c r="BM178" s="111" t="s">
        <v>4009</v>
      </c>
      <c r="BN178" s="111" t="s">
        <v>4009</v>
      </c>
      <c r="BO178" s="2"/>
      <c r="BP178" s="3"/>
      <c r="BQ178" s="3"/>
      <c r="BR178" s="3"/>
      <c r="BS178" s="3"/>
    </row>
    <row r="179" spans="1:71" ht="15">
      <c r="A179" s="65" t="s">
        <v>513</v>
      </c>
      <c r="B179" s="66"/>
      <c r="C179" s="66"/>
      <c r="D179" s="67">
        <v>150</v>
      </c>
      <c r="E179" s="69"/>
      <c r="F179" s="103" t="str">
        <f>HYPERLINK("https://yt3.ggpht.com/ytc/AKedOLTvGE4L-sEgnPu-2xx1ZXIiAD_0Cpplps3tJ27B=s88-c-k-c0x00ffffff-no-rj")</f>
        <v>https://yt3.ggpht.com/ytc/AKedOLTvGE4L-sEgnPu-2xx1ZXIiAD_0Cpplps3tJ27B=s88-c-k-c0x00ffffff-no-rj</v>
      </c>
      <c r="G179" s="66"/>
      <c r="H179" s="70" t="s">
        <v>1581</v>
      </c>
      <c r="I179" s="71"/>
      <c r="J179" s="71" t="s">
        <v>159</v>
      </c>
      <c r="K179" s="70" t="s">
        <v>1581</v>
      </c>
      <c r="L179" s="74">
        <v>1</v>
      </c>
      <c r="M179" s="75">
        <v>7318.55908203125</v>
      </c>
      <c r="N179" s="75">
        <v>6718.88330078125</v>
      </c>
      <c r="O179" s="76"/>
      <c r="P179" s="77"/>
      <c r="Q179" s="77"/>
      <c r="R179" s="89"/>
      <c r="S179" s="49">
        <v>0</v>
      </c>
      <c r="T179" s="49">
        <v>1</v>
      </c>
      <c r="U179" s="50">
        <v>0</v>
      </c>
      <c r="V179" s="50">
        <v>0.478122</v>
      </c>
      <c r="W179" s="50">
        <v>0.03471</v>
      </c>
      <c r="X179" s="50">
        <v>0.001935</v>
      </c>
      <c r="Y179" s="50">
        <v>0</v>
      </c>
      <c r="Z179" s="50">
        <v>0</v>
      </c>
      <c r="AA179" s="72">
        <v>179</v>
      </c>
      <c r="AB179" s="72"/>
      <c r="AC179" s="73"/>
      <c r="AD179" s="80" t="s">
        <v>1581</v>
      </c>
      <c r="AE179" s="80"/>
      <c r="AF179" s="80"/>
      <c r="AG179" s="80"/>
      <c r="AH179" s="80"/>
      <c r="AI179" s="80"/>
      <c r="AJ179" s="87">
        <v>39599.932280092595</v>
      </c>
      <c r="AK179" s="85" t="str">
        <f>HYPERLINK("https://yt3.ggpht.com/ytc/AKedOLTvGE4L-sEgnPu-2xx1ZXIiAD_0Cpplps3tJ27B=s88-c-k-c0x00ffffff-no-rj")</f>
        <v>https://yt3.ggpht.com/ytc/AKedOLTvGE4L-sEgnPu-2xx1ZXIiAD_0Cpplps3tJ27B=s88-c-k-c0x00ffffff-no-rj</v>
      </c>
      <c r="AL179" s="80">
        <v>6385</v>
      </c>
      <c r="AM179" s="80">
        <v>0</v>
      </c>
      <c r="AN179" s="80">
        <v>29</v>
      </c>
      <c r="AO179" s="80" t="b">
        <v>0</v>
      </c>
      <c r="AP179" s="80">
        <v>14</v>
      </c>
      <c r="AQ179" s="80"/>
      <c r="AR179" s="80"/>
      <c r="AS179" s="80" t="s">
        <v>2085</v>
      </c>
      <c r="AT179" s="85" t="str">
        <f>HYPERLINK("https://www.youtube.com/channel/UCamt6KFmOtyQeoABot6jhmw")</f>
        <v>https://www.youtube.com/channel/UCamt6KFmOtyQeoABot6jhmw</v>
      </c>
      <c r="AU179" s="80" t="str">
        <f>REPLACE(INDEX(GroupVertices[Group],MATCH(Vertices[[#This Row],[Vertex]],GroupVertices[Vertex],0)),1,1,"")</f>
        <v>1</v>
      </c>
      <c r="AV179" s="49">
        <v>0</v>
      </c>
      <c r="AW179" s="50">
        <v>0</v>
      </c>
      <c r="AX179" s="49">
        <v>0</v>
      </c>
      <c r="AY179" s="50">
        <v>0</v>
      </c>
      <c r="AZ179" s="49">
        <v>0</v>
      </c>
      <c r="BA179" s="50">
        <v>0</v>
      </c>
      <c r="BB179" s="49">
        <v>6</v>
      </c>
      <c r="BC179" s="50">
        <v>100</v>
      </c>
      <c r="BD179" s="49">
        <v>6</v>
      </c>
      <c r="BE179" s="49"/>
      <c r="BF179" s="49"/>
      <c r="BG179" s="49"/>
      <c r="BH179" s="49"/>
      <c r="BI179" s="49"/>
      <c r="BJ179" s="49"/>
      <c r="BK179" s="111" t="s">
        <v>3562</v>
      </c>
      <c r="BL179" s="111" t="s">
        <v>3562</v>
      </c>
      <c r="BM179" s="111" t="s">
        <v>4010</v>
      </c>
      <c r="BN179" s="111" t="s">
        <v>4010</v>
      </c>
      <c r="BO179" s="2"/>
      <c r="BP179" s="3"/>
      <c r="BQ179" s="3"/>
      <c r="BR179" s="3"/>
      <c r="BS179" s="3"/>
    </row>
    <row r="180" spans="1:71" ht="15">
      <c r="A180" s="65" t="s">
        <v>514</v>
      </c>
      <c r="B180" s="66"/>
      <c r="C180" s="66"/>
      <c r="D180" s="67">
        <v>150</v>
      </c>
      <c r="E180" s="69"/>
      <c r="F180" s="103" t="str">
        <f>HYPERLINK("https://yt3.ggpht.com/ytc/AKedOLSV4TuT9eZIFccDtjFTQO7n4urhvxA1w3EPBA=s88-c-k-c0x00ffffff-no-rj")</f>
        <v>https://yt3.ggpht.com/ytc/AKedOLSV4TuT9eZIFccDtjFTQO7n4urhvxA1w3EPBA=s88-c-k-c0x00ffffff-no-rj</v>
      </c>
      <c r="G180" s="66"/>
      <c r="H180" s="70" t="s">
        <v>1582</v>
      </c>
      <c r="I180" s="71"/>
      <c r="J180" s="71" t="s">
        <v>159</v>
      </c>
      <c r="K180" s="70" t="s">
        <v>1582</v>
      </c>
      <c r="L180" s="74">
        <v>1</v>
      </c>
      <c r="M180" s="75">
        <v>7896.64404296875</v>
      </c>
      <c r="N180" s="75">
        <v>4515.98974609375</v>
      </c>
      <c r="O180" s="76"/>
      <c r="P180" s="77"/>
      <c r="Q180" s="77"/>
      <c r="R180" s="89"/>
      <c r="S180" s="49">
        <v>0</v>
      </c>
      <c r="T180" s="49">
        <v>1</v>
      </c>
      <c r="U180" s="50">
        <v>0</v>
      </c>
      <c r="V180" s="50">
        <v>0.478122</v>
      </c>
      <c r="W180" s="50">
        <v>0.03471</v>
      </c>
      <c r="X180" s="50">
        <v>0.001935</v>
      </c>
      <c r="Y180" s="50">
        <v>0</v>
      </c>
      <c r="Z180" s="50">
        <v>0</v>
      </c>
      <c r="AA180" s="72">
        <v>180</v>
      </c>
      <c r="AB180" s="72"/>
      <c r="AC180" s="73"/>
      <c r="AD180" s="80" t="s">
        <v>1582</v>
      </c>
      <c r="AE180" s="80"/>
      <c r="AF180" s="80"/>
      <c r="AG180" s="80"/>
      <c r="AH180" s="80"/>
      <c r="AI180" s="80"/>
      <c r="AJ180" s="87">
        <v>39485.902291666665</v>
      </c>
      <c r="AK180" s="85" t="str">
        <f>HYPERLINK("https://yt3.ggpht.com/ytc/AKedOLSV4TuT9eZIFccDtjFTQO7n4urhvxA1w3EPBA=s88-c-k-c0x00ffffff-no-rj")</f>
        <v>https://yt3.ggpht.com/ytc/AKedOLSV4TuT9eZIFccDtjFTQO7n4urhvxA1w3EPBA=s88-c-k-c0x00ffffff-no-rj</v>
      </c>
      <c r="AL180" s="80">
        <v>0</v>
      </c>
      <c r="AM180" s="80">
        <v>0</v>
      </c>
      <c r="AN180" s="80">
        <v>7</v>
      </c>
      <c r="AO180" s="80" t="b">
        <v>0</v>
      </c>
      <c r="AP180" s="80">
        <v>0</v>
      </c>
      <c r="AQ180" s="80"/>
      <c r="AR180" s="80"/>
      <c r="AS180" s="80" t="s">
        <v>2085</v>
      </c>
      <c r="AT180" s="85" t="str">
        <f>HYPERLINK("https://www.youtube.com/channel/UCJA6Cp11bAsXROb2dD8agaw")</f>
        <v>https://www.youtube.com/channel/UCJA6Cp11bAsXROb2dD8agaw</v>
      </c>
      <c r="AU180" s="80" t="str">
        <f>REPLACE(INDEX(GroupVertices[Group],MATCH(Vertices[[#This Row],[Vertex]],GroupVertices[Vertex],0)),1,1,"")</f>
        <v>1</v>
      </c>
      <c r="AV180" s="49">
        <v>2</v>
      </c>
      <c r="AW180" s="50">
        <v>3.508771929824561</v>
      </c>
      <c r="AX180" s="49">
        <v>2</v>
      </c>
      <c r="AY180" s="50">
        <v>3.508771929824561</v>
      </c>
      <c r="AZ180" s="49">
        <v>0</v>
      </c>
      <c r="BA180" s="50">
        <v>0</v>
      </c>
      <c r="BB180" s="49">
        <v>53</v>
      </c>
      <c r="BC180" s="50">
        <v>92.98245614035088</v>
      </c>
      <c r="BD180" s="49">
        <v>57</v>
      </c>
      <c r="BE180" s="49"/>
      <c r="BF180" s="49"/>
      <c r="BG180" s="49"/>
      <c r="BH180" s="49"/>
      <c r="BI180" s="49"/>
      <c r="BJ180" s="49"/>
      <c r="BK180" s="111" t="s">
        <v>3563</v>
      </c>
      <c r="BL180" s="111" t="s">
        <v>3563</v>
      </c>
      <c r="BM180" s="111" t="s">
        <v>4011</v>
      </c>
      <c r="BN180" s="111" t="s">
        <v>4011</v>
      </c>
      <c r="BO180" s="2"/>
      <c r="BP180" s="3"/>
      <c r="BQ180" s="3"/>
      <c r="BR180" s="3"/>
      <c r="BS180" s="3"/>
    </row>
    <row r="181" spans="1:71" ht="15">
      <c r="A181" s="65" t="s">
        <v>515</v>
      </c>
      <c r="B181" s="66"/>
      <c r="C181" s="66"/>
      <c r="D181" s="67">
        <v>150</v>
      </c>
      <c r="E181" s="69"/>
      <c r="F181" s="103" t="str">
        <f>HYPERLINK("https://yt3.ggpht.com/ytc/AKedOLQda4yLFqokSMqY-zG3uJyuMqzSuFT4hSE1WoMO=s88-c-k-c0x00ffffff-no-rj")</f>
        <v>https://yt3.ggpht.com/ytc/AKedOLQda4yLFqokSMqY-zG3uJyuMqzSuFT4hSE1WoMO=s88-c-k-c0x00ffffff-no-rj</v>
      </c>
      <c r="G181" s="66"/>
      <c r="H181" s="70" t="s">
        <v>1583</v>
      </c>
      <c r="I181" s="71"/>
      <c r="J181" s="71" t="s">
        <v>159</v>
      </c>
      <c r="K181" s="70" t="s">
        <v>1583</v>
      </c>
      <c r="L181" s="74">
        <v>1</v>
      </c>
      <c r="M181" s="75">
        <v>3350.976318359375</v>
      </c>
      <c r="N181" s="75">
        <v>8651.0556640625</v>
      </c>
      <c r="O181" s="76"/>
      <c r="P181" s="77"/>
      <c r="Q181" s="77"/>
      <c r="R181" s="89"/>
      <c r="S181" s="49">
        <v>0</v>
      </c>
      <c r="T181" s="49">
        <v>1</v>
      </c>
      <c r="U181" s="50">
        <v>0</v>
      </c>
      <c r="V181" s="50">
        <v>0.478122</v>
      </c>
      <c r="W181" s="50">
        <v>0.03471</v>
      </c>
      <c r="X181" s="50">
        <v>0.001935</v>
      </c>
      <c r="Y181" s="50">
        <v>0</v>
      </c>
      <c r="Z181" s="50">
        <v>0</v>
      </c>
      <c r="AA181" s="72">
        <v>181</v>
      </c>
      <c r="AB181" s="72"/>
      <c r="AC181" s="73"/>
      <c r="AD181" s="80" t="s">
        <v>1583</v>
      </c>
      <c r="AE181" s="80"/>
      <c r="AF181" s="80"/>
      <c r="AG181" s="80"/>
      <c r="AH181" s="80"/>
      <c r="AI181" s="80"/>
      <c r="AJ181" s="87">
        <v>39345.91023148148</v>
      </c>
      <c r="AK181" s="85" t="str">
        <f>HYPERLINK("https://yt3.ggpht.com/ytc/AKedOLQda4yLFqokSMqY-zG3uJyuMqzSuFT4hSE1WoMO=s88-c-k-c0x00ffffff-no-rj")</f>
        <v>https://yt3.ggpht.com/ytc/AKedOLQda4yLFqokSMqY-zG3uJyuMqzSuFT4hSE1WoMO=s88-c-k-c0x00ffffff-no-rj</v>
      </c>
      <c r="AL181" s="80">
        <v>0</v>
      </c>
      <c r="AM181" s="80">
        <v>0</v>
      </c>
      <c r="AN181" s="80">
        <v>2</v>
      </c>
      <c r="AO181" s="80" t="b">
        <v>0</v>
      </c>
      <c r="AP181" s="80">
        <v>0</v>
      </c>
      <c r="AQ181" s="80"/>
      <c r="AR181" s="80"/>
      <c r="AS181" s="80" t="s">
        <v>2085</v>
      </c>
      <c r="AT181" s="85" t="str">
        <f>HYPERLINK("https://www.youtube.com/channel/UCESfrA_alxVgB3S1A61EDJA")</f>
        <v>https://www.youtube.com/channel/UCESfrA_alxVgB3S1A61EDJA</v>
      </c>
      <c r="AU181" s="80" t="str">
        <f>REPLACE(INDEX(GroupVertices[Group],MATCH(Vertices[[#This Row],[Vertex]],GroupVertices[Vertex],0)),1,1,"")</f>
        <v>1</v>
      </c>
      <c r="AV181" s="49">
        <v>0</v>
      </c>
      <c r="AW181" s="50">
        <v>0</v>
      </c>
      <c r="AX181" s="49">
        <v>4</v>
      </c>
      <c r="AY181" s="50">
        <v>4.651162790697675</v>
      </c>
      <c r="AZ181" s="49">
        <v>0</v>
      </c>
      <c r="BA181" s="50">
        <v>0</v>
      </c>
      <c r="BB181" s="49">
        <v>82</v>
      </c>
      <c r="BC181" s="50">
        <v>95.34883720930233</v>
      </c>
      <c r="BD181" s="49">
        <v>86</v>
      </c>
      <c r="BE181" s="49"/>
      <c r="BF181" s="49"/>
      <c r="BG181" s="49"/>
      <c r="BH181" s="49"/>
      <c r="BI181" s="49"/>
      <c r="BJ181" s="49"/>
      <c r="BK181" s="111" t="s">
        <v>3564</v>
      </c>
      <c r="BL181" s="111" t="s">
        <v>3564</v>
      </c>
      <c r="BM181" s="111" t="s">
        <v>4012</v>
      </c>
      <c r="BN181" s="111" t="s">
        <v>4012</v>
      </c>
      <c r="BO181" s="2"/>
      <c r="BP181" s="3"/>
      <c r="BQ181" s="3"/>
      <c r="BR181" s="3"/>
      <c r="BS181" s="3"/>
    </row>
    <row r="182" spans="1:71" ht="15">
      <c r="A182" s="65" t="s">
        <v>516</v>
      </c>
      <c r="B182" s="66"/>
      <c r="C182" s="66"/>
      <c r="D182" s="67">
        <v>150</v>
      </c>
      <c r="E182" s="69"/>
      <c r="F182" s="103" t="str">
        <f>HYPERLINK("https://yt3.ggpht.com/ytc/AKedOLQtCEb9XqCZgrqqLvdzE_DBT_xzhKilaaa3Z8vS3g=s88-c-k-c0x00ffffff-no-rj")</f>
        <v>https://yt3.ggpht.com/ytc/AKedOLQtCEb9XqCZgrqqLvdzE_DBT_xzhKilaaa3Z8vS3g=s88-c-k-c0x00ffffff-no-rj</v>
      </c>
      <c r="G182" s="66"/>
      <c r="H182" s="70" t="s">
        <v>1584</v>
      </c>
      <c r="I182" s="71"/>
      <c r="J182" s="71" t="s">
        <v>159</v>
      </c>
      <c r="K182" s="70" t="s">
        <v>1584</v>
      </c>
      <c r="L182" s="74">
        <v>1</v>
      </c>
      <c r="M182" s="75">
        <v>3893.00732421875</v>
      </c>
      <c r="N182" s="75">
        <v>4281.8662109375</v>
      </c>
      <c r="O182" s="76"/>
      <c r="P182" s="77"/>
      <c r="Q182" s="77"/>
      <c r="R182" s="89"/>
      <c r="S182" s="49">
        <v>0</v>
      </c>
      <c r="T182" s="49">
        <v>1</v>
      </c>
      <c r="U182" s="50">
        <v>0</v>
      </c>
      <c r="V182" s="50">
        <v>0.478122</v>
      </c>
      <c r="W182" s="50">
        <v>0.03471</v>
      </c>
      <c r="X182" s="50">
        <v>0.001935</v>
      </c>
      <c r="Y182" s="50">
        <v>0</v>
      </c>
      <c r="Z182" s="50">
        <v>0</v>
      </c>
      <c r="AA182" s="72">
        <v>182</v>
      </c>
      <c r="AB182" s="72"/>
      <c r="AC182" s="73"/>
      <c r="AD182" s="80" t="s">
        <v>1584</v>
      </c>
      <c r="AE182" s="80" t="s">
        <v>1993</v>
      </c>
      <c r="AF182" s="80"/>
      <c r="AG182" s="80"/>
      <c r="AH182" s="80"/>
      <c r="AI182" s="80"/>
      <c r="AJ182" s="87">
        <v>39304.350023148145</v>
      </c>
      <c r="AK182" s="85" t="str">
        <f>HYPERLINK("https://yt3.ggpht.com/ytc/AKedOLQtCEb9XqCZgrqqLvdzE_DBT_xzhKilaaa3Z8vS3g=s88-c-k-c0x00ffffff-no-rj")</f>
        <v>https://yt3.ggpht.com/ytc/AKedOLQtCEb9XqCZgrqqLvdzE_DBT_xzhKilaaa3Z8vS3g=s88-c-k-c0x00ffffff-no-rj</v>
      </c>
      <c r="AL182" s="80">
        <v>0</v>
      </c>
      <c r="AM182" s="80">
        <v>0</v>
      </c>
      <c r="AN182" s="80">
        <v>23</v>
      </c>
      <c r="AO182" s="80" t="b">
        <v>0</v>
      </c>
      <c r="AP182" s="80">
        <v>0</v>
      </c>
      <c r="AQ182" s="80"/>
      <c r="AR182" s="80"/>
      <c r="AS182" s="80" t="s">
        <v>2085</v>
      </c>
      <c r="AT182" s="85" t="str">
        <f>HYPERLINK("https://www.youtube.com/channel/UCHNGz4l_JA44TOJduYuJ9lg")</f>
        <v>https://www.youtube.com/channel/UCHNGz4l_JA44TOJduYuJ9lg</v>
      </c>
      <c r="AU182" s="80" t="str">
        <f>REPLACE(INDEX(GroupVertices[Group],MATCH(Vertices[[#This Row],[Vertex]],GroupVertices[Vertex],0)),1,1,"")</f>
        <v>1</v>
      </c>
      <c r="AV182" s="49">
        <v>4</v>
      </c>
      <c r="AW182" s="50">
        <v>4.878048780487805</v>
      </c>
      <c r="AX182" s="49">
        <v>1</v>
      </c>
      <c r="AY182" s="50">
        <v>1.2195121951219512</v>
      </c>
      <c r="AZ182" s="49">
        <v>0</v>
      </c>
      <c r="BA182" s="50">
        <v>0</v>
      </c>
      <c r="BB182" s="49">
        <v>77</v>
      </c>
      <c r="BC182" s="50">
        <v>93.90243902439025</v>
      </c>
      <c r="BD182" s="49">
        <v>82</v>
      </c>
      <c r="BE182" s="49"/>
      <c r="BF182" s="49"/>
      <c r="BG182" s="49"/>
      <c r="BH182" s="49"/>
      <c r="BI182" s="49"/>
      <c r="BJ182" s="49"/>
      <c r="BK182" s="111" t="s">
        <v>3565</v>
      </c>
      <c r="BL182" s="111" t="s">
        <v>3565</v>
      </c>
      <c r="BM182" s="111" t="s">
        <v>4013</v>
      </c>
      <c r="BN182" s="111" t="s">
        <v>4013</v>
      </c>
      <c r="BO182" s="2"/>
      <c r="BP182" s="3"/>
      <c r="BQ182" s="3"/>
      <c r="BR182" s="3"/>
      <c r="BS182" s="3"/>
    </row>
    <row r="183" spans="1:71" ht="15">
      <c r="A183" s="65" t="s">
        <v>517</v>
      </c>
      <c r="B183" s="66"/>
      <c r="C183" s="66"/>
      <c r="D183" s="67">
        <v>150</v>
      </c>
      <c r="E183" s="69"/>
      <c r="F183" s="103" t="str">
        <f>HYPERLINK("https://yt3.ggpht.com/ytc/AKedOLQL4B1oQgW4FZsmMQsKYsfK1lP7lyt8e7nq-pFe=s88-c-k-c0x00ffffff-no-rj")</f>
        <v>https://yt3.ggpht.com/ytc/AKedOLQL4B1oQgW4FZsmMQsKYsfK1lP7lyt8e7nq-pFe=s88-c-k-c0x00ffffff-no-rj</v>
      </c>
      <c r="G183" s="66"/>
      <c r="H183" s="70" t="s">
        <v>1585</v>
      </c>
      <c r="I183" s="71"/>
      <c r="J183" s="71" t="s">
        <v>159</v>
      </c>
      <c r="K183" s="70" t="s">
        <v>1585</v>
      </c>
      <c r="L183" s="74">
        <v>1</v>
      </c>
      <c r="M183" s="75">
        <v>6321.94091796875</v>
      </c>
      <c r="N183" s="75">
        <v>5915.97021484375</v>
      </c>
      <c r="O183" s="76"/>
      <c r="P183" s="77"/>
      <c r="Q183" s="77"/>
      <c r="R183" s="89"/>
      <c r="S183" s="49">
        <v>0</v>
      </c>
      <c r="T183" s="49">
        <v>1</v>
      </c>
      <c r="U183" s="50">
        <v>0</v>
      </c>
      <c r="V183" s="50">
        <v>0.478122</v>
      </c>
      <c r="W183" s="50">
        <v>0.03471</v>
      </c>
      <c r="X183" s="50">
        <v>0.001935</v>
      </c>
      <c r="Y183" s="50">
        <v>0</v>
      </c>
      <c r="Z183" s="50">
        <v>0</v>
      </c>
      <c r="AA183" s="72">
        <v>183</v>
      </c>
      <c r="AB183" s="72"/>
      <c r="AC183" s="73"/>
      <c r="AD183" s="80" t="s">
        <v>1585</v>
      </c>
      <c r="AE183" s="80" t="s">
        <v>1994</v>
      </c>
      <c r="AF183" s="80"/>
      <c r="AG183" s="80"/>
      <c r="AH183" s="80"/>
      <c r="AI183" s="80"/>
      <c r="AJ183" s="87">
        <v>39577.10087962963</v>
      </c>
      <c r="AK183" s="85" t="str">
        <f>HYPERLINK("https://yt3.ggpht.com/ytc/AKedOLQL4B1oQgW4FZsmMQsKYsfK1lP7lyt8e7nq-pFe=s88-c-k-c0x00ffffff-no-rj")</f>
        <v>https://yt3.ggpht.com/ytc/AKedOLQL4B1oQgW4FZsmMQsKYsfK1lP7lyt8e7nq-pFe=s88-c-k-c0x00ffffff-no-rj</v>
      </c>
      <c r="AL183" s="80">
        <v>1534</v>
      </c>
      <c r="AM183" s="80">
        <v>0</v>
      </c>
      <c r="AN183" s="80">
        <v>27</v>
      </c>
      <c r="AO183" s="80" t="b">
        <v>0</v>
      </c>
      <c r="AP183" s="80">
        <v>15</v>
      </c>
      <c r="AQ183" s="80"/>
      <c r="AR183" s="80"/>
      <c r="AS183" s="80" t="s">
        <v>2085</v>
      </c>
      <c r="AT183" s="85" t="str">
        <f>HYPERLINK("https://www.youtube.com/channel/UC7WD2Hjo54tWO1Q54AQOIqA")</f>
        <v>https://www.youtube.com/channel/UC7WD2Hjo54tWO1Q54AQOIqA</v>
      </c>
      <c r="AU183" s="80" t="str">
        <f>REPLACE(INDEX(GroupVertices[Group],MATCH(Vertices[[#This Row],[Vertex]],GroupVertices[Vertex],0)),1,1,"")</f>
        <v>1</v>
      </c>
      <c r="AV183" s="49">
        <v>0</v>
      </c>
      <c r="AW183" s="50">
        <v>0</v>
      </c>
      <c r="AX183" s="49">
        <v>0</v>
      </c>
      <c r="AY183" s="50">
        <v>0</v>
      </c>
      <c r="AZ183" s="49">
        <v>0</v>
      </c>
      <c r="BA183" s="50">
        <v>0</v>
      </c>
      <c r="BB183" s="49">
        <v>6</v>
      </c>
      <c r="BC183" s="50">
        <v>100</v>
      </c>
      <c r="BD183" s="49">
        <v>6</v>
      </c>
      <c r="BE183" s="49"/>
      <c r="BF183" s="49"/>
      <c r="BG183" s="49"/>
      <c r="BH183" s="49"/>
      <c r="BI183" s="49"/>
      <c r="BJ183" s="49"/>
      <c r="BK183" s="111" t="s">
        <v>3566</v>
      </c>
      <c r="BL183" s="111" t="s">
        <v>3566</v>
      </c>
      <c r="BM183" s="111" t="s">
        <v>4014</v>
      </c>
      <c r="BN183" s="111" t="s">
        <v>4014</v>
      </c>
      <c r="BO183" s="2"/>
      <c r="BP183" s="3"/>
      <c r="BQ183" s="3"/>
      <c r="BR183" s="3"/>
      <c r="BS183" s="3"/>
    </row>
    <row r="184" spans="1:71" ht="15">
      <c r="A184" s="65" t="s">
        <v>518</v>
      </c>
      <c r="B184" s="66"/>
      <c r="C184" s="66"/>
      <c r="D184" s="67">
        <v>150</v>
      </c>
      <c r="E184" s="69"/>
      <c r="F184" s="103" t="str">
        <f>HYPERLINK("https://yt3.ggpht.com/ytc/AKedOLTsx2C0jWMBQf-Zd9S69H_3WAYkj6UwbfpigzBf=s88-c-k-c0x00ffffff-no-rj")</f>
        <v>https://yt3.ggpht.com/ytc/AKedOLTsx2C0jWMBQf-Zd9S69H_3WAYkj6UwbfpigzBf=s88-c-k-c0x00ffffff-no-rj</v>
      </c>
      <c r="G184" s="66"/>
      <c r="H184" s="70" t="s">
        <v>1586</v>
      </c>
      <c r="I184" s="71"/>
      <c r="J184" s="71" t="s">
        <v>159</v>
      </c>
      <c r="K184" s="70" t="s">
        <v>1586</v>
      </c>
      <c r="L184" s="74">
        <v>1</v>
      </c>
      <c r="M184" s="75">
        <v>3122.1494140625</v>
      </c>
      <c r="N184" s="75">
        <v>7050.78173828125</v>
      </c>
      <c r="O184" s="76"/>
      <c r="P184" s="77"/>
      <c r="Q184" s="77"/>
      <c r="R184" s="89"/>
      <c r="S184" s="49">
        <v>0</v>
      </c>
      <c r="T184" s="49">
        <v>1</v>
      </c>
      <c r="U184" s="50">
        <v>0</v>
      </c>
      <c r="V184" s="50">
        <v>0.478122</v>
      </c>
      <c r="W184" s="50">
        <v>0.03471</v>
      </c>
      <c r="X184" s="50">
        <v>0.001935</v>
      </c>
      <c r="Y184" s="50">
        <v>0</v>
      </c>
      <c r="Z184" s="50">
        <v>0</v>
      </c>
      <c r="AA184" s="72">
        <v>184</v>
      </c>
      <c r="AB184" s="72"/>
      <c r="AC184" s="73"/>
      <c r="AD184" s="80" t="s">
        <v>1586</v>
      </c>
      <c r="AE184" s="80"/>
      <c r="AF184" s="80"/>
      <c r="AG184" s="80"/>
      <c r="AH184" s="80"/>
      <c r="AI184" s="80"/>
      <c r="AJ184" s="87">
        <v>39176.47388888889</v>
      </c>
      <c r="AK184" s="85" t="str">
        <f>HYPERLINK("https://yt3.ggpht.com/ytc/AKedOLTsx2C0jWMBQf-Zd9S69H_3WAYkj6UwbfpigzBf=s88-c-k-c0x00ffffff-no-rj")</f>
        <v>https://yt3.ggpht.com/ytc/AKedOLTsx2C0jWMBQf-Zd9S69H_3WAYkj6UwbfpigzBf=s88-c-k-c0x00ffffff-no-rj</v>
      </c>
      <c r="AL184" s="80">
        <v>0</v>
      </c>
      <c r="AM184" s="80">
        <v>0</v>
      </c>
      <c r="AN184" s="80">
        <v>10</v>
      </c>
      <c r="AO184" s="80" t="b">
        <v>0</v>
      </c>
      <c r="AP184" s="80">
        <v>0</v>
      </c>
      <c r="AQ184" s="80"/>
      <c r="AR184" s="80"/>
      <c r="AS184" s="80" t="s">
        <v>2085</v>
      </c>
      <c r="AT184" s="85" t="str">
        <f>HYPERLINK("https://www.youtube.com/channel/UC6aP3JCxOS44aMz4KSlvCyg")</f>
        <v>https://www.youtube.com/channel/UC6aP3JCxOS44aMz4KSlvCyg</v>
      </c>
      <c r="AU184" s="80" t="str">
        <f>REPLACE(INDEX(GroupVertices[Group],MATCH(Vertices[[#This Row],[Vertex]],GroupVertices[Vertex],0)),1,1,"")</f>
        <v>1</v>
      </c>
      <c r="AV184" s="49">
        <v>2</v>
      </c>
      <c r="AW184" s="50">
        <v>10</v>
      </c>
      <c r="AX184" s="49">
        <v>1</v>
      </c>
      <c r="AY184" s="50">
        <v>5</v>
      </c>
      <c r="AZ184" s="49">
        <v>0</v>
      </c>
      <c r="BA184" s="50">
        <v>0</v>
      </c>
      <c r="BB184" s="49">
        <v>17</v>
      </c>
      <c r="BC184" s="50">
        <v>85</v>
      </c>
      <c r="BD184" s="49">
        <v>20</v>
      </c>
      <c r="BE184" s="49"/>
      <c r="BF184" s="49"/>
      <c r="BG184" s="49"/>
      <c r="BH184" s="49"/>
      <c r="BI184" s="49"/>
      <c r="BJ184" s="49"/>
      <c r="BK184" s="111" t="s">
        <v>3567</v>
      </c>
      <c r="BL184" s="111" t="s">
        <v>3567</v>
      </c>
      <c r="BM184" s="111" t="s">
        <v>4015</v>
      </c>
      <c r="BN184" s="111" t="s">
        <v>4015</v>
      </c>
      <c r="BO184" s="2"/>
      <c r="BP184" s="3"/>
      <c r="BQ184" s="3"/>
      <c r="BR184" s="3"/>
      <c r="BS184" s="3"/>
    </row>
    <row r="185" spans="1:71" ht="15">
      <c r="A185" s="65" t="s">
        <v>519</v>
      </c>
      <c r="B185" s="66"/>
      <c r="C185" s="66"/>
      <c r="D185" s="67">
        <v>150</v>
      </c>
      <c r="E185" s="69"/>
      <c r="F185" s="103" t="str">
        <f>HYPERLINK("https://yt3.ggpht.com/ytc/AKedOLR1iQTAE8L9U94sMMnZ1BfHQ3K3v4fu5LfEw4Bv=s88-c-k-c0x00ffffff-no-rj")</f>
        <v>https://yt3.ggpht.com/ytc/AKedOLR1iQTAE8L9U94sMMnZ1BfHQ3K3v4fu5LfEw4Bv=s88-c-k-c0x00ffffff-no-rj</v>
      </c>
      <c r="G185" s="66"/>
      <c r="H185" s="70" t="s">
        <v>1587</v>
      </c>
      <c r="I185" s="71"/>
      <c r="J185" s="71" t="s">
        <v>159</v>
      </c>
      <c r="K185" s="70" t="s">
        <v>1587</v>
      </c>
      <c r="L185" s="74">
        <v>1</v>
      </c>
      <c r="M185" s="75">
        <v>3925.411376953125</v>
      </c>
      <c r="N185" s="75">
        <v>669.9598999023438</v>
      </c>
      <c r="O185" s="76"/>
      <c r="P185" s="77"/>
      <c r="Q185" s="77"/>
      <c r="R185" s="89"/>
      <c r="S185" s="49">
        <v>0</v>
      </c>
      <c r="T185" s="49">
        <v>1</v>
      </c>
      <c r="U185" s="50">
        <v>0</v>
      </c>
      <c r="V185" s="50">
        <v>0.478122</v>
      </c>
      <c r="W185" s="50">
        <v>0.03471</v>
      </c>
      <c r="X185" s="50">
        <v>0.001935</v>
      </c>
      <c r="Y185" s="50">
        <v>0</v>
      </c>
      <c r="Z185" s="50">
        <v>0</v>
      </c>
      <c r="AA185" s="72">
        <v>185</v>
      </c>
      <c r="AB185" s="72"/>
      <c r="AC185" s="73"/>
      <c r="AD185" s="80" t="s">
        <v>1587</v>
      </c>
      <c r="AE185" s="80"/>
      <c r="AF185" s="80"/>
      <c r="AG185" s="80"/>
      <c r="AH185" s="80"/>
      <c r="AI185" s="80"/>
      <c r="AJ185" s="87">
        <v>40507.02704861111</v>
      </c>
      <c r="AK185" s="85" t="str">
        <f>HYPERLINK("https://yt3.ggpht.com/ytc/AKedOLR1iQTAE8L9U94sMMnZ1BfHQ3K3v4fu5LfEw4Bv=s88-c-k-c0x00ffffff-no-rj")</f>
        <v>https://yt3.ggpht.com/ytc/AKedOLR1iQTAE8L9U94sMMnZ1BfHQ3K3v4fu5LfEw4Bv=s88-c-k-c0x00ffffff-no-rj</v>
      </c>
      <c r="AL185" s="80">
        <v>13946641</v>
      </c>
      <c r="AM185" s="80">
        <v>0</v>
      </c>
      <c r="AN185" s="80">
        <v>3110</v>
      </c>
      <c r="AO185" s="80" t="b">
        <v>0</v>
      </c>
      <c r="AP185" s="80">
        <v>24</v>
      </c>
      <c r="AQ185" s="80"/>
      <c r="AR185" s="80"/>
      <c r="AS185" s="80" t="s">
        <v>2085</v>
      </c>
      <c r="AT185" s="85" t="str">
        <f>HYPERLINK("https://www.youtube.com/channel/UCnNk4Ymi7HlpFibm3ArapAg")</f>
        <v>https://www.youtube.com/channel/UCnNk4Ymi7HlpFibm3ArapAg</v>
      </c>
      <c r="AU185" s="80" t="str">
        <f>REPLACE(INDEX(GroupVertices[Group],MATCH(Vertices[[#This Row],[Vertex]],GroupVertices[Vertex],0)),1,1,"")</f>
        <v>1</v>
      </c>
      <c r="AV185" s="49">
        <v>2</v>
      </c>
      <c r="AW185" s="50">
        <v>22.22222222222222</v>
      </c>
      <c r="AX185" s="49">
        <v>1</v>
      </c>
      <c r="AY185" s="50">
        <v>11.11111111111111</v>
      </c>
      <c r="AZ185" s="49">
        <v>0</v>
      </c>
      <c r="BA185" s="50">
        <v>0</v>
      </c>
      <c r="BB185" s="49">
        <v>6</v>
      </c>
      <c r="BC185" s="50">
        <v>66.66666666666667</v>
      </c>
      <c r="BD185" s="49">
        <v>9</v>
      </c>
      <c r="BE185" s="49"/>
      <c r="BF185" s="49"/>
      <c r="BG185" s="49"/>
      <c r="BH185" s="49"/>
      <c r="BI185" s="49"/>
      <c r="BJ185" s="49"/>
      <c r="BK185" s="111" t="s">
        <v>3568</v>
      </c>
      <c r="BL185" s="111" t="s">
        <v>3568</v>
      </c>
      <c r="BM185" s="111" t="s">
        <v>4016</v>
      </c>
      <c r="BN185" s="111" t="s">
        <v>4016</v>
      </c>
      <c r="BO185" s="2"/>
      <c r="BP185" s="3"/>
      <c r="BQ185" s="3"/>
      <c r="BR185" s="3"/>
      <c r="BS185" s="3"/>
    </row>
    <row r="186" spans="1:71" ht="15">
      <c r="A186" s="65" t="s">
        <v>520</v>
      </c>
      <c r="B186" s="66"/>
      <c r="C186" s="66"/>
      <c r="D186" s="67">
        <v>150</v>
      </c>
      <c r="E186" s="69"/>
      <c r="F186" s="103" t="str">
        <f>HYPERLINK("https://yt3.ggpht.com/ytc/AKedOLRjnZ6EgP41K5AcOpq-Xbz2uP9d27vviXFMLygp4Q=s88-c-k-c0x00ffffff-no-rj")</f>
        <v>https://yt3.ggpht.com/ytc/AKedOLRjnZ6EgP41K5AcOpq-Xbz2uP9d27vviXFMLygp4Q=s88-c-k-c0x00ffffff-no-rj</v>
      </c>
      <c r="G186" s="66"/>
      <c r="H186" s="70" t="s">
        <v>1588</v>
      </c>
      <c r="I186" s="71"/>
      <c r="J186" s="71" t="s">
        <v>159</v>
      </c>
      <c r="K186" s="70" t="s">
        <v>1588</v>
      </c>
      <c r="L186" s="74">
        <v>1</v>
      </c>
      <c r="M186" s="75">
        <v>7279.5908203125</v>
      </c>
      <c r="N186" s="75">
        <v>7746.35302734375</v>
      </c>
      <c r="O186" s="76"/>
      <c r="P186" s="77"/>
      <c r="Q186" s="77"/>
      <c r="R186" s="89"/>
      <c r="S186" s="49">
        <v>0</v>
      </c>
      <c r="T186" s="49">
        <v>1</v>
      </c>
      <c r="U186" s="50">
        <v>0</v>
      </c>
      <c r="V186" s="50">
        <v>0.478122</v>
      </c>
      <c r="W186" s="50">
        <v>0.03471</v>
      </c>
      <c r="X186" s="50">
        <v>0.001935</v>
      </c>
      <c r="Y186" s="50">
        <v>0</v>
      </c>
      <c r="Z186" s="50">
        <v>0</v>
      </c>
      <c r="AA186" s="72">
        <v>186</v>
      </c>
      <c r="AB186" s="72"/>
      <c r="AC186" s="73"/>
      <c r="AD186" s="80" t="s">
        <v>1588</v>
      </c>
      <c r="AE186" s="80"/>
      <c r="AF186" s="80"/>
      <c r="AG186" s="80"/>
      <c r="AH186" s="80"/>
      <c r="AI186" s="80"/>
      <c r="AJ186" s="87">
        <v>40077.769583333335</v>
      </c>
      <c r="AK186" s="85" t="str">
        <f>HYPERLINK("https://yt3.ggpht.com/ytc/AKedOLRjnZ6EgP41K5AcOpq-Xbz2uP9d27vviXFMLygp4Q=s88-c-k-c0x00ffffff-no-rj")</f>
        <v>https://yt3.ggpht.com/ytc/AKedOLRjnZ6EgP41K5AcOpq-Xbz2uP9d27vviXFMLygp4Q=s88-c-k-c0x00ffffff-no-rj</v>
      </c>
      <c r="AL186" s="80">
        <v>21</v>
      </c>
      <c r="AM186" s="80">
        <v>0</v>
      </c>
      <c r="AN186" s="80">
        <v>6</v>
      </c>
      <c r="AO186" s="80" t="b">
        <v>0</v>
      </c>
      <c r="AP186" s="80">
        <v>5</v>
      </c>
      <c r="AQ186" s="80"/>
      <c r="AR186" s="80"/>
      <c r="AS186" s="80" t="s">
        <v>2085</v>
      </c>
      <c r="AT186" s="85" t="str">
        <f>HYPERLINK("https://www.youtube.com/channel/UCnY24BM-160lOAfxDUxcWDQ")</f>
        <v>https://www.youtube.com/channel/UCnY24BM-160lOAfxDUxcWDQ</v>
      </c>
      <c r="AU186" s="80" t="str">
        <f>REPLACE(INDEX(GroupVertices[Group],MATCH(Vertices[[#This Row],[Vertex]],GroupVertices[Vertex],0)),1,1,"")</f>
        <v>1</v>
      </c>
      <c r="AV186" s="49">
        <v>0</v>
      </c>
      <c r="AW186" s="50">
        <v>0</v>
      </c>
      <c r="AX186" s="49">
        <v>0</v>
      </c>
      <c r="AY186" s="50">
        <v>0</v>
      </c>
      <c r="AZ186" s="49">
        <v>0</v>
      </c>
      <c r="BA186" s="50">
        <v>0</v>
      </c>
      <c r="BB186" s="49">
        <v>12</v>
      </c>
      <c r="BC186" s="50">
        <v>100</v>
      </c>
      <c r="BD186" s="49">
        <v>12</v>
      </c>
      <c r="BE186" s="49"/>
      <c r="BF186" s="49"/>
      <c r="BG186" s="49"/>
      <c r="BH186" s="49"/>
      <c r="BI186" s="49"/>
      <c r="BJ186" s="49"/>
      <c r="BK186" s="111" t="s">
        <v>3569</v>
      </c>
      <c r="BL186" s="111" t="s">
        <v>3569</v>
      </c>
      <c r="BM186" s="111" t="s">
        <v>4017</v>
      </c>
      <c r="BN186" s="111" t="s">
        <v>4017</v>
      </c>
      <c r="BO186" s="2"/>
      <c r="BP186" s="3"/>
      <c r="BQ186" s="3"/>
      <c r="BR186" s="3"/>
      <c r="BS186" s="3"/>
    </row>
    <row r="187" spans="1:71" ht="15">
      <c r="A187" s="65" t="s">
        <v>521</v>
      </c>
      <c r="B187" s="66"/>
      <c r="C187" s="66"/>
      <c r="D187" s="67">
        <v>150</v>
      </c>
      <c r="E187" s="69"/>
      <c r="F187" s="103" t="str">
        <f>HYPERLINK("https://yt3.ggpht.com/ytc/AKedOLQGg3YBlQ3Fu4huxQhfq725lEY0fxLkMEM5lQ=s88-c-k-c0x00ffffff-no-rj")</f>
        <v>https://yt3.ggpht.com/ytc/AKedOLQGg3YBlQ3Fu4huxQhfq725lEY0fxLkMEM5lQ=s88-c-k-c0x00ffffff-no-rj</v>
      </c>
      <c r="G187" s="66"/>
      <c r="H187" s="70" t="s">
        <v>1589</v>
      </c>
      <c r="I187" s="71"/>
      <c r="J187" s="71" t="s">
        <v>159</v>
      </c>
      <c r="K187" s="70" t="s">
        <v>1589</v>
      </c>
      <c r="L187" s="74">
        <v>1</v>
      </c>
      <c r="M187" s="75">
        <v>1517.6494140625</v>
      </c>
      <c r="N187" s="75">
        <v>1913.8961181640625</v>
      </c>
      <c r="O187" s="76"/>
      <c r="P187" s="77"/>
      <c r="Q187" s="77"/>
      <c r="R187" s="89"/>
      <c r="S187" s="49">
        <v>0</v>
      </c>
      <c r="T187" s="49">
        <v>1</v>
      </c>
      <c r="U187" s="50">
        <v>0</v>
      </c>
      <c r="V187" s="50">
        <v>0.478122</v>
      </c>
      <c r="W187" s="50">
        <v>0.03471</v>
      </c>
      <c r="X187" s="50">
        <v>0.001935</v>
      </c>
      <c r="Y187" s="50">
        <v>0</v>
      </c>
      <c r="Z187" s="50">
        <v>0</v>
      </c>
      <c r="AA187" s="72">
        <v>187</v>
      </c>
      <c r="AB187" s="72"/>
      <c r="AC187" s="73"/>
      <c r="AD187" s="80" t="s">
        <v>1589</v>
      </c>
      <c r="AE187" s="80"/>
      <c r="AF187" s="80"/>
      <c r="AG187" s="80"/>
      <c r="AH187" s="80"/>
      <c r="AI187" s="80"/>
      <c r="AJ187" s="87">
        <v>40878.97751157408</v>
      </c>
      <c r="AK187" s="85" t="str">
        <f>HYPERLINK("https://yt3.ggpht.com/ytc/AKedOLQGg3YBlQ3Fu4huxQhfq725lEY0fxLkMEM5lQ=s88-c-k-c0x00ffffff-no-rj")</f>
        <v>https://yt3.ggpht.com/ytc/AKedOLQGg3YBlQ3Fu4huxQhfq725lEY0fxLkMEM5lQ=s88-c-k-c0x00ffffff-no-rj</v>
      </c>
      <c r="AL187" s="80">
        <v>0</v>
      </c>
      <c r="AM187" s="80">
        <v>0</v>
      </c>
      <c r="AN187" s="80">
        <v>1</v>
      </c>
      <c r="AO187" s="80" t="b">
        <v>0</v>
      </c>
      <c r="AP187" s="80">
        <v>0</v>
      </c>
      <c r="AQ187" s="80"/>
      <c r="AR187" s="80"/>
      <c r="AS187" s="80" t="s">
        <v>2085</v>
      </c>
      <c r="AT187" s="85" t="str">
        <f>HYPERLINK("https://www.youtube.com/channel/UC--kuMKXTCu2cGhjVPOIilA")</f>
        <v>https://www.youtube.com/channel/UC--kuMKXTCu2cGhjVPOIilA</v>
      </c>
      <c r="AU187" s="80" t="str">
        <f>REPLACE(INDEX(GroupVertices[Group],MATCH(Vertices[[#This Row],[Vertex]],GroupVertices[Vertex],0)),1,1,"")</f>
        <v>1</v>
      </c>
      <c r="AV187" s="49">
        <v>0</v>
      </c>
      <c r="AW187" s="50">
        <v>0</v>
      </c>
      <c r="AX187" s="49">
        <v>0</v>
      </c>
      <c r="AY187" s="50">
        <v>0</v>
      </c>
      <c r="AZ187" s="49">
        <v>0</v>
      </c>
      <c r="BA187" s="50">
        <v>0</v>
      </c>
      <c r="BB187" s="49">
        <v>6</v>
      </c>
      <c r="BC187" s="50">
        <v>100</v>
      </c>
      <c r="BD187" s="49">
        <v>6</v>
      </c>
      <c r="BE187" s="49"/>
      <c r="BF187" s="49"/>
      <c r="BG187" s="49"/>
      <c r="BH187" s="49"/>
      <c r="BI187" s="49"/>
      <c r="BJ187" s="49"/>
      <c r="BK187" s="111" t="s">
        <v>2185</v>
      </c>
      <c r="BL187" s="111" t="s">
        <v>2185</v>
      </c>
      <c r="BM187" s="111" t="s">
        <v>1927</v>
      </c>
      <c r="BN187" s="111" t="s">
        <v>1927</v>
      </c>
      <c r="BO187" s="2"/>
      <c r="BP187" s="3"/>
      <c r="BQ187" s="3"/>
      <c r="BR187" s="3"/>
      <c r="BS187" s="3"/>
    </row>
    <row r="188" spans="1:71" ht="15">
      <c r="A188" s="65" t="s">
        <v>522</v>
      </c>
      <c r="B188" s="66"/>
      <c r="C188" s="66"/>
      <c r="D188" s="67">
        <v>150</v>
      </c>
      <c r="E188" s="69"/>
      <c r="F188" s="103" t="str">
        <f>HYPERLINK("https://yt3.ggpht.com/ytc/AKedOLQoSl2nTtQG7JEoLPesoQMns_Skv7tb4s5J1_Bf1Q=s88-c-k-c0x00ffffff-no-rj")</f>
        <v>https://yt3.ggpht.com/ytc/AKedOLQoSl2nTtQG7JEoLPesoQMns_Skv7tb4s5J1_Bf1Q=s88-c-k-c0x00ffffff-no-rj</v>
      </c>
      <c r="G188" s="66"/>
      <c r="H188" s="70" t="s">
        <v>1590</v>
      </c>
      <c r="I188" s="71"/>
      <c r="J188" s="71" t="s">
        <v>159</v>
      </c>
      <c r="K188" s="70" t="s">
        <v>1590</v>
      </c>
      <c r="L188" s="74">
        <v>1</v>
      </c>
      <c r="M188" s="75">
        <v>6861.974609375</v>
      </c>
      <c r="N188" s="75">
        <v>1981.7587890625</v>
      </c>
      <c r="O188" s="76"/>
      <c r="P188" s="77"/>
      <c r="Q188" s="77"/>
      <c r="R188" s="89"/>
      <c r="S188" s="49">
        <v>0</v>
      </c>
      <c r="T188" s="49">
        <v>1</v>
      </c>
      <c r="U188" s="50">
        <v>0</v>
      </c>
      <c r="V188" s="50">
        <v>0.478122</v>
      </c>
      <c r="W188" s="50">
        <v>0.03471</v>
      </c>
      <c r="X188" s="50">
        <v>0.001935</v>
      </c>
      <c r="Y188" s="50">
        <v>0</v>
      </c>
      <c r="Z188" s="50">
        <v>0</v>
      </c>
      <c r="AA188" s="72">
        <v>188</v>
      </c>
      <c r="AB188" s="72"/>
      <c r="AC188" s="73"/>
      <c r="AD188" s="80" t="s">
        <v>1590</v>
      </c>
      <c r="AE188" s="80" t="s">
        <v>1995</v>
      </c>
      <c r="AF188" s="80"/>
      <c r="AG188" s="80"/>
      <c r="AH188" s="80"/>
      <c r="AI188" s="80"/>
      <c r="AJ188" s="87">
        <v>40436.48475694445</v>
      </c>
      <c r="AK188" s="85" t="str">
        <f>HYPERLINK("https://yt3.ggpht.com/ytc/AKedOLQoSl2nTtQG7JEoLPesoQMns_Skv7tb4s5J1_Bf1Q=s88-c-k-c0x00ffffff-no-rj")</f>
        <v>https://yt3.ggpht.com/ytc/AKedOLQoSl2nTtQG7JEoLPesoQMns_Skv7tb4s5J1_Bf1Q=s88-c-k-c0x00ffffff-no-rj</v>
      </c>
      <c r="AL188" s="80">
        <v>151981</v>
      </c>
      <c r="AM188" s="80">
        <v>0</v>
      </c>
      <c r="AN188" s="80">
        <v>186</v>
      </c>
      <c r="AO188" s="80" t="b">
        <v>0</v>
      </c>
      <c r="AP188" s="80">
        <v>10</v>
      </c>
      <c r="AQ188" s="80"/>
      <c r="AR188" s="80"/>
      <c r="AS188" s="80" t="s">
        <v>2085</v>
      </c>
      <c r="AT188" s="85" t="str">
        <f>HYPERLINK("https://www.youtube.com/channel/UCjTZvKAm_H8PtYNmVG6bpOA")</f>
        <v>https://www.youtube.com/channel/UCjTZvKAm_H8PtYNmVG6bpOA</v>
      </c>
      <c r="AU188" s="80" t="str">
        <f>REPLACE(INDEX(GroupVertices[Group],MATCH(Vertices[[#This Row],[Vertex]],GroupVertices[Vertex],0)),1,1,"")</f>
        <v>1</v>
      </c>
      <c r="AV188" s="49">
        <v>2</v>
      </c>
      <c r="AW188" s="50">
        <v>10</v>
      </c>
      <c r="AX188" s="49">
        <v>0</v>
      </c>
      <c r="AY188" s="50">
        <v>0</v>
      </c>
      <c r="AZ188" s="49">
        <v>0</v>
      </c>
      <c r="BA188" s="50">
        <v>0</v>
      </c>
      <c r="BB188" s="49">
        <v>18</v>
      </c>
      <c r="BC188" s="50">
        <v>90</v>
      </c>
      <c r="BD188" s="49">
        <v>20</v>
      </c>
      <c r="BE188" s="49"/>
      <c r="BF188" s="49"/>
      <c r="BG188" s="49"/>
      <c r="BH188" s="49"/>
      <c r="BI188" s="49"/>
      <c r="BJ188" s="49"/>
      <c r="BK188" s="111" t="s">
        <v>3570</v>
      </c>
      <c r="BL188" s="111" t="s">
        <v>3570</v>
      </c>
      <c r="BM188" s="111" t="s">
        <v>4018</v>
      </c>
      <c r="BN188" s="111" t="s">
        <v>4018</v>
      </c>
      <c r="BO188" s="2"/>
      <c r="BP188" s="3"/>
      <c r="BQ188" s="3"/>
      <c r="BR188" s="3"/>
      <c r="BS188" s="3"/>
    </row>
    <row r="189" spans="1:71" ht="15">
      <c r="A189" s="65" t="s">
        <v>523</v>
      </c>
      <c r="B189" s="66"/>
      <c r="C189" s="66"/>
      <c r="D189" s="67">
        <v>150</v>
      </c>
      <c r="E189" s="69"/>
      <c r="F189" s="103" t="str">
        <f>HYPERLINK("https://yt3.ggpht.com/ytc/AKedOLTerAF2DcTbHkXU1E-XQzVG6NPP7Izw0SoWqA=s88-c-k-c0x00ffffff-no-rj")</f>
        <v>https://yt3.ggpht.com/ytc/AKedOLTerAF2DcTbHkXU1E-XQzVG6NPP7Izw0SoWqA=s88-c-k-c0x00ffffff-no-rj</v>
      </c>
      <c r="G189" s="66"/>
      <c r="H189" s="70" t="s">
        <v>1591</v>
      </c>
      <c r="I189" s="71"/>
      <c r="J189" s="71" t="s">
        <v>159</v>
      </c>
      <c r="K189" s="70" t="s">
        <v>1591</v>
      </c>
      <c r="L189" s="74">
        <v>1</v>
      </c>
      <c r="M189" s="75">
        <v>948.5853271484375</v>
      </c>
      <c r="N189" s="75">
        <v>5404.02783203125</v>
      </c>
      <c r="O189" s="76"/>
      <c r="P189" s="77"/>
      <c r="Q189" s="77"/>
      <c r="R189" s="89"/>
      <c r="S189" s="49">
        <v>0</v>
      </c>
      <c r="T189" s="49">
        <v>1</v>
      </c>
      <c r="U189" s="50">
        <v>0</v>
      </c>
      <c r="V189" s="50">
        <v>0.478122</v>
      </c>
      <c r="W189" s="50">
        <v>0.03471</v>
      </c>
      <c r="X189" s="50">
        <v>0.001935</v>
      </c>
      <c r="Y189" s="50">
        <v>0</v>
      </c>
      <c r="Z189" s="50">
        <v>0</v>
      </c>
      <c r="AA189" s="72">
        <v>189</v>
      </c>
      <c r="AB189" s="72"/>
      <c r="AC189" s="73"/>
      <c r="AD189" s="80" t="s">
        <v>1591</v>
      </c>
      <c r="AE189" s="80"/>
      <c r="AF189" s="80"/>
      <c r="AG189" s="80"/>
      <c r="AH189" s="80"/>
      <c r="AI189" s="80"/>
      <c r="AJ189" s="87">
        <v>40337.417962962965</v>
      </c>
      <c r="AK189" s="85" t="str">
        <f>HYPERLINK("https://yt3.ggpht.com/ytc/AKedOLTerAF2DcTbHkXU1E-XQzVG6NPP7Izw0SoWqA=s88-c-k-c0x00ffffff-no-rj")</f>
        <v>https://yt3.ggpht.com/ytc/AKedOLTerAF2DcTbHkXU1E-XQzVG6NPP7Izw0SoWqA=s88-c-k-c0x00ffffff-no-rj</v>
      </c>
      <c r="AL189" s="80">
        <v>692</v>
      </c>
      <c r="AM189" s="80">
        <v>0</v>
      </c>
      <c r="AN189" s="80">
        <v>1</v>
      </c>
      <c r="AO189" s="80" t="b">
        <v>0</v>
      </c>
      <c r="AP189" s="80">
        <v>7</v>
      </c>
      <c r="AQ189" s="80"/>
      <c r="AR189" s="80"/>
      <c r="AS189" s="80" t="s">
        <v>2085</v>
      </c>
      <c r="AT189" s="85" t="str">
        <f>HYPERLINK("https://www.youtube.com/channel/UCj7B-o1aobzAVNb0Fdijl5w")</f>
        <v>https://www.youtube.com/channel/UCj7B-o1aobzAVNb0Fdijl5w</v>
      </c>
      <c r="AU189" s="80" t="str">
        <f>REPLACE(INDEX(GroupVertices[Group],MATCH(Vertices[[#This Row],[Vertex]],GroupVertices[Vertex],0)),1,1,"")</f>
        <v>1</v>
      </c>
      <c r="AV189" s="49">
        <v>1</v>
      </c>
      <c r="AW189" s="50">
        <v>2.5641025641025643</v>
      </c>
      <c r="AX189" s="49">
        <v>2</v>
      </c>
      <c r="AY189" s="50">
        <v>5.128205128205129</v>
      </c>
      <c r="AZ189" s="49">
        <v>0</v>
      </c>
      <c r="BA189" s="50">
        <v>0</v>
      </c>
      <c r="BB189" s="49">
        <v>36</v>
      </c>
      <c r="BC189" s="50">
        <v>92.3076923076923</v>
      </c>
      <c r="BD189" s="49">
        <v>39</v>
      </c>
      <c r="BE189" s="49"/>
      <c r="BF189" s="49"/>
      <c r="BG189" s="49"/>
      <c r="BH189" s="49"/>
      <c r="BI189" s="49"/>
      <c r="BJ189" s="49"/>
      <c r="BK189" s="111" t="s">
        <v>3571</v>
      </c>
      <c r="BL189" s="111" t="s">
        <v>3571</v>
      </c>
      <c r="BM189" s="111" t="s">
        <v>4019</v>
      </c>
      <c r="BN189" s="111" t="s">
        <v>4019</v>
      </c>
      <c r="BO189" s="2"/>
      <c r="BP189" s="3"/>
      <c r="BQ189" s="3"/>
      <c r="BR189" s="3"/>
      <c r="BS189" s="3"/>
    </row>
    <row r="190" spans="1:71" ht="15">
      <c r="A190" s="65" t="s">
        <v>524</v>
      </c>
      <c r="B190" s="66"/>
      <c r="C190" s="66"/>
      <c r="D190" s="67">
        <v>150</v>
      </c>
      <c r="E190" s="69"/>
      <c r="F190" s="103" t="str">
        <f>HYPERLINK("https://yt3.ggpht.com/ytc/AKedOLQ59tMZKHqvjctbPxLaDOXPpScKqmgrVkaffHnz=s88-c-k-c0x00ffffff-no-rj")</f>
        <v>https://yt3.ggpht.com/ytc/AKedOLQ59tMZKHqvjctbPxLaDOXPpScKqmgrVkaffHnz=s88-c-k-c0x00ffffff-no-rj</v>
      </c>
      <c r="G190" s="66"/>
      <c r="H190" s="70" t="s">
        <v>1592</v>
      </c>
      <c r="I190" s="71"/>
      <c r="J190" s="71" t="s">
        <v>159</v>
      </c>
      <c r="K190" s="70" t="s">
        <v>1592</v>
      </c>
      <c r="L190" s="74">
        <v>1</v>
      </c>
      <c r="M190" s="75">
        <v>2672.231689453125</v>
      </c>
      <c r="N190" s="75">
        <v>4503.181640625</v>
      </c>
      <c r="O190" s="76"/>
      <c r="P190" s="77"/>
      <c r="Q190" s="77"/>
      <c r="R190" s="89"/>
      <c r="S190" s="49">
        <v>0</v>
      </c>
      <c r="T190" s="49">
        <v>1</v>
      </c>
      <c r="U190" s="50">
        <v>0</v>
      </c>
      <c r="V190" s="50">
        <v>0.478122</v>
      </c>
      <c r="W190" s="50">
        <v>0.03471</v>
      </c>
      <c r="X190" s="50">
        <v>0.001935</v>
      </c>
      <c r="Y190" s="50">
        <v>0</v>
      </c>
      <c r="Z190" s="50">
        <v>0</v>
      </c>
      <c r="AA190" s="72">
        <v>190</v>
      </c>
      <c r="AB190" s="72"/>
      <c r="AC190" s="73"/>
      <c r="AD190" s="80" t="s">
        <v>1592</v>
      </c>
      <c r="AE190" s="80"/>
      <c r="AF190" s="80"/>
      <c r="AG190" s="80"/>
      <c r="AH190" s="80"/>
      <c r="AI190" s="80"/>
      <c r="AJ190" s="87">
        <v>39534.960914351854</v>
      </c>
      <c r="AK190" s="85" t="str">
        <f>HYPERLINK("https://yt3.ggpht.com/ytc/AKedOLQ59tMZKHqvjctbPxLaDOXPpScKqmgrVkaffHnz=s88-c-k-c0x00ffffff-no-rj")</f>
        <v>https://yt3.ggpht.com/ytc/AKedOLQ59tMZKHqvjctbPxLaDOXPpScKqmgrVkaffHnz=s88-c-k-c0x00ffffff-no-rj</v>
      </c>
      <c r="AL190" s="80">
        <v>80557</v>
      </c>
      <c r="AM190" s="80">
        <v>0</v>
      </c>
      <c r="AN190" s="80">
        <v>40</v>
      </c>
      <c r="AO190" s="80" t="b">
        <v>0</v>
      </c>
      <c r="AP190" s="80">
        <v>1</v>
      </c>
      <c r="AQ190" s="80"/>
      <c r="AR190" s="80"/>
      <c r="AS190" s="80" t="s">
        <v>2085</v>
      </c>
      <c r="AT190" s="85" t="str">
        <f>HYPERLINK("https://www.youtube.com/channel/UCqTHquc9XHBn1HleiAYji2A")</f>
        <v>https://www.youtube.com/channel/UCqTHquc9XHBn1HleiAYji2A</v>
      </c>
      <c r="AU190" s="80" t="str">
        <f>REPLACE(INDEX(GroupVertices[Group],MATCH(Vertices[[#This Row],[Vertex]],GroupVertices[Vertex],0)),1,1,"")</f>
        <v>1</v>
      </c>
      <c r="AV190" s="49">
        <v>0</v>
      </c>
      <c r="AW190" s="50">
        <v>0</v>
      </c>
      <c r="AX190" s="49">
        <v>1</v>
      </c>
      <c r="AY190" s="50">
        <v>2.272727272727273</v>
      </c>
      <c r="AZ190" s="49">
        <v>0</v>
      </c>
      <c r="BA190" s="50">
        <v>0</v>
      </c>
      <c r="BB190" s="49">
        <v>43</v>
      </c>
      <c r="BC190" s="50">
        <v>97.72727272727273</v>
      </c>
      <c r="BD190" s="49">
        <v>44</v>
      </c>
      <c r="BE190" s="49"/>
      <c r="BF190" s="49"/>
      <c r="BG190" s="49"/>
      <c r="BH190" s="49"/>
      <c r="BI190" s="49"/>
      <c r="BJ190" s="49"/>
      <c r="BK190" s="111" t="s">
        <v>3572</v>
      </c>
      <c r="BL190" s="111" t="s">
        <v>3572</v>
      </c>
      <c r="BM190" s="111" t="s">
        <v>4020</v>
      </c>
      <c r="BN190" s="111" t="s">
        <v>4020</v>
      </c>
      <c r="BO190" s="2"/>
      <c r="BP190" s="3"/>
      <c r="BQ190" s="3"/>
      <c r="BR190" s="3"/>
      <c r="BS190" s="3"/>
    </row>
    <row r="191" spans="1:71" ht="15">
      <c r="A191" s="65" t="s">
        <v>525</v>
      </c>
      <c r="B191" s="66"/>
      <c r="C191" s="66"/>
      <c r="D191" s="67">
        <v>150</v>
      </c>
      <c r="E191" s="69"/>
      <c r="F191" s="103" t="str">
        <f>HYPERLINK("https://yt3.ggpht.com/ytc/AKedOLSu2u8py3TlzqnlOnjtlzi3up0SZGXsWqojPa-9PQ=s88-c-k-c0x00ffffff-no-rj")</f>
        <v>https://yt3.ggpht.com/ytc/AKedOLSu2u8py3TlzqnlOnjtlzi3up0SZGXsWqojPa-9PQ=s88-c-k-c0x00ffffff-no-rj</v>
      </c>
      <c r="G191" s="66"/>
      <c r="H191" s="70" t="s">
        <v>1593</v>
      </c>
      <c r="I191" s="71"/>
      <c r="J191" s="71" t="s">
        <v>159</v>
      </c>
      <c r="K191" s="70" t="s">
        <v>1593</v>
      </c>
      <c r="L191" s="74">
        <v>1</v>
      </c>
      <c r="M191" s="75">
        <v>7267.31005859375</v>
      </c>
      <c r="N191" s="75">
        <v>7813.9052734375</v>
      </c>
      <c r="O191" s="76"/>
      <c r="P191" s="77"/>
      <c r="Q191" s="77"/>
      <c r="R191" s="89"/>
      <c r="S191" s="49">
        <v>0</v>
      </c>
      <c r="T191" s="49">
        <v>1</v>
      </c>
      <c r="U191" s="50">
        <v>0</v>
      </c>
      <c r="V191" s="50">
        <v>0.478122</v>
      </c>
      <c r="W191" s="50">
        <v>0.03471</v>
      </c>
      <c r="X191" s="50">
        <v>0.001935</v>
      </c>
      <c r="Y191" s="50">
        <v>0</v>
      </c>
      <c r="Z191" s="50">
        <v>0</v>
      </c>
      <c r="AA191" s="72">
        <v>191</v>
      </c>
      <c r="AB191" s="72"/>
      <c r="AC191" s="73"/>
      <c r="AD191" s="80" t="s">
        <v>1593</v>
      </c>
      <c r="AE191" s="80" t="s">
        <v>1996</v>
      </c>
      <c r="AF191" s="80"/>
      <c r="AG191" s="80"/>
      <c r="AH191" s="80"/>
      <c r="AI191" s="80" t="s">
        <v>2070</v>
      </c>
      <c r="AJ191" s="87">
        <v>40752.63775462963</v>
      </c>
      <c r="AK191" s="85" t="str">
        <f>HYPERLINK("https://yt3.ggpht.com/ytc/AKedOLSu2u8py3TlzqnlOnjtlzi3up0SZGXsWqojPa-9PQ=s88-c-k-c0x00ffffff-no-rj")</f>
        <v>https://yt3.ggpht.com/ytc/AKedOLSu2u8py3TlzqnlOnjtlzi3up0SZGXsWqojPa-9PQ=s88-c-k-c0x00ffffff-no-rj</v>
      </c>
      <c r="AL191" s="80">
        <v>102</v>
      </c>
      <c r="AM191" s="80">
        <v>0</v>
      </c>
      <c r="AN191" s="80">
        <v>9</v>
      </c>
      <c r="AO191" s="80" t="b">
        <v>0</v>
      </c>
      <c r="AP191" s="80">
        <v>3</v>
      </c>
      <c r="AQ191" s="80"/>
      <c r="AR191" s="80"/>
      <c r="AS191" s="80" t="s">
        <v>2085</v>
      </c>
      <c r="AT191" s="85" t="str">
        <f>HYPERLINK("https://www.youtube.com/channel/UCCDzwdEnOtVE7kg5-qLvllA")</f>
        <v>https://www.youtube.com/channel/UCCDzwdEnOtVE7kg5-qLvllA</v>
      </c>
      <c r="AU191" s="80" t="str">
        <f>REPLACE(INDEX(GroupVertices[Group],MATCH(Vertices[[#This Row],[Vertex]],GroupVertices[Vertex],0)),1,1,"")</f>
        <v>1</v>
      </c>
      <c r="AV191" s="49">
        <v>3</v>
      </c>
      <c r="AW191" s="50">
        <v>5.769230769230769</v>
      </c>
      <c r="AX191" s="49">
        <v>2</v>
      </c>
      <c r="AY191" s="50">
        <v>3.8461538461538463</v>
      </c>
      <c r="AZ191" s="49">
        <v>0</v>
      </c>
      <c r="BA191" s="50">
        <v>0</v>
      </c>
      <c r="BB191" s="49">
        <v>47</v>
      </c>
      <c r="BC191" s="50">
        <v>90.38461538461539</v>
      </c>
      <c r="BD191" s="49">
        <v>52</v>
      </c>
      <c r="BE191" s="49"/>
      <c r="BF191" s="49"/>
      <c r="BG191" s="49"/>
      <c r="BH191" s="49"/>
      <c r="BI191" s="49"/>
      <c r="BJ191" s="49"/>
      <c r="BK191" s="111" t="s">
        <v>3573</v>
      </c>
      <c r="BL191" s="111" t="s">
        <v>3573</v>
      </c>
      <c r="BM191" s="111" t="s">
        <v>4021</v>
      </c>
      <c r="BN191" s="111" t="s">
        <v>4021</v>
      </c>
      <c r="BO191" s="2"/>
      <c r="BP191" s="3"/>
      <c r="BQ191" s="3"/>
      <c r="BR191" s="3"/>
      <c r="BS191" s="3"/>
    </row>
    <row r="192" spans="1:71" ht="15">
      <c r="A192" s="65" t="s">
        <v>526</v>
      </c>
      <c r="B192" s="66"/>
      <c r="C192" s="66"/>
      <c r="D192" s="67">
        <v>150</v>
      </c>
      <c r="E192" s="69"/>
      <c r="F192" s="103" t="str">
        <f>HYPERLINK("https://yt3.ggpht.com/ytc/AKedOLQVcH7fTm3ucMy-w8JYWYGJbru4mDUqwVyU6HJs=s88-c-k-c0x00ffffff-no-rj")</f>
        <v>https://yt3.ggpht.com/ytc/AKedOLQVcH7fTm3ucMy-w8JYWYGJbru4mDUqwVyU6HJs=s88-c-k-c0x00ffffff-no-rj</v>
      </c>
      <c r="G192" s="66"/>
      <c r="H192" s="70" t="s">
        <v>1594</v>
      </c>
      <c r="I192" s="71"/>
      <c r="J192" s="71" t="s">
        <v>159</v>
      </c>
      <c r="K192" s="70" t="s">
        <v>1594</v>
      </c>
      <c r="L192" s="74">
        <v>1</v>
      </c>
      <c r="M192" s="75">
        <v>5678.0712890625</v>
      </c>
      <c r="N192" s="75">
        <v>5040.08642578125</v>
      </c>
      <c r="O192" s="76"/>
      <c r="P192" s="77"/>
      <c r="Q192" s="77"/>
      <c r="R192" s="89"/>
      <c r="S192" s="49">
        <v>0</v>
      </c>
      <c r="T192" s="49">
        <v>1</v>
      </c>
      <c r="U192" s="50">
        <v>0</v>
      </c>
      <c r="V192" s="50">
        <v>0.478122</v>
      </c>
      <c r="W192" s="50">
        <v>0.03471</v>
      </c>
      <c r="X192" s="50">
        <v>0.001935</v>
      </c>
      <c r="Y192" s="50">
        <v>0</v>
      </c>
      <c r="Z192" s="50">
        <v>0</v>
      </c>
      <c r="AA192" s="72">
        <v>192</v>
      </c>
      <c r="AB192" s="72"/>
      <c r="AC192" s="73"/>
      <c r="AD192" s="80" t="s">
        <v>1594</v>
      </c>
      <c r="AE192" s="80" t="s">
        <v>1997</v>
      </c>
      <c r="AF192" s="80"/>
      <c r="AG192" s="80"/>
      <c r="AH192" s="80"/>
      <c r="AI192" s="80"/>
      <c r="AJ192" s="87">
        <v>40997.0519212963</v>
      </c>
      <c r="AK192" s="85" t="str">
        <f>HYPERLINK("https://yt3.ggpht.com/ytc/AKedOLQVcH7fTm3ucMy-w8JYWYGJbru4mDUqwVyU6HJs=s88-c-k-c0x00ffffff-no-rj")</f>
        <v>https://yt3.ggpht.com/ytc/AKedOLQVcH7fTm3ucMy-w8JYWYGJbru4mDUqwVyU6HJs=s88-c-k-c0x00ffffff-no-rj</v>
      </c>
      <c r="AL192" s="80">
        <v>12858</v>
      </c>
      <c r="AM192" s="80">
        <v>0</v>
      </c>
      <c r="AN192" s="80">
        <v>14</v>
      </c>
      <c r="AO192" s="80" t="b">
        <v>0</v>
      </c>
      <c r="AP192" s="80">
        <v>5</v>
      </c>
      <c r="AQ192" s="80"/>
      <c r="AR192" s="80"/>
      <c r="AS192" s="80" t="s">
        <v>2085</v>
      </c>
      <c r="AT192" s="85" t="str">
        <f>HYPERLINK("https://www.youtube.com/channel/UCsrYlphjt7-a5Ogog0lYdfQ")</f>
        <v>https://www.youtube.com/channel/UCsrYlphjt7-a5Ogog0lYdfQ</v>
      </c>
      <c r="AU192" s="80" t="str">
        <f>REPLACE(INDEX(GroupVertices[Group],MATCH(Vertices[[#This Row],[Vertex]],GroupVertices[Vertex],0)),1,1,"")</f>
        <v>1</v>
      </c>
      <c r="AV192" s="49">
        <v>0</v>
      </c>
      <c r="AW192" s="50">
        <v>0</v>
      </c>
      <c r="AX192" s="49">
        <v>0</v>
      </c>
      <c r="AY192" s="50">
        <v>0</v>
      </c>
      <c r="AZ192" s="49">
        <v>0</v>
      </c>
      <c r="BA192" s="50">
        <v>0</v>
      </c>
      <c r="BB192" s="49">
        <v>8</v>
      </c>
      <c r="BC192" s="50">
        <v>100</v>
      </c>
      <c r="BD192" s="49">
        <v>8</v>
      </c>
      <c r="BE192" s="49"/>
      <c r="BF192" s="49"/>
      <c r="BG192" s="49"/>
      <c r="BH192" s="49"/>
      <c r="BI192" s="49"/>
      <c r="BJ192" s="49"/>
      <c r="BK192" s="111" t="s">
        <v>3574</v>
      </c>
      <c r="BL192" s="111" t="s">
        <v>3574</v>
      </c>
      <c r="BM192" s="111" t="s">
        <v>4022</v>
      </c>
      <c r="BN192" s="111" t="s">
        <v>4022</v>
      </c>
      <c r="BO192" s="2"/>
      <c r="BP192" s="3"/>
      <c r="BQ192" s="3"/>
      <c r="BR192" s="3"/>
      <c r="BS192" s="3"/>
    </row>
    <row r="193" spans="1:71" ht="15">
      <c r="A193" s="65" t="s">
        <v>527</v>
      </c>
      <c r="B193" s="66"/>
      <c r="C193" s="66"/>
      <c r="D193" s="67">
        <v>150</v>
      </c>
      <c r="E193" s="69"/>
      <c r="F193" s="103" t="str">
        <f>HYPERLINK("https://yt3.ggpht.com/ytc/AKedOLRKLtytIr2z8har8h_8iIHggyA4A_vkDtMdcAozww=s88-c-k-c0x00ffffff-no-rj")</f>
        <v>https://yt3.ggpht.com/ytc/AKedOLRKLtytIr2z8har8h_8iIHggyA4A_vkDtMdcAozww=s88-c-k-c0x00ffffff-no-rj</v>
      </c>
      <c r="G193" s="66"/>
      <c r="H193" s="70" t="s">
        <v>1595</v>
      </c>
      <c r="I193" s="71"/>
      <c r="J193" s="71" t="s">
        <v>159</v>
      </c>
      <c r="K193" s="70" t="s">
        <v>1595</v>
      </c>
      <c r="L193" s="74">
        <v>1</v>
      </c>
      <c r="M193" s="75">
        <v>6587.97900390625</v>
      </c>
      <c r="N193" s="75">
        <v>1772.5762939453125</v>
      </c>
      <c r="O193" s="76"/>
      <c r="P193" s="77"/>
      <c r="Q193" s="77"/>
      <c r="R193" s="89"/>
      <c r="S193" s="49">
        <v>0</v>
      </c>
      <c r="T193" s="49">
        <v>1</v>
      </c>
      <c r="U193" s="50">
        <v>0</v>
      </c>
      <c r="V193" s="50">
        <v>0.478122</v>
      </c>
      <c r="W193" s="50">
        <v>0.03471</v>
      </c>
      <c r="X193" s="50">
        <v>0.001935</v>
      </c>
      <c r="Y193" s="50">
        <v>0</v>
      </c>
      <c r="Z193" s="50">
        <v>0</v>
      </c>
      <c r="AA193" s="72">
        <v>193</v>
      </c>
      <c r="AB193" s="72"/>
      <c r="AC193" s="73"/>
      <c r="AD193" s="80" t="s">
        <v>1595</v>
      </c>
      <c r="AE193" s="80"/>
      <c r="AF193" s="80"/>
      <c r="AG193" s="80"/>
      <c r="AH193" s="80"/>
      <c r="AI193" s="80"/>
      <c r="AJ193" s="87">
        <v>40841.267916666664</v>
      </c>
      <c r="AK193" s="85" t="str">
        <f>HYPERLINK("https://yt3.ggpht.com/ytc/AKedOLRKLtytIr2z8har8h_8iIHggyA4A_vkDtMdcAozww=s88-c-k-c0x00ffffff-no-rj")</f>
        <v>https://yt3.ggpht.com/ytc/AKedOLRKLtytIr2z8har8h_8iIHggyA4A_vkDtMdcAozww=s88-c-k-c0x00ffffff-no-rj</v>
      </c>
      <c r="AL193" s="80">
        <v>0</v>
      </c>
      <c r="AM193" s="80">
        <v>0</v>
      </c>
      <c r="AN193" s="80">
        <v>2</v>
      </c>
      <c r="AO193" s="80" t="b">
        <v>0</v>
      </c>
      <c r="AP193" s="80">
        <v>0</v>
      </c>
      <c r="AQ193" s="80"/>
      <c r="AR193" s="80"/>
      <c r="AS193" s="80" t="s">
        <v>2085</v>
      </c>
      <c r="AT193" s="85" t="str">
        <f>HYPERLINK("https://www.youtube.com/channel/UCtSBcMY3ZUZwcpFmlPk_GIw")</f>
        <v>https://www.youtube.com/channel/UCtSBcMY3ZUZwcpFmlPk_GIw</v>
      </c>
      <c r="AU193" s="80" t="str">
        <f>REPLACE(INDEX(GroupVertices[Group],MATCH(Vertices[[#This Row],[Vertex]],GroupVertices[Vertex],0)),1,1,"")</f>
        <v>1</v>
      </c>
      <c r="AV193" s="49">
        <v>0</v>
      </c>
      <c r="AW193" s="50">
        <v>0</v>
      </c>
      <c r="AX193" s="49">
        <v>0</v>
      </c>
      <c r="AY193" s="50">
        <v>0</v>
      </c>
      <c r="AZ193" s="49">
        <v>0</v>
      </c>
      <c r="BA193" s="50">
        <v>0</v>
      </c>
      <c r="BB193" s="49">
        <v>7</v>
      </c>
      <c r="BC193" s="50">
        <v>100</v>
      </c>
      <c r="BD193" s="49">
        <v>7</v>
      </c>
      <c r="BE193" s="49"/>
      <c r="BF193" s="49"/>
      <c r="BG193" s="49"/>
      <c r="BH193" s="49"/>
      <c r="BI193" s="49"/>
      <c r="BJ193" s="49"/>
      <c r="BK193" s="111" t="s">
        <v>3575</v>
      </c>
      <c r="BL193" s="111" t="s">
        <v>3575</v>
      </c>
      <c r="BM193" s="111" t="s">
        <v>4023</v>
      </c>
      <c r="BN193" s="111" t="s">
        <v>4023</v>
      </c>
      <c r="BO193" s="2"/>
      <c r="BP193" s="3"/>
      <c r="BQ193" s="3"/>
      <c r="BR193" s="3"/>
      <c r="BS193" s="3"/>
    </row>
    <row r="194" spans="1:71" ht="15">
      <c r="A194" s="65" t="s">
        <v>528</v>
      </c>
      <c r="B194" s="66"/>
      <c r="C194" s="66"/>
      <c r="D194" s="67">
        <v>150</v>
      </c>
      <c r="E194" s="69"/>
      <c r="F194" s="103" t="str">
        <f>HYPERLINK("https://yt3.ggpht.com/ytc/AKedOLTQQKP5H8Hg84i3RaJ6bh9dgRv5Lvq0X4QcCE3J=s88-c-k-c0x00ffffff-no-rj")</f>
        <v>https://yt3.ggpht.com/ytc/AKedOLTQQKP5H8Hg84i3RaJ6bh9dgRv5Lvq0X4QcCE3J=s88-c-k-c0x00ffffff-no-rj</v>
      </c>
      <c r="G194" s="66"/>
      <c r="H194" s="70" t="s">
        <v>1596</v>
      </c>
      <c r="I194" s="71"/>
      <c r="J194" s="71" t="s">
        <v>159</v>
      </c>
      <c r="K194" s="70" t="s">
        <v>1596</v>
      </c>
      <c r="L194" s="74">
        <v>1</v>
      </c>
      <c r="M194" s="75">
        <v>4096.4130859375</v>
      </c>
      <c r="N194" s="75">
        <v>6028.02294921875</v>
      </c>
      <c r="O194" s="76"/>
      <c r="P194" s="77"/>
      <c r="Q194" s="77"/>
      <c r="R194" s="89"/>
      <c r="S194" s="49">
        <v>0</v>
      </c>
      <c r="T194" s="49">
        <v>1</v>
      </c>
      <c r="U194" s="50">
        <v>0</v>
      </c>
      <c r="V194" s="50">
        <v>0.478122</v>
      </c>
      <c r="W194" s="50">
        <v>0.03471</v>
      </c>
      <c r="X194" s="50">
        <v>0.001935</v>
      </c>
      <c r="Y194" s="50">
        <v>0</v>
      </c>
      <c r="Z194" s="50">
        <v>0</v>
      </c>
      <c r="AA194" s="72">
        <v>194</v>
      </c>
      <c r="AB194" s="72"/>
      <c r="AC194" s="73"/>
      <c r="AD194" s="80" t="s">
        <v>1596</v>
      </c>
      <c r="AE194" s="80"/>
      <c r="AF194" s="80"/>
      <c r="AG194" s="80"/>
      <c r="AH194" s="80"/>
      <c r="AI194" s="80"/>
      <c r="AJ194" s="87">
        <v>40731.96231481482</v>
      </c>
      <c r="AK194" s="85" t="str">
        <f>HYPERLINK("https://yt3.ggpht.com/ytc/AKedOLTQQKP5H8Hg84i3RaJ6bh9dgRv5Lvq0X4QcCE3J=s88-c-k-c0x00ffffff-no-rj")</f>
        <v>https://yt3.ggpht.com/ytc/AKedOLTQQKP5H8Hg84i3RaJ6bh9dgRv5Lvq0X4QcCE3J=s88-c-k-c0x00ffffff-no-rj</v>
      </c>
      <c r="AL194" s="80">
        <v>79</v>
      </c>
      <c r="AM194" s="80">
        <v>0</v>
      </c>
      <c r="AN194" s="80">
        <v>0</v>
      </c>
      <c r="AO194" s="80" t="b">
        <v>0</v>
      </c>
      <c r="AP194" s="80">
        <v>1</v>
      </c>
      <c r="AQ194" s="80"/>
      <c r="AR194" s="80"/>
      <c r="AS194" s="80" t="s">
        <v>2085</v>
      </c>
      <c r="AT194" s="85" t="str">
        <f>HYPERLINK("https://www.youtube.com/channel/UCF9r4V6xLdKQGgtjMUKhogw")</f>
        <v>https://www.youtube.com/channel/UCF9r4V6xLdKQGgtjMUKhogw</v>
      </c>
      <c r="AU194" s="80" t="str">
        <f>REPLACE(INDEX(GroupVertices[Group],MATCH(Vertices[[#This Row],[Vertex]],GroupVertices[Vertex],0)),1,1,"")</f>
        <v>1</v>
      </c>
      <c r="AV194" s="49">
        <v>0</v>
      </c>
      <c r="AW194" s="50">
        <v>0</v>
      </c>
      <c r="AX194" s="49">
        <v>0</v>
      </c>
      <c r="AY194" s="50">
        <v>0</v>
      </c>
      <c r="AZ194" s="49">
        <v>0</v>
      </c>
      <c r="BA194" s="50">
        <v>0</v>
      </c>
      <c r="BB194" s="49">
        <v>7</v>
      </c>
      <c r="BC194" s="50">
        <v>100</v>
      </c>
      <c r="BD194" s="49">
        <v>7</v>
      </c>
      <c r="BE194" s="49"/>
      <c r="BF194" s="49"/>
      <c r="BG194" s="49"/>
      <c r="BH194" s="49"/>
      <c r="BI194" s="49"/>
      <c r="BJ194" s="49"/>
      <c r="BK194" s="111" t="s">
        <v>3576</v>
      </c>
      <c r="BL194" s="111" t="s">
        <v>3576</v>
      </c>
      <c r="BM194" s="111" t="s">
        <v>4024</v>
      </c>
      <c r="BN194" s="111" t="s">
        <v>4024</v>
      </c>
      <c r="BO194" s="2"/>
      <c r="BP194" s="3"/>
      <c r="BQ194" s="3"/>
      <c r="BR194" s="3"/>
      <c r="BS194" s="3"/>
    </row>
    <row r="195" spans="1:71" ht="15">
      <c r="A195" s="65" t="s">
        <v>529</v>
      </c>
      <c r="B195" s="66"/>
      <c r="C195" s="66"/>
      <c r="D195" s="67">
        <v>150</v>
      </c>
      <c r="E195" s="69"/>
      <c r="F195" s="103" t="str">
        <f>HYPERLINK("https://yt3.ggpht.com/ytc/AKedOLSJ0dBribdvvU1mIgkKDQN9mxWdTxyvHk1B0g=s88-c-k-c0x00ffffff-no-rj")</f>
        <v>https://yt3.ggpht.com/ytc/AKedOLSJ0dBribdvvU1mIgkKDQN9mxWdTxyvHk1B0g=s88-c-k-c0x00ffffff-no-rj</v>
      </c>
      <c r="G195" s="66"/>
      <c r="H195" s="70" t="s">
        <v>1597</v>
      </c>
      <c r="I195" s="71"/>
      <c r="J195" s="71" t="s">
        <v>159</v>
      </c>
      <c r="K195" s="70" t="s">
        <v>1597</v>
      </c>
      <c r="L195" s="74">
        <v>1</v>
      </c>
      <c r="M195" s="75">
        <v>7876.6171875</v>
      </c>
      <c r="N195" s="75">
        <v>5856.904296875</v>
      </c>
      <c r="O195" s="76"/>
      <c r="P195" s="77"/>
      <c r="Q195" s="77"/>
      <c r="R195" s="89"/>
      <c r="S195" s="49">
        <v>0</v>
      </c>
      <c r="T195" s="49">
        <v>1</v>
      </c>
      <c r="U195" s="50">
        <v>0</v>
      </c>
      <c r="V195" s="50">
        <v>0.478122</v>
      </c>
      <c r="W195" s="50">
        <v>0.03471</v>
      </c>
      <c r="X195" s="50">
        <v>0.001935</v>
      </c>
      <c r="Y195" s="50">
        <v>0</v>
      </c>
      <c r="Z195" s="50">
        <v>0</v>
      </c>
      <c r="AA195" s="72">
        <v>195</v>
      </c>
      <c r="AB195" s="72"/>
      <c r="AC195" s="73"/>
      <c r="AD195" s="80" t="s">
        <v>1597</v>
      </c>
      <c r="AE195" s="80"/>
      <c r="AF195" s="80"/>
      <c r="AG195" s="80"/>
      <c r="AH195" s="80"/>
      <c r="AI195" s="80"/>
      <c r="AJ195" s="87">
        <v>39874.14234953704</v>
      </c>
      <c r="AK195" s="85" t="str">
        <f>HYPERLINK("https://yt3.ggpht.com/ytc/AKedOLSJ0dBribdvvU1mIgkKDQN9mxWdTxyvHk1B0g=s88-c-k-c0x00ffffff-no-rj")</f>
        <v>https://yt3.ggpht.com/ytc/AKedOLSJ0dBribdvvU1mIgkKDQN9mxWdTxyvHk1B0g=s88-c-k-c0x00ffffff-no-rj</v>
      </c>
      <c r="AL195" s="80">
        <v>327</v>
      </c>
      <c r="AM195" s="80">
        <v>0</v>
      </c>
      <c r="AN195" s="80">
        <v>1</v>
      </c>
      <c r="AO195" s="80" t="b">
        <v>0</v>
      </c>
      <c r="AP195" s="80">
        <v>11</v>
      </c>
      <c r="AQ195" s="80"/>
      <c r="AR195" s="80"/>
      <c r="AS195" s="80" t="s">
        <v>2085</v>
      </c>
      <c r="AT195" s="85" t="str">
        <f>HYPERLINK("https://www.youtube.com/channel/UCizDAN8bkpXDwL_y0o7RcZw")</f>
        <v>https://www.youtube.com/channel/UCizDAN8bkpXDwL_y0o7RcZw</v>
      </c>
      <c r="AU195" s="80" t="str">
        <f>REPLACE(INDEX(GroupVertices[Group],MATCH(Vertices[[#This Row],[Vertex]],GroupVertices[Vertex],0)),1,1,"")</f>
        <v>1</v>
      </c>
      <c r="AV195" s="49">
        <v>0</v>
      </c>
      <c r="AW195" s="50">
        <v>0</v>
      </c>
      <c r="AX195" s="49">
        <v>0</v>
      </c>
      <c r="AY195" s="50">
        <v>0</v>
      </c>
      <c r="AZ195" s="49">
        <v>0</v>
      </c>
      <c r="BA195" s="50">
        <v>0</v>
      </c>
      <c r="BB195" s="49">
        <v>10</v>
      </c>
      <c r="BC195" s="50">
        <v>100</v>
      </c>
      <c r="BD195" s="49">
        <v>10</v>
      </c>
      <c r="BE195" s="49"/>
      <c r="BF195" s="49"/>
      <c r="BG195" s="49"/>
      <c r="BH195" s="49"/>
      <c r="BI195" s="49"/>
      <c r="BJ195" s="49"/>
      <c r="BK195" s="111" t="s">
        <v>3577</v>
      </c>
      <c r="BL195" s="111" t="s">
        <v>3577</v>
      </c>
      <c r="BM195" s="111" t="s">
        <v>4025</v>
      </c>
      <c r="BN195" s="111" t="s">
        <v>4025</v>
      </c>
      <c r="BO195" s="2"/>
      <c r="BP195" s="3"/>
      <c r="BQ195" s="3"/>
      <c r="BR195" s="3"/>
      <c r="BS195" s="3"/>
    </row>
    <row r="196" spans="1:71" ht="15">
      <c r="A196" s="65" t="s">
        <v>530</v>
      </c>
      <c r="B196" s="66"/>
      <c r="C196" s="66"/>
      <c r="D196" s="67">
        <v>150</v>
      </c>
      <c r="E196" s="69"/>
      <c r="F196" s="103" t="str">
        <f>HYPERLINK("https://yt3.ggpht.com/ytc/AKedOLR7ULqxSKaVjDzznctpJoduPn8AYnE6ccQqeQ=s88-c-k-c0x00ffffff-no-rj")</f>
        <v>https://yt3.ggpht.com/ytc/AKedOLR7ULqxSKaVjDzznctpJoduPn8AYnE6ccQqeQ=s88-c-k-c0x00ffffff-no-rj</v>
      </c>
      <c r="G196" s="66"/>
      <c r="H196" s="70" t="s">
        <v>1598</v>
      </c>
      <c r="I196" s="71"/>
      <c r="J196" s="71" t="s">
        <v>159</v>
      </c>
      <c r="K196" s="70" t="s">
        <v>1598</v>
      </c>
      <c r="L196" s="74">
        <v>1</v>
      </c>
      <c r="M196" s="75">
        <v>4605.7734375</v>
      </c>
      <c r="N196" s="75">
        <v>254.58628845214844</v>
      </c>
      <c r="O196" s="76"/>
      <c r="P196" s="77"/>
      <c r="Q196" s="77"/>
      <c r="R196" s="89"/>
      <c r="S196" s="49">
        <v>0</v>
      </c>
      <c r="T196" s="49">
        <v>1</v>
      </c>
      <c r="U196" s="50">
        <v>0</v>
      </c>
      <c r="V196" s="50">
        <v>0.478122</v>
      </c>
      <c r="W196" s="50">
        <v>0.03471</v>
      </c>
      <c r="X196" s="50">
        <v>0.001935</v>
      </c>
      <c r="Y196" s="50">
        <v>0</v>
      </c>
      <c r="Z196" s="50">
        <v>0</v>
      </c>
      <c r="AA196" s="72">
        <v>196</v>
      </c>
      <c r="AB196" s="72"/>
      <c r="AC196" s="73"/>
      <c r="AD196" s="80" t="s">
        <v>1598</v>
      </c>
      <c r="AE196" s="80"/>
      <c r="AF196" s="80"/>
      <c r="AG196" s="80"/>
      <c r="AH196" s="80"/>
      <c r="AI196" s="80"/>
      <c r="AJ196" s="87">
        <v>40382.95429398148</v>
      </c>
      <c r="AK196" s="85" t="str">
        <f>HYPERLINK("https://yt3.ggpht.com/ytc/AKedOLR7ULqxSKaVjDzznctpJoduPn8AYnE6ccQqeQ=s88-c-k-c0x00ffffff-no-rj")</f>
        <v>https://yt3.ggpht.com/ytc/AKedOLR7ULqxSKaVjDzznctpJoduPn8AYnE6ccQqeQ=s88-c-k-c0x00ffffff-no-rj</v>
      </c>
      <c r="AL196" s="80">
        <v>0</v>
      </c>
      <c r="AM196" s="80">
        <v>0</v>
      </c>
      <c r="AN196" s="80">
        <v>3</v>
      </c>
      <c r="AO196" s="80" t="b">
        <v>0</v>
      </c>
      <c r="AP196" s="80">
        <v>0</v>
      </c>
      <c r="AQ196" s="80"/>
      <c r="AR196" s="80"/>
      <c r="AS196" s="80" t="s">
        <v>2085</v>
      </c>
      <c r="AT196" s="85" t="str">
        <f>HYPERLINK("https://www.youtube.com/channel/UCP4dHmT-490ehwR4G-Nn5Zg")</f>
        <v>https://www.youtube.com/channel/UCP4dHmT-490ehwR4G-Nn5Zg</v>
      </c>
      <c r="AU196" s="80" t="str">
        <f>REPLACE(INDEX(GroupVertices[Group],MATCH(Vertices[[#This Row],[Vertex]],GroupVertices[Vertex],0)),1,1,"")</f>
        <v>1</v>
      </c>
      <c r="AV196" s="49">
        <v>1</v>
      </c>
      <c r="AW196" s="50">
        <v>12.5</v>
      </c>
      <c r="AX196" s="49">
        <v>0</v>
      </c>
      <c r="AY196" s="50">
        <v>0</v>
      </c>
      <c r="AZ196" s="49">
        <v>0</v>
      </c>
      <c r="BA196" s="50">
        <v>0</v>
      </c>
      <c r="BB196" s="49">
        <v>7</v>
      </c>
      <c r="BC196" s="50">
        <v>87.5</v>
      </c>
      <c r="BD196" s="49">
        <v>8</v>
      </c>
      <c r="BE196" s="49"/>
      <c r="BF196" s="49"/>
      <c r="BG196" s="49"/>
      <c r="BH196" s="49"/>
      <c r="BI196" s="49"/>
      <c r="BJ196" s="49"/>
      <c r="BK196" s="111" t="s">
        <v>3578</v>
      </c>
      <c r="BL196" s="111" t="s">
        <v>3578</v>
      </c>
      <c r="BM196" s="111" t="s">
        <v>4026</v>
      </c>
      <c r="BN196" s="111" t="s">
        <v>4026</v>
      </c>
      <c r="BO196" s="2"/>
      <c r="BP196" s="3"/>
      <c r="BQ196" s="3"/>
      <c r="BR196" s="3"/>
      <c r="BS196" s="3"/>
    </row>
    <row r="197" spans="1:71" ht="15">
      <c r="A197" s="65" t="s">
        <v>531</v>
      </c>
      <c r="B197" s="66"/>
      <c r="C197" s="66"/>
      <c r="D197" s="67">
        <v>150</v>
      </c>
      <c r="E197" s="69"/>
      <c r="F197" s="103" t="str">
        <f>HYPERLINK("https://yt3.ggpht.com/ytc/AKedOLQRD8hIF5lvHIQh1GNnZY8aqBQ6O06W6ZTMkw=s88-c-k-c0x00ffffff-no-rj")</f>
        <v>https://yt3.ggpht.com/ytc/AKedOLQRD8hIF5lvHIQh1GNnZY8aqBQ6O06W6ZTMkw=s88-c-k-c0x00ffffff-no-rj</v>
      </c>
      <c r="G197" s="66"/>
      <c r="H197" s="70" t="s">
        <v>1599</v>
      </c>
      <c r="I197" s="71"/>
      <c r="J197" s="71" t="s">
        <v>159</v>
      </c>
      <c r="K197" s="70" t="s">
        <v>1599</v>
      </c>
      <c r="L197" s="74">
        <v>1</v>
      </c>
      <c r="M197" s="75">
        <v>5220.29541015625</v>
      </c>
      <c r="N197" s="75">
        <v>8024.4375</v>
      </c>
      <c r="O197" s="76"/>
      <c r="P197" s="77"/>
      <c r="Q197" s="77"/>
      <c r="R197" s="89"/>
      <c r="S197" s="49">
        <v>0</v>
      </c>
      <c r="T197" s="49">
        <v>1</v>
      </c>
      <c r="U197" s="50">
        <v>0</v>
      </c>
      <c r="V197" s="50">
        <v>0.478122</v>
      </c>
      <c r="W197" s="50">
        <v>0.03471</v>
      </c>
      <c r="X197" s="50">
        <v>0.001935</v>
      </c>
      <c r="Y197" s="50">
        <v>0</v>
      </c>
      <c r="Z197" s="50">
        <v>0</v>
      </c>
      <c r="AA197" s="72">
        <v>197</v>
      </c>
      <c r="AB197" s="72"/>
      <c r="AC197" s="73"/>
      <c r="AD197" s="80" t="s">
        <v>1599</v>
      </c>
      <c r="AE197" s="80"/>
      <c r="AF197" s="80"/>
      <c r="AG197" s="80"/>
      <c r="AH197" s="80"/>
      <c r="AI197" s="80"/>
      <c r="AJ197" s="87">
        <v>41157.97225694444</v>
      </c>
      <c r="AK197" s="85" t="str">
        <f>HYPERLINK("https://yt3.ggpht.com/ytc/AKedOLQRD8hIF5lvHIQh1GNnZY8aqBQ6O06W6ZTMkw=s88-c-k-c0x00ffffff-no-rj")</f>
        <v>https://yt3.ggpht.com/ytc/AKedOLQRD8hIF5lvHIQh1GNnZY8aqBQ6O06W6ZTMkw=s88-c-k-c0x00ffffff-no-rj</v>
      </c>
      <c r="AL197" s="80">
        <v>0</v>
      </c>
      <c r="AM197" s="80">
        <v>0</v>
      </c>
      <c r="AN197" s="80">
        <v>1</v>
      </c>
      <c r="AO197" s="80" t="b">
        <v>0</v>
      </c>
      <c r="AP197" s="80">
        <v>0</v>
      </c>
      <c r="AQ197" s="80"/>
      <c r="AR197" s="80"/>
      <c r="AS197" s="80" t="s">
        <v>2085</v>
      </c>
      <c r="AT197" s="85" t="str">
        <f>HYPERLINK("https://www.youtube.com/channel/UCw6WMyzjKRt2Tz3dj3vlLBg")</f>
        <v>https://www.youtube.com/channel/UCw6WMyzjKRt2Tz3dj3vlLBg</v>
      </c>
      <c r="AU197" s="80" t="str">
        <f>REPLACE(INDEX(GroupVertices[Group],MATCH(Vertices[[#This Row],[Vertex]],GroupVertices[Vertex],0)),1,1,"")</f>
        <v>1</v>
      </c>
      <c r="AV197" s="49">
        <v>0</v>
      </c>
      <c r="AW197" s="50">
        <v>0</v>
      </c>
      <c r="AX197" s="49">
        <v>1</v>
      </c>
      <c r="AY197" s="50">
        <v>8.333333333333334</v>
      </c>
      <c r="AZ197" s="49">
        <v>0</v>
      </c>
      <c r="BA197" s="50">
        <v>0</v>
      </c>
      <c r="BB197" s="49">
        <v>11</v>
      </c>
      <c r="BC197" s="50">
        <v>91.66666666666667</v>
      </c>
      <c r="BD197" s="49">
        <v>12</v>
      </c>
      <c r="BE197" s="49"/>
      <c r="BF197" s="49"/>
      <c r="BG197" s="49"/>
      <c r="BH197" s="49"/>
      <c r="BI197" s="49"/>
      <c r="BJ197" s="49"/>
      <c r="BK197" s="111" t="s">
        <v>3579</v>
      </c>
      <c r="BL197" s="111" t="s">
        <v>3579</v>
      </c>
      <c r="BM197" s="111" t="s">
        <v>4027</v>
      </c>
      <c r="BN197" s="111" t="s">
        <v>4027</v>
      </c>
      <c r="BO197" s="2"/>
      <c r="BP197" s="3"/>
      <c r="BQ197" s="3"/>
      <c r="BR197" s="3"/>
      <c r="BS197" s="3"/>
    </row>
    <row r="198" spans="1:71" ht="15">
      <c r="A198" s="65" t="s">
        <v>532</v>
      </c>
      <c r="B198" s="66"/>
      <c r="C198" s="66"/>
      <c r="D198" s="67">
        <v>150</v>
      </c>
      <c r="E198" s="69"/>
      <c r="F198" s="103" t="str">
        <f>HYPERLINK("https://yt3.ggpht.com/ytc/AKedOLSren75ntOmwkL5rvyLyIUc1Zyq1l9hBzdS6yc5JQ=s88-c-k-c0x00ffffff-no-rj")</f>
        <v>https://yt3.ggpht.com/ytc/AKedOLSren75ntOmwkL5rvyLyIUc1Zyq1l9hBzdS6yc5JQ=s88-c-k-c0x00ffffff-no-rj</v>
      </c>
      <c r="G198" s="66"/>
      <c r="H198" s="70" t="s">
        <v>1600</v>
      </c>
      <c r="I198" s="71"/>
      <c r="J198" s="71" t="s">
        <v>159</v>
      </c>
      <c r="K198" s="70" t="s">
        <v>1600</v>
      </c>
      <c r="L198" s="74">
        <v>1</v>
      </c>
      <c r="M198" s="75">
        <v>775.1004638671875</v>
      </c>
      <c r="N198" s="75">
        <v>2735.31591796875</v>
      </c>
      <c r="O198" s="76"/>
      <c r="P198" s="77"/>
      <c r="Q198" s="77"/>
      <c r="R198" s="89"/>
      <c r="S198" s="49">
        <v>0</v>
      </c>
      <c r="T198" s="49">
        <v>1</v>
      </c>
      <c r="U198" s="50">
        <v>0</v>
      </c>
      <c r="V198" s="50">
        <v>0.478122</v>
      </c>
      <c r="W198" s="50">
        <v>0.03471</v>
      </c>
      <c r="X198" s="50">
        <v>0.001935</v>
      </c>
      <c r="Y198" s="50">
        <v>0</v>
      </c>
      <c r="Z198" s="50">
        <v>0</v>
      </c>
      <c r="AA198" s="72">
        <v>198</v>
      </c>
      <c r="AB198" s="72"/>
      <c r="AC198" s="73"/>
      <c r="AD198" s="80" t="s">
        <v>1600</v>
      </c>
      <c r="AE198" s="80"/>
      <c r="AF198" s="80"/>
      <c r="AG198" s="80"/>
      <c r="AH198" s="80"/>
      <c r="AI198" s="80"/>
      <c r="AJ198" s="87">
        <v>39095.37924768519</v>
      </c>
      <c r="AK198" s="85" t="str">
        <f>HYPERLINK("https://yt3.ggpht.com/ytc/AKedOLSren75ntOmwkL5rvyLyIUc1Zyq1l9hBzdS6yc5JQ=s88-c-k-c0x00ffffff-no-rj")</f>
        <v>https://yt3.ggpht.com/ytc/AKedOLSren75ntOmwkL5rvyLyIUc1Zyq1l9hBzdS6yc5JQ=s88-c-k-c0x00ffffff-no-rj</v>
      </c>
      <c r="AL198" s="80">
        <v>0</v>
      </c>
      <c r="AM198" s="80">
        <v>0</v>
      </c>
      <c r="AN198" s="80">
        <v>0</v>
      </c>
      <c r="AO198" s="80" t="b">
        <v>0</v>
      </c>
      <c r="AP198" s="80">
        <v>0</v>
      </c>
      <c r="AQ198" s="80"/>
      <c r="AR198" s="80"/>
      <c r="AS198" s="80" t="s">
        <v>2085</v>
      </c>
      <c r="AT198" s="85" t="str">
        <f>HYPERLINK("https://www.youtube.com/channel/UCBj7pc-hhI678-ePMB94VUQ")</f>
        <v>https://www.youtube.com/channel/UCBj7pc-hhI678-ePMB94VUQ</v>
      </c>
      <c r="AU198" s="80" t="str">
        <f>REPLACE(INDEX(GroupVertices[Group],MATCH(Vertices[[#This Row],[Vertex]],GroupVertices[Vertex],0)),1,1,"")</f>
        <v>1</v>
      </c>
      <c r="AV198" s="49">
        <v>1</v>
      </c>
      <c r="AW198" s="50">
        <v>4.3478260869565215</v>
      </c>
      <c r="AX198" s="49">
        <v>0</v>
      </c>
      <c r="AY198" s="50">
        <v>0</v>
      </c>
      <c r="AZ198" s="49">
        <v>0</v>
      </c>
      <c r="BA198" s="50">
        <v>0</v>
      </c>
      <c r="BB198" s="49">
        <v>22</v>
      </c>
      <c r="BC198" s="50">
        <v>95.65217391304348</v>
      </c>
      <c r="BD198" s="49">
        <v>23</v>
      </c>
      <c r="BE198" s="49"/>
      <c r="BF198" s="49"/>
      <c r="BG198" s="49"/>
      <c r="BH198" s="49"/>
      <c r="BI198" s="49"/>
      <c r="BJ198" s="49"/>
      <c r="BK198" s="111" t="s">
        <v>3580</v>
      </c>
      <c r="BL198" s="111" t="s">
        <v>3580</v>
      </c>
      <c r="BM198" s="111" t="s">
        <v>4028</v>
      </c>
      <c r="BN198" s="111" t="s">
        <v>4028</v>
      </c>
      <c r="BO198" s="2"/>
      <c r="BP198" s="3"/>
      <c r="BQ198" s="3"/>
      <c r="BR198" s="3"/>
      <c r="BS198" s="3"/>
    </row>
    <row r="199" spans="1:71" ht="15">
      <c r="A199" s="65" t="s">
        <v>533</v>
      </c>
      <c r="B199" s="66"/>
      <c r="C199" s="66"/>
      <c r="D199" s="67">
        <v>150</v>
      </c>
      <c r="E199" s="69"/>
      <c r="F199" s="103" t="str">
        <f>HYPERLINK("https://yt3.ggpht.com/ytc/AKedOLQCFc2B-yrqg0vDIPkSOb_fW8ye5-snOiu43A=s88-c-k-c0x00ffffff-no-rj")</f>
        <v>https://yt3.ggpht.com/ytc/AKedOLQCFc2B-yrqg0vDIPkSOb_fW8ye5-snOiu43A=s88-c-k-c0x00ffffff-no-rj</v>
      </c>
      <c r="G199" s="66"/>
      <c r="H199" s="70" t="s">
        <v>1601</v>
      </c>
      <c r="I199" s="71"/>
      <c r="J199" s="71" t="s">
        <v>159</v>
      </c>
      <c r="K199" s="70" t="s">
        <v>1601</v>
      </c>
      <c r="L199" s="74">
        <v>1</v>
      </c>
      <c r="M199" s="75">
        <v>1201.119873046875</v>
      </c>
      <c r="N199" s="75">
        <v>7625.7138671875</v>
      </c>
      <c r="O199" s="76"/>
      <c r="P199" s="77"/>
      <c r="Q199" s="77"/>
      <c r="R199" s="89"/>
      <c r="S199" s="49">
        <v>0</v>
      </c>
      <c r="T199" s="49">
        <v>1</v>
      </c>
      <c r="U199" s="50">
        <v>0</v>
      </c>
      <c r="V199" s="50">
        <v>0.478122</v>
      </c>
      <c r="W199" s="50">
        <v>0.03471</v>
      </c>
      <c r="X199" s="50">
        <v>0.001935</v>
      </c>
      <c r="Y199" s="50">
        <v>0</v>
      </c>
      <c r="Z199" s="50">
        <v>0</v>
      </c>
      <c r="AA199" s="72">
        <v>199</v>
      </c>
      <c r="AB199" s="72"/>
      <c r="AC199" s="73"/>
      <c r="AD199" s="80" t="s">
        <v>1601</v>
      </c>
      <c r="AE199" s="80"/>
      <c r="AF199" s="80"/>
      <c r="AG199" s="80"/>
      <c r="AH199" s="80"/>
      <c r="AI199" s="80"/>
      <c r="AJ199" s="87">
        <v>41190.90675925926</v>
      </c>
      <c r="AK199" s="85" t="str">
        <f>HYPERLINK("https://yt3.ggpht.com/ytc/AKedOLQCFc2B-yrqg0vDIPkSOb_fW8ye5-snOiu43A=s88-c-k-c0x00ffffff-no-rj")</f>
        <v>https://yt3.ggpht.com/ytc/AKedOLQCFc2B-yrqg0vDIPkSOb_fW8ye5-snOiu43A=s88-c-k-c0x00ffffff-no-rj</v>
      </c>
      <c r="AL199" s="80">
        <v>0</v>
      </c>
      <c r="AM199" s="80">
        <v>0</v>
      </c>
      <c r="AN199" s="80">
        <v>0</v>
      </c>
      <c r="AO199" s="80" t="b">
        <v>0</v>
      </c>
      <c r="AP199" s="80">
        <v>0</v>
      </c>
      <c r="AQ199" s="80"/>
      <c r="AR199" s="80"/>
      <c r="AS199" s="80" t="s">
        <v>2085</v>
      </c>
      <c r="AT199" s="85" t="str">
        <f>HYPERLINK("https://www.youtube.com/channel/UCqSHqr7cQ-fYKNTd-gF9FPQ")</f>
        <v>https://www.youtube.com/channel/UCqSHqr7cQ-fYKNTd-gF9FPQ</v>
      </c>
      <c r="AU199" s="80" t="str">
        <f>REPLACE(INDEX(GroupVertices[Group],MATCH(Vertices[[#This Row],[Vertex]],GroupVertices[Vertex],0)),1,1,"")</f>
        <v>1</v>
      </c>
      <c r="AV199" s="49">
        <v>0</v>
      </c>
      <c r="AW199" s="50">
        <v>0</v>
      </c>
      <c r="AX199" s="49">
        <v>0</v>
      </c>
      <c r="AY199" s="50">
        <v>0</v>
      </c>
      <c r="AZ199" s="49">
        <v>0</v>
      </c>
      <c r="BA199" s="50">
        <v>0</v>
      </c>
      <c r="BB199" s="49">
        <v>5</v>
      </c>
      <c r="BC199" s="50">
        <v>100</v>
      </c>
      <c r="BD199" s="49">
        <v>5</v>
      </c>
      <c r="BE199" s="49"/>
      <c r="BF199" s="49"/>
      <c r="BG199" s="49"/>
      <c r="BH199" s="49"/>
      <c r="BI199" s="49"/>
      <c r="BJ199" s="49"/>
      <c r="BK199" s="111" t="s">
        <v>3581</v>
      </c>
      <c r="BL199" s="111" t="s">
        <v>3581</v>
      </c>
      <c r="BM199" s="111" t="s">
        <v>4029</v>
      </c>
      <c r="BN199" s="111" t="s">
        <v>4029</v>
      </c>
      <c r="BO199" s="2"/>
      <c r="BP199" s="3"/>
      <c r="BQ199" s="3"/>
      <c r="BR199" s="3"/>
      <c r="BS199" s="3"/>
    </row>
    <row r="200" spans="1:71" ht="15">
      <c r="A200" s="65" t="s">
        <v>534</v>
      </c>
      <c r="B200" s="66"/>
      <c r="C200" s="66"/>
      <c r="D200" s="67">
        <v>150</v>
      </c>
      <c r="E200" s="69"/>
      <c r="F200" s="103" t="str">
        <f>HYPERLINK("https://yt3.ggpht.com/ytc/AKedOLT96eFt3kpyeWkWO06_qrhwIo8wPh718WbMhE0HMw=s88-c-k-c0x00ffffff-no-rj")</f>
        <v>https://yt3.ggpht.com/ytc/AKedOLT96eFt3kpyeWkWO06_qrhwIo8wPh718WbMhE0HMw=s88-c-k-c0x00ffffff-no-rj</v>
      </c>
      <c r="G200" s="66"/>
      <c r="H200" s="70" t="s">
        <v>1602</v>
      </c>
      <c r="I200" s="71"/>
      <c r="J200" s="71" t="s">
        <v>159</v>
      </c>
      <c r="K200" s="70" t="s">
        <v>1602</v>
      </c>
      <c r="L200" s="74">
        <v>1</v>
      </c>
      <c r="M200" s="75">
        <v>4269.349609375</v>
      </c>
      <c r="N200" s="75">
        <v>4955.18798828125</v>
      </c>
      <c r="O200" s="76"/>
      <c r="P200" s="77"/>
      <c r="Q200" s="77"/>
      <c r="R200" s="89"/>
      <c r="S200" s="49">
        <v>0</v>
      </c>
      <c r="T200" s="49">
        <v>1</v>
      </c>
      <c r="U200" s="50">
        <v>0</v>
      </c>
      <c r="V200" s="50">
        <v>0.478122</v>
      </c>
      <c r="W200" s="50">
        <v>0.03471</v>
      </c>
      <c r="X200" s="50">
        <v>0.001935</v>
      </c>
      <c r="Y200" s="50">
        <v>0</v>
      </c>
      <c r="Z200" s="50">
        <v>0</v>
      </c>
      <c r="AA200" s="72">
        <v>200</v>
      </c>
      <c r="AB200" s="72"/>
      <c r="AC200" s="73"/>
      <c r="AD200" s="80" t="s">
        <v>1602</v>
      </c>
      <c r="AE200" s="80" t="s">
        <v>1998</v>
      </c>
      <c r="AF200" s="80"/>
      <c r="AG200" s="80"/>
      <c r="AH200" s="80"/>
      <c r="AI200" s="80"/>
      <c r="AJ200" s="87">
        <v>41243.2171875</v>
      </c>
      <c r="AK200" s="85" t="str">
        <f>HYPERLINK("https://yt3.ggpht.com/ytc/AKedOLT96eFt3kpyeWkWO06_qrhwIo8wPh718WbMhE0HMw=s88-c-k-c0x00ffffff-no-rj")</f>
        <v>https://yt3.ggpht.com/ytc/AKedOLT96eFt3kpyeWkWO06_qrhwIo8wPh718WbMhE0HMw=s88-c-k-c0x00ffffff-no-rj</v>
      </c>
      <c r="AL200" s="80">
        <v>0</v>
      </c>
      <c r="AM200" s="80">
        <v>0</v>
      </c>
      <c r="AN200" s="80">
        <v>16</v>
      </c>
      <c r="AO200" s="80" t="b">
        <v>0</v>
      </c>
      <c r="AP200" s="80">
        <v>0</v>
      </c>
      <c r="AQ200" s="80"/>
      <c r="AR200" s="80"/>
      <c r="AS200" s="80" t="s">
        <v>2085</v>
      </c>
      <c r="AT200" s="85" t="str">
        <f>HYPERLINK("https://www.youtube.com/channel/UC4Dsff1alNmMxnfpnA_vYoQ")</f>
        <v>https://www.youtube.com/channel/UC4Dsff1alNmMxnfpnA_vYoQ</v>
      </c>
      <c r="AU200" s="80" t="str">
        <f>REPLACE(INDEX(GroupVertices[Group],MATCH(Vertices[[#This Row],[Vertex]],GroupVertices[Vertex],0)),1,1,"")</f>
        <v>1</v>
      </c>
      <c r="AV200" s="49">
        <v>2</v>
      </c>
      <c r="AW200" s="50">
        <v>6.0606060606060606</v>
      </c>
      <c r="AX200" s="49">
        <v>1</v>
      </c>
      <c r="AY200" s="50">
        <v>3.0303030303030303</v>
      </c>
      <c r="AZ200" s="49">
        <v>0</v>
      </c>
      <c r="BA200" s="50">
        <v>0</v>
      </c>
      <c r="BB200" s="49">
        <v>30</v>
      </c>
      <c r="BC200" s="50">
        <v>90.9090909090909</v>
      </c>
      <c r="BD200" s="49">
        <v>33</v>
      </c>
      <c r="BE200" s="49"/>
      <c r="BF200" s="49"/>
      <c r="BG200" s="49"/>
      <c r="BH200" s="49"/>
      <c r="BI200" s="49"/>
      <c r="BJ200" s="49"/>
      <c r="BK200" s="111" t="s">
        <v>3582</v>
      </c>
      <c r="BL200" s="111" t="s">
        <v>3833</v>
      </c>
      <c r="BM200" s="111" t="s">
        <v>4030</v>
      </c>
      <c r="BN200" s="111" t="s">
        <v>4030</v>
      </c>
      <c r="BO200" s="2"/>
      <c r="BP200" s="3"/>
      <c r="BQ200" s="3"/>
      <c r="BR200" s="3"/>
      <c r="BS200" s="3"/>
    </row>
    <row r="201" spans="1:71" ht="15">
      <c r="A201" s="65" t="s">
        <v>535</v>
      </c>
      <c r="B201" s="66"/>
      <c r="C201" s="66"/>
      <c r="D201" s="67">
        <v>150</v>
      </c>
      <c r="E201" s="69"/>
      <c r="F201" s="103" t="str">
        <f>HYPERLINK("https://yt3.ggpht.com/ytc/AKedOLRR09GBu9KIVK_r4iKOnuAr9xl4ESCNvg3t5g=s88-c-k-c0x00ffffff-no-rj")</f>
        <v>https://yt3.ggpht.com/ytc/AKedOLRR09GBu9KIVK_r4iKOnuAr9xl4ESCNvg3t5g=s88-c-k-c0x00ffffff-no-rj</v>
      </c>
      <c r="G201" s="66"/>
      <c r="H201" s="70" t="s">
        <v>1603</v>
      </c>
      <c r="I201" s="71"/>
      <c r="J201" s="71" t="s">
        <v>159</v>
      </c>
      <c r="K201" s="70" t="s">
        <v>1603</v>
      </c>
      <c r="L201" s="74">
        <v>1</v>
      </c>
      <c r="M201" s="75">
        <v>5392.8232421875</v>
      </c>
      <c r="N201" s="75">
        <v>3152.087158203125</v>
      </c>
      <c r="O201" s="76"/>
      <c r="P201" s="77"/>
      <c r="Q201" s="77"/>
      <c r="R201" s="89"/>
      <c r="S201" s="49">
        <v>0</v>
      </c>
      <c r="T201" s="49">
        <v>1</v>
      </c>
      <c r="U201" s="50">
        <v>0</v>
      </c>
      <c r="V201" s="50">
        <v>0.478122</v>
      </c>
      <c r="W201" s="50">
        <v>0.03471</v>
      </c>
      <c r="X201" s="50">
        <v>0.001935</v>
      </c>
      <c r="Y201" s="50">
        <v>0</v>
      </c>
      <c r="Z201" s="50">
        <v>0</v>
      </c>
      <c r="AA201" s="72">
        <v>201</v>
      </c>
      <c r="AB201" s="72"/>
      <c r="AC201" s="73"/>
      <c r="AD201" s="80" t="s">
        <v>1603</v>
      </c>
      <c r="AE201" s="80"/>
      <c r="AF201" s="80"/>
      <c r="AG201" s="80"/>
      <c r="AH201" s="80"/>
      <c r="AI201" s="80"/>
      <c r="AJ201" s="87">
        <v>39407.93646990741</v>
      </c>
      <c r="AK201" s="85" t="str">
        <f>HYPERLINK("https://yt3.ggpht.com/ytc/AKedOLRR09GBu9KIVK_r4iKOnuAr9xl4ESCNvg3t5g=s88-c-k-c0x00ffffff-no-rj")</f>
        <v>https://yt3.ggpht.com/ytc/AKedOLRR09GBu9KIVK_r4iKOnuAr9xl4ESCNvg3t5g=s88-c-k-c0x00ffffff-no-rj</v>
      </c>
      <c r="AL201" s="80">
        <v>34455</v>
      </c>
      <c r="AM201" s="80">
        <v>0</v>
      </c>
      <c r="AN201" s="80">
        <v>27</v>
      </c>
      <c r="AO201" s="80" t="b">
        <v>0</v>
      </c>
      <c r="AP201" s="80">
        <v>2</v>
      </c>
      <c r="AQ201" s="80"/>
      <c r="AR201" s="80"/>
      <c r="AS201" s="80" t="s">
        <v>2085</v>
      </c>
      <c r="AT201" s="85" t="str">
        <f>HYPERLINK("https://www.youtube.com/channel/UCEIXj2JRNSNs781Kx7Jg-Wg")</f>
        <v>https://www.youtube.com/channel/UCEIXj2JRNSNs781Kx7Jg-Wg</v>
      </c>
      <c r="AU201" s="80" t="str">
        <f>REPLACE(INDEX(GroupVertices[Group],MATCH(Vertices[[#This Row],[Vertex]],GroupVertices[Vertex],0)),1,1,"")</f>
        <v>1</v>
      </c>
      <c r="AV201" s="49">
        <v>8</v>
      </c>
      <c r="AW201" s="50">
        <v>4.519774011299435</v>
      </c>
      <c r="AX201" s="49">
        <v>14</v>
      </c>
      <c r="AY201" s="50">
        <v>7.909604519774011</v>
      </c>
      <c r="AZ201" s="49">
        <v>0</v>
      </c>
      <c r="BA201" s="50">
        <v>0</v>
      </c>
      <c r="BB201" s="49">
        <v>155</v>
      </c>
      <c r="BC201" s="50">
        <v>87.57062146892656</v>
      </c>
      <c r="BD201" s="49">
        <v>177</v>
      </c>
      <c r="BE201" s="49"/>
      <c r="BF201" s="49"/>
      <c r="BG201" s="49"/>
      <c r="BH201" s="49"/>
      <c r="BI201" s="49"/>
      <c r="BJ201" s="49"/>
      <c r="BK201" s="111" t="s">
        <v>3583</v>
      </c>
      <c r="BL201" s="111" t="s">
        <v>3834</v>
      </c>
      <c r="BM201" s="111" t="s">
        <v>4031</v>
      </c>
      <c r="BN201" s="111" t="s">
        <v>4031</v>
      </c>
      <c r="BO201" s="2"/>
      <c r="BP201" s="3"/>
      <c r="BQ201" s="3"/>
      <c r="BR201" s="3"/>
      <c r="BS201" s="3"/>
    </row>
    <row r="202" spans="1:71" ht="15">
      <c r="A202" s="65" t="s">
        <v>536</v>
      </c>
      <c r="B202" s="66"/>
      <c r="C202" s="66"/>
      <c r="D202" s="67">
        <v>150</v>
      </c>
      <c r="E202" s="69"/>
      <c r="F202" s="103" t="str">
        <f>HYPERLINK("https://yt3.ggpht.com/ytc/AKedOLSXPzZknm1IjgkRcU7CFflac69XURpzDKP1N8pa=s88-c-k-c0x00ffffff-no-rj")</f>
        <v>https://yt3.ggpht.com/ytc/AKedOLSXPzZknm1IjgkRcU7CFflac69XURpzDKP1N8pa=s88-c-k-c0x00ffffff-no-rj</v>
      </c>
      <c r="G202" s="66"/>
      <c r="H202" s="70" t="s">
        <v>1604</v>
      </c>
      <c r="I202" s="71"/>
      <c r="J202" s="71" t="s">
        <v>159</v>
      </c>
      <c r="K202" s="70" t="s">
        <v>1604</v>
      </c>
      <c r="L202" s="74">
        <v>1</v>
      </c>
      <c r="M202" s="75">
        <v>4877.27587890625</v>
      </c>
      <c r="N202" s="75">
        <v>5426.77880859375</v>
      </c>
      <c r="O202" s="76"/>
      <c r="P202" s="77"/>
      <c r="Q202" s="77"/>
      <c r="R202" s="89"/>
      <c r="S202" s="49">
        <v>0</v>
      </c>
      <c r="T202" s="49">
        <v>1</v>
      </c>
      <c r="U202" s="50">
        <v>0</v>
      </c>
      <c r="V202" s="50">
        <v>0.478122</v>
      </c>
      <c r="W202" s="50">
        <v>0.03471</v>
      </c>
      <c r="X202" s="50">
        <v>0.001935</v>
      </c>
      <c r="Y202" s="50">
        <v>0</v>
      </c>
      <c r="Z202" s="50">
        <v>0</v>
      </c>
      <c r="AA202" s="72">
        <v>202</v>
      </c>
      <c r="AB202" s="72"/>
      <c r="AC202" s="73"/>
      <c r="AD202" s="80" t="s">
        <v>1604</v>
      </c>
      <c r="AE202" s="80"/>
      <c r="AF202" s="80"/>
      <c r="AG202" s="80"/>
      <c r="AH202" s="80"/>
      <c r="AI202" s="80"/>
      <c r="AJ202" s="87">
        <v>38844.861342592594</v>
      </c>
      <c r="AK202" s="85" t="str">
        <f>HYPERLINK("https://yt3.ggpht.com/ytc/AKedOLSXPzZknm1IjgkRcU7CFflac69XURpzDKP1N8pa=s88-c-k-c0x00ffffff-no-rj")</f>
        <v>https://yt3.ggpht.com/ytc/AKedOLSXPzZknm1IjgkRcU7CFflac69XURpzDKP1N8pa=s88-c-k-c0x00ffffff-no-rj</v>
      </c>
      <c r="AL202" s="80">
        <v>7172</v>
      </c>
      <c r="AM202" s="80">
        <v>0</v>
      </c>
      <c r="AN202" s="80">
        <v>9</v>
      </c>
      <c r="AO202" s="80" t="b">
        <v>0</v>
      </c>
      <c r="AP202" s="80">
        <v>8</v>
      </c>
      <c r="AQ202" s="80"/>
      <c r="AR202" s="80"/>
      <c r="AS202" s="80" t="s">
        <v>2085</v>
      </c>
      <c r="AT202" s="85" t="str">
        <f>HYPERLINK("https://www.youtube.com/channel/UC5m0TKJ9zA22TkLmp594ZEQ")</f>
        <v>https://www.youtube.com/channel/UC5m0TKJ9zA22TkLmp594ZEQ</v>
      </c>
      <c r="AU202" s="80" t="str">
        <f>REPLACE(INDEX(GroupVertices[Group],MATCH(Vertices[[#This Row],[Vertex]],GroupVertices[Vertex],0)),1,1,"")</f>
        <v>1</v>
      </c>
      <c r="AV202" s="49">
        <v>1</v>
      </c>
      <c r="AW202" s="50">
        <v>4.545454545454546</v>
      </c>
      <c r="AX202" s="49">
        <v>1</v>
      </c>
      <c r="AY202" s="50">
        <v>4.545454545454546</v>
      </c>
      <c r="AZ202" s="49">
        <v>0</v>
      </c>
      <c r="BA202" s="50">
        <v>0</v>
      </c>
      <c r="BB202" s="49">
        <v>20</v>
      </c>
      <c r="BC202" s="50">
        <v>90.9090909090909</v>
      </c>
      <c r="BD202" s="49">
        <v>22</v>
      </c>
      <c r="BE202" s="49"/>
      <c r="BF202" s="49"/>
      <c r="BG202" s="49"/>
      <c r="BH202" s="49"/>
      <c r="BI202" s="49"/>
      <c r="BJ202" s="49"/>
      <c r="BK202" s="111" t="s">
        <v>3584</v>
      </c>
      <c r="BL202" s="111" t="s">
        <v>3584</v>
      </c>
      <c r="BM202" s="111" t="s">
        <v>4032</v>
      </c>
      <c r="BN202" s="111" t="s">
        <v>4032</v>
      </c>
      <c r="BO202" s="2"/>
      <c r="BP202" s="3"/>
      <c r="BQ202" s="3"/>
      <c r="BR202" s="3"/>
      <c r="BS202" s="3"/>
    </row>
    <row r="203" spans="1:71" ht="15">
      <c r="A203" s="65" t="s">
        <v>537</v>
      </c>
      <c r="B203" s="66"/>
      <c r="C203" s="66"/>
      <c r="D203" s="67">
        <v>150</v>
      </c>
      <c r="E203" s="69"/>
      <c r="F203" s="103" t="str">
        <f>HYPERLINK("https://yt3.ggpht.com/ytc/AKedOLQ5F2Ym-6vC7-OOBk236nW20vbg2QsgV0g4cgy9uSk=s88-c-k-c0x00ffffff-no-rj")</f>
        <v>https://yt3.ggpht.com/ytc/AKedOLQ5F2Ym-6vC7-OOBk236nW20vbg2QsgV0g4cgy9uSk=s88-c-k-c0x00ffffff-no-rj</v>
      </c>
      <c r="G203" s="66"/>
      <c r="H203" s="70" t="s">
        <v>1605</v>
      </c>
      <c r="I203" s="71"/>
      <c r="J203" s="71" t="s">
        <v>159</v>
      </c>
      <c r="K203" s="70" t="s">
        <v>1605</v>
      </c>
      <c r="L203" s="74">
        <v>1</v>
      </c>
      <c r="M203" s="75">
        <v>6109.92041015625</v>
      </c>
      <c r="N203" s="75">
        <v>848.5955200195312</v>
      </c>
      <c r="O203" s="76"/>
      <c r="P203" s="77"/>
      <c r="Q203" s="77"/>
      <c r="R203" s="89"/>
      <c r="S203" s="49">
        <v>0</v>
      </c>
      <c r="T203" s="49">
        <v>1</v>
      </c>
      <c r="U203" s="50">
        <v>0</v>
      </c>
      <c r="V203" s="50">
        <v>0.478122</v>
      </c>
      <c r="W203" s="50">
        <v>0.03471</v>
      </c>
      <c r="X203" s="50">
        <v>0.001935</v>
      </c>
      <c r="Y203" s="50">
        <v>0</v>
      </c>
      <c r="Z203" s="50">
        <v>0</v>
      </c>
      <c r="AA203" s="72">
        <v>203</v>
      </c>
      <c r="AB203" s="72"/>
      <c r="AC203" s="73"/>
      <c r="AD203" s="80" t="s">
        <v>1605</v>
      </c>
      <c r="AE203" s="80"/>
      <c r="AF203" s="80"/>
      <c r="AG203" s="80"/>
      <c r="AH203" s="80"/>
      <c r="AI203" s="80"/>
      <c r="AJ203" s="87">
        <v>40646.60810185185</v>
      </c>
      <c r="AK203" s="85" t="str">
        <f>HYPERLINK("https://yt3.ggpht.com/ytc/AKedOLQ5F2Ym-6vC7-OOBk236nW20vbg2QsgV0g4cgy9uSk=s88-c-k-c0x00ffffff-no-rj")</f>
        <v>https://yt3.ggpht.com/ytc/AKedOLQ5F2Ym-6vC7-OOBk236nW20vbg2QsgV0g4cgy9uSk=s88-c-k-c0x00ffffff-no-rj</v>
      </c>
      <c r="AL203" s="80">
        <v>29</v>
      </c>
      <c r="AM203" s="80">
        <v>0</v>
      </c>
      <c r="AN203" s="80">
        <v>1</v>
      </c>
      <c r="AO203" s="80" t="b">
        <v>0</v>
      </c>
      <c r="AP203" s="80">
        <v>3</v>
      </c>
      <c r="AQ203" s="80"/>
      <c r="AR203" s="80"/>
      <c r="AS203" s="80" t="s">
        <v>2085</v>
      </c>
      <c r="AT203" s="85" t="str">
        <f>HYPERLINK("https://www.youtube.com/channel/UCFpwX53ykKWLt0EK3NHdNGw")</f>
        <v>https://www.youtube.com/channel/UCFpwX53ykKWLt0EK3NHdNGw</v>
      </c>
      <c r="AU203" s="80" t="str">
        <f>REPLACE(INDEX(GroupVertices[Group],MATCH(Vertices[[#This Row],[Vertex]],GroupVertices[Vertex],0)),1,1,"")</f>
        <v>1</v>
      </c>
      <c r="AV203" s="49">
        <v>1</v>
      </c>
      <c r="AW203" s="50">
        <v>5.555555555555555</v>
      </c>
      <c r="AX203" s="49">
        <v>0</v>
      </c>
      <c r="AY203" s="50">
        <v>0</v>
      </c>
      <c r="AZ203" s="49">
        <v>0</v>
      </c>
      <c r="BA203" s="50">
        <v>0</v>
      </c>
      <c r="BB203" s="49">
        <v>17</v>
      </c>
      <c r="BC203" s="50">
        <v>94.44444444444444</v>
      </c>
      <c r="BD203" s="49">
        <v>18</v>
      </c>
      <c r="BE203" s="49"/>
      <c r="BF203" s="49"/>
      <c r="BG203" s="49"/>
      <c r="BH203" s="49"/>
      <c r="BI203" s="49"/>
      <c r="BJ203" s="49"/>
      <c r="BK203" s="111" t="s">
        <v>3585</v>
      </c>
      <c r="BL203" s="111" t="s">
        <v>3585</v>
      </c>
      <c r="BM203" s="111" t="s">
        <v>4033</v>
      </c>
      <c r="BN203" s="111" t="s">
        <v>4033</v>
      </c>
      <c r="BO203" s="2"/>
      <c r="BP203" s="3"/>
      <c r="BQ203" s="3"/>
      <c r="BR203" s="3"/>
      <c r="BS203" s="3"/>
    </row>
    <row r="204" spans="1:71" ht="15">
      <c r="A204" s="65" t="s">
        <v>538</v>
      </c>
      <c r="B204" s="66"/>
      <c r="C204" s="66"/>
      <c r="D204" s="67">
        <v>150</v>
      </c>
      <c r="E204" s="69"/>
      <c r="F204" s="103" t="str">
        <f>HYPERLINK("https://yt3.ggpht.com/ytc/AKedOLRQlPFSQf2GuQPEUmY8LQMo07_qFmotmtT6VQ=s88-c-k-c0x00ffffff-no-rj")</f>
        <v>https://yt3.ggpht.com/ytc/AKedOLRQlPFSQf2GuQPEUmY8LQMo07_qFmotmtT6VQ=s88-c-k-c0x00ffffff-no-rj</v>
      </c>
      <c r="G204" s="66"/>
      <c r="H204" s="70" t="s">
        <v>1606</v>
      </c>
      <c r="I204" s="71"/>
      <c r="J204" s="71" t="s">
        <v>159</v>
      </c>
      <c r="K204" s="70" t="s">
        <v>1606</v>
      </c>
      <c r="L204" s="74">
        <v>1</v>
      </c>
      <c r="M204" s="75">
        <v>2444.97021484375</v>
      </c>
      <c r="N204" s="75">
        <v>9268.8916015625</v>
      </c>
      <c r="O204" s="76"/>
      <c r="P204" s="77"/>
      <c r="Q204" s="77"/>
      <c r="R204" s="89"/>
      <c r="S204" s="49">
        <v>0</v>
      </c>
      <c r="T204" s="49">
        <v>1</v>
      </c>
      <c r="U204" s="50">
        <v>0</v>
      </c>
      <c r="V204" s="50">
        <v>0.478122</v>
      </c>
      <c r="W204" s="50">
        <v>0.03471</v>
      </c>
      <c r="X204" s="50">
        <v>0.001935</v>
      </c>
      <c r="Y204" s="50">
        <v>0</v>
      </c>
      <c r="Z204" s="50">
        <v>0</v>
      </c>
      <c r="AA204" s="72">
        <v>204</v>
      </c>
      <c r="AB204" s="72"/>
      <c r="AC204" s="73"/>
      <c r="AD204" s="80" t="s">
        <v>1606</v>
      </c>
      <c r="AE204" s="80"/>
      <c r="AF204" s="80"/>
      <c r="AG204" s="80"/>
      <c r="AH204" s="80"/>
      <c r="AI204" s="80"/>
      <c r="AJ204" s="87">
        <v>38924.999444444446</v>
      </c>
      <c r="AK204" s="85" t="str">
        <f>HYPERLINK("https://yt3.ggpht.com/ytc/AKedOLRQlPFSQf2GuQPEUmY8LQMo07_qFmotmtT6VQ=s88-c-k-c0x00ffffff-no-rj")</f>
        <v>https://yt3.ggpht.com/ytc/AKedOLRQlPFSQf2GuQPEUmY8LQMo07_qFmotmtT6VQ=s88-c-k-c0x00ffffff-no-rj</v>
      </c>
      <c r="AL204" s="80">
        <v>565</v>
      </c>
      <c r="AM204" s="80">
        <v>0</v>
      </c>
      <c r="AN204" s="80">
        <v>5</v>
      </c>
      <c r="AO204" s="80" t="b">
        <v>0</v>
      </c>
      <c r="AP204" s="80">
        <v>3</v>
      </c>
      <c r="AQ204" s="80"/>
      <c r="AR204" s="80"/>
      <c r="AS204" s="80" t="s">
        <v>2085</v>
      </c>
      <c r="AT204" s="85" t="str">
        <f>HYPERLINK("https://www.youtube.com/channel/UCNLlJNlSWf7o1vrRS7a0Chw")</f>
        <v>https://www.youtube.com/channel/UCNLlJNlSWf7o1vrRS7a0Chw</v>
      </c>
      <c r="AU204" s="80" t="str">
        <f>REPLACE(INDEX(GroupVertices[Group],MATCH(Vertices[[#This Row],[Vertex]],GroupVertices[Vertex],0)),1,1,"")</f>
        <v>1</v>
      </c>
      <c r="AV204" s="49">
        <v>3</v>
      </c>
      <c r="AW204" s="50">
        <v>7.894736842105263</v>
      </c>
      <c r="AX204" s="49">
        <v>0</v>
      </c>
      <c r="AY204" s="50">
        <v>0</v>
      </c>
      <c r="AZ204" s="49">
        <v>0</v>
      </c>
      <c r="BA204" s="50">
        <v>0</v>
      </c>
      <c r="BB204" s="49">
        <v>35</v>
      </c>
      <c r="BC204" s="50">
        <v>92.10526315789474</v>
      </c>
      <c r="BD204" s="49">
        <v>38</v>
      </c>
      <c r="BE204" s="49"/>
      <c r="BF204" s="49"/>
      <c r="BG204" s="49"/>
      <c r="BH204" s="49"/>
      <c r="BI204" s="49"/>
      <c r="BJ204" s="49"/>
      <c r="BK204" s="111" t="s">
        <v>3586</v>
      </c>
      <c r="BL204" s="111" t="s">
        <v>3586</v>
      </c>
      <c r="BM204" s="111" t="s">
        <v>4034</v>
      </c>
      <c r="BN204" s="111" t="s">
        <v>4034</v>
      </c>
      <c r="BO204" s="2"/>
      <c r="BP204" s="3"/>
      <c r="BQ204" s="3"/>
      <c r="BR204" s="3"/>
      <c r="BS204" s="3"/>
    </row>
    <row r="205" spans="1:71" ht="15">
      <c r="A205" s="65" t="s">
        <v>539</v>
      </c>
      <c r="B205" s="66"/>
      <c r="C205" s="66"/>
      <c r="D205" s="67">
        <v>150</v>
      </c>
      <c r="E205" s="69"/>
      <c r="F205" s="103" t="str">
        <f>HYPERLINK("https://yt3.ggpht.com/ytc/AKedOLTSc1TjEa8gwz6VZioAai9XMHzXE_A58dAl1g=s88-c-k-c0x00ffffff-no-rj")</f>
        <v>https://yt3.ggpht.com/ytc/AKedOLTSc1TjEa8gwz6VZioAai9XMHzXE_A58dAl1g=s88-c-k-c0x00ffffff-no-rj</v>
      </c>
      <c r="G205" s="66"/>
      <c r="H205" s="70" t="s">
        <v>1607</v>
      </c>
      <c r="I205" s="71"/>
      <c r="J205" s="71" t="s">
        <v>159</v>
      </c>
      <c r="K205" s="70" t="s">
        <v>1607</v>
      </c>
      <c r="L205" s="74">
        <v>1</v>
      </c>
      <c r="M205" s="75">
        <v>4847.55322265625</v>
      </c>
      <c r="N205" s="75">
        <v>8655.4052734375</v>
      </c>
      <c r="O205" s="76"/>
      <c r="P205" s="77"/>
      <c r="Q205" s="77"/>
      <c r="R205" s="89"/>
      <c r="S205" s="49">
        <v>0</v>
      </c>
      <c r="T205" s="49">
        <v>1</v>
      </c>
      <c r="U205" s="50">
        <v>0</v>
      </c>
      <c r="V205" s="50">
        <v>0.478122</v>
      </c>
      <c r="W205" s="50">
        <v>0.03471</v>
      </c>
      <c r="X205" s="50">
        <v>0.001935</v>
      </c>
      <c r="Y205" s="50">
        <v>0</v>
      </c>
      <c r="Z205" s="50">
        <v>0</v>
      </c>
      <c r="AA205" s="72">
        <v>205</v>
      </c>
      <c r="AB205" s="72"/>
      <c r="AC205" s="73"/>
      <c r="AD205" s="80" t="s">
        <v>1607</v>
      </c>
      <c r="AE205" s="80"/>
      <c r="AF205" s="80"/>
      <c r="AG205" s="80"/>
      <c r="AH205" s="80"/>
      <c r="AI205" s="80"/>
      <c r="AJ205" s="87">
        <v>40376.15956018519</v>
      </c>
      <c r="AK205" s="85" t="str">
        <f>HYPERLINK("https://yt3.ggpht.com/ytc/AKedOLTSc1TjEa8gwz6VZioAai9XMHzXE_A58dAl1g=s88-c-k-c0x00ffffff-no-rj")</f>
        <v>https://yt3.ggpht.com/ytc/AKedOLTSc1TjEa8gwz6VZioAai9XMHzXE_A58dAl1g=s88-c-k-c0x00ffffff-no-rj</v>
      </c>
      <c r="AL205" s="80">
        <v>0</v>
      </c>
      <c r="AM205" s="80">
        <v>0</v>
      </c>
      <c r="AN205" s="80">
        <v>22</v>
      </c>
      <c r="AO205" s="80" t="b">
        <v>0</v>
      </c>
      <c r="AP205" s="80">
        <v>0</v>
      </c>
      <c r="AQ205" s="80"/>
      <c r="AR205" s="80"/>
      <c r="AS205" s="80" t="s">
        <v>2085</v>
      </c>
      <c r="AT205" s="85" t="str">
        <f>HYPERLINK("https://www.youtube.com/channel/UCMrwz3szwrEugH00DKy6YWw")</f>
        <v>https://www.youtube.com/channel/UCMrwz3szwrEugH00DKy6YWw</v>
      </c>
      <c r="AU205" s="80" t="str">
        <f>REPLACE(INDEX(GroupVertices[Group],MATCH(Vertices[[#This Row],[Vertex]],GroupVertices[Vertex],0)),1,1,"")</f>
        <v>1</v>
      </c>
      <c r="AV205" s="49">
        <v>2</v>
      </c>
      <c r="AW205" s="50">
        <v>2.6315789473684212</v>
      </c>
      <c r="AX205" s="49">
        <v>2</v>
      </c>
      <c r="AY205" s="50">
        <v>2.6315789473684212</v>
      </c>
      <c r="AZ205" s="49">
        <v>0</v>
      </c>
      <c r="BA205" s="50">
        <v>0</v>
      </c>
      <c r="BB205" s="49">
        <v>72</v>
      </c>
      <c r="BC205" s="50">
        <v>94.73684210526316</v>
      </c>
      <c r="BD205" s="49">
        <v>76</v>
      </c>
      <c r="BE205" s="49"/>
      <c r="BF205" s="49"/>
      <c r="BG205" s="49"/>
      <c r="BH205" s="49"/>
      <c r="BI205" s="49"/>
      <c r="BJ205" s="49"/>
      <c r="BK205" s="111" t="s">
        <v>3587</v>
      </c>
      <c r="BL205" s="111" t="s">
        <v>3587</v>
      </c>
      <c r="BM205" s="111" t="s">
        <v>4035</v>
      </c>
      <c r="BN205" s="111" t="s">
        <v>4035</v>
      </c>
      <c r="BO205" s="2"/>
      <c r="BP205" s="3"/>
      <c r="BQ205" s="3"/>
      <c r="BR205" s="3"/>
      <c r="BS205" s="3"/>
    </row>
    <row r="206" spans="1:71" ht="15">
      <c r="A206" s="65" t="s">
        <v>540</v>
      </c>
      <c r="B206" s="66"/>
      <c r="C206" s="66"/>
      <c r="D206" s="67">
        <v>150</v>
      </c>
      <c r="E206" s="69"/>
      <c r="F206" s="103" t="str">
        <f>HYPERLINK("https://yt3.ggpht.com/ytc/AKedOLTOjV7JQPsf-OCxuvmodRiXeq4p3iED0ZEL4w=s88-c-k-c0x00ffffff-no-rj")</f>
        <v>https://yt3.ggpht.com/ytc/AKedOLTOjV7JQPsf-OCxuvmodRiXeq4p3iED0ZEL4w=s88-c-k-c0x00ffffff-no-rj</v>
      </c>
      <c r="G206" s="66"/>
      <c r="H206" s="70" t="s">
        <v>1608</v>
      </c>
      <c r="I206" s="71"/>
      <c r="J206" s="71" t="s">
        <v>159</v>
      </c>
      <c r="K206" s="70" t="s">
        <v>1608</v>
      </c>
      <c r="L206" s="74">
        <v>1</v>
      </c>
      <c r="M206" s="75">
        <v>2860.169677734375</v>
      </c>
      <c r="N206" s="75">
        <v>9530.9755859375</v>
      </c>
      <c r="O206" s="76"/>
      <c r="P206" s="77"/>
      <c r="Q206" s="77"/>
      <c r="R206" s="89"/>
      <c r="S206" s="49">
        <v>0</v>
      </c>
      <c r="T206" s="49">
        <v>1</v>
      </c>
      <c r="U206" s="50">
        <v>0</v>
      </c>
      <c r="V206" s="50">
        <v>0.478122</v>
      </c>
      <c r="W206" s="50">
        <v>0.03471</v>
      </c>
      <c r="X206" s="50">
        <v>0.001935</v>
      </c>
      <c r="Y206" s="50">
        <v>0</v>
      </c>
      <c r="Z206" s="50">
        <v>0</v>
      </c>
      <c r="AA206" s="72">
        <v>206</v>
      </c>
      <c r="AB206" s="72"/>
      <c r="AC206" s="73"/>
      <c r="AD206" s="80" t="s">
        <v>1608</v>
      </c>
      <c r="AE206" s="80"/>
      <c r="AF206" s="80"/>
      <c r="AG206" s="80"/>
      <c r="AH206" s="80"/>
      <c r="AI206" s="80"/>
      <c r="AJ206" s="87">
        <v>40634.965578703705</v>
      </c>
      <c r="AK206" s="85" t="str">
        <f>HYPERLINK("https://yt3.ggpht.com/ytc/AKedOLTOjV7JQPsf-OCxuvmodRiXeq4p3iED0ZEL4w=s88-c-k-c0x00ffffff-no-rj")</f>
        <v>https://yt3.ggpht.com/ytc/AKedOLTOjV7JQPsf-OCxuvmodRiXeq4p3iED0ZEL4w=s88-c-k-c0x00ffffff-no-rj</v>
      </c>
      <c r="AL206" s="80">
        <v>0</v>
      </c>
      <c r="AM206" s="80">
        <v>0</v>
      </c>
      <c r="AN206" s="80">
        <v>1</v>
      </c>
      <c r="AO206" s="80" t="b">
        <v>0</v>
      </c>
      <c r="AP206" s="80">
        <v>0</v>
      </c>
      <c r="AQ206" s="80"/>
      <c r="AR206" s="80"/>
      <c r="AS206" s="80" t="s">
        <v>2085</v>
      </c>
      <c r="AT206" s="85" t="str">
        <f>HYPERLINK("https://www.youtube.com/channel/UCrHMteoemHWAk0ZUN7-2-fQ")</f>
        <v>https://www.youtube.com/channel/UCrHMteoemHWAk0ZUN7-2-fQ</v>
      </c>
      <c r="AU206" s="80" t="str">
        <f>REPLACE(INDEX(GroupVertices[Group],MATCH(Vertices[[#This Row],[Vertex]],GroupVertices[Vertex],0)),1,1,"")</f>
        <v>1</v>
      </c>
      <c r="AV206" s="49">
        <v>0</v>
      </c>
      <c r="AW206" s="50">
        <v>0</v>
      </c>
      <c r="AX206" s="49">
        <v>0</v>
      </c>
      <c r="AY206" s="50">
        <v>0</v>
      </c>
      <c r="AZ206" s="49">
        <v>0</v>
      </c>
      <c r="BA206" s="50">
        <v>0</v>
      </c>
      <c r="BB206" s="49">
        <v>12</v>
      </c>
      <c r="BC206" s="50">
        <v>100</v>
      </c>
      <c r="BD206" s="49">
        <v>12</v>
      </c>
      <c r="BE206" s="49"/>
      <c r="BF206" s="49"/>
      <c r="BG206" s="49"/>
      <c r="BH206" s="49"/>
      <c r="BI206" s="49"/>
      <c r="BJ206" s="49"/>
      <c r="BK206" s="111" t="s">
        <v>3588</v>
      </c>
      <c r="BL206" s="111" t="s">
        <v>3588</v>
      </c>
      <c r="BM206" s="111" t="s">
        <v>4036</v>
      </c>
      <c r="BN206" s="111" t="s">
        <v>4036</v>
      </c>
      <c r="BO206" s="2"/>
      <c r="BP206" s="3"/>
      <c r="BQ206" s="3"/>
      <c r="BR206" s="3"/>
      <c r="BS206" s="3"/>
    </row>
    <row r="207" spans="1:71" ht="15">
      <c r="A207" s="65" t="s">
        <v>541</v>
      </c>
      <c r="B207" s="66"/>
      <c r="C207" s="66"/>
      <c r="D207" s="67">
        <v>150</v>
      </c>
      <c r="E207" s="69"/>
      <c r="F207" s="103" t="str">
        <f>HYPERLINK("https://yt3.ggpht.com/ytc/AKedOLTjrxS8vu4gHYo7xV_OgKSIYRMT1_ZOxbflfw=s88-c-k-c0x00ffffff-no-rj")</f>
        <v>https://yt3.ggpht.com/ytc/AKedOLTjrxS8vu4gHYo7xV_OgKSIYRMT1_ZOxbflfw=s88-c-k-c0x00ffffff-no-rj</v>
      </c>
      <c r="G207" s="66"/>
      <c r="H207" s="70" t="s">
        <v>1609</v>
      </c>
      <c r="I207" s="71"/>
      <c r="J207" s="71" t="s">
        <v>159</v>
      </c>
      <c r="K207" s="70" t="s">
        <v>1609</v>
      </c>
      <c r="L207" s="74">
        <v>1</v>
      </c>
      <c r="M207" s="75">
        <v>779.1658325195312</v>
      </c>
      <c r="N207" s="75">
        <v>4242.36181640625</v>
      </c>
      <c r="O207" s="76"/>
      <c r="P207" s="77"/>
      <c r="Q207" s="77"/>
      <c r="R207" s="89"/>
      <c r="S207" s="49">
        <v>0</v>
      </c>
      <c r="T207" s="49">
        <v>1</v>
      </c>
      <c r="U207" s="50">
        <v>0</v>
      </c>
      <c r="V207" s="50">
        <v>0.478122</v>
      </c>
      <c r="W207" s="50">
        <v>0.03471</v>
      </c>
      <c r="X207" s="50">
        <v>0.001935</v>
      </c>
      <c r="Y207" s="50">
        <v>0</v>
      </c>
      <c r="Z207" s="50">
        <v>0</v>
      </c>
      <c r="AA207" s="72">
        <v>207</v>
      </c>
      <c r="AB207" s="72"/>
      <c r="AC207" s="73"/>
      <c r="AD207" s="80" t="s">
        <v>1609</v>
      </c>
      <c r="AE207" s="80" t="s">
        <v>1999</v>
      </c>
      <c r="AF207" s="80"/>
      <c r="AG207" s="80"/>
      <c r="AH207" s="80"/>
      <c r="AI207" s="80"/>
      <c r="AJ207" s="87">
        <v>41057.13449074074</v>
      </c>
      <c r="AK207" s="85" t="str">
        <f>HYPERLINK("https://yt3.ggpht.com/ytc/AKedOLTjrxS8vu4gHYo7xV_OgKSIYRMT1_ZOxbflfw=s88-c-k-c0x00ffffff-no-rj")</f>
        <v>https://yt3.ggpht.com/ytc/AKedOLTjrxS8vu4gHYo7xV_OgKSIYRMT1_ZOxbflfw=s88-c-k-c0x00ffffff-no-rj</v>
      </c>
      <c r="AL207" s="80">
        <v>0</v>
      </c>
      <c r="AM207" s="80">
        <v>0</v>
      </c>
      <c r="AN207" s="80">
        <v>5</v>
      </c>
      <c r="AO207" s="80" t="b">
        <v>0</v>
      </c>
      <c r="AP207" s="80">
        <v>0</v>
      </c>
      <c r="AQ207" s="80"/>
      <c r="AR207" s="80"/>
      <c r="AS207" s="80" t="s">
        <v>2085</v>
      </c>
      <c r="AT207" s="85" t="str">
        <f>HYPERLINK("https://www.youtube.com/channel/UCvvYo6r3QSI1U58GickP3pA")</f>
        <v>https://www.youtube.com/channel/UCvvYo6r3QSI1U58GickP3pA</v>
      </c>
      <c r="AU207" s="80" t="str">
        <f>REPLACE(INDEX(GroupVertices[Group],MATCH(Vertices[[#This Row],[Vertex]],GroupVertices[Vertex],0)),1,1,"")</f>
        <v>1</v>
      </c>
      <c r="AV207" s="49">
        <v>0</v>
      </c>
      <c r="AW207" s="50">
        <v>0</v>
      </c>
      <c r="AX207" s="49">
        <v>0</v>
      </c>
      <c r="AY207" s="50">
        <v>0</v>
      </c>
      <c r="AZ207" s="49">
        <v>0</v>
      </c>
      <c r="BA207" s="50">
        <v>0</v>
      </c>
      <c r="BB207" s="49">
        <v>16</v>
      </c>
      <c r="BC207" s="50">
        <v>100</v>
      </c>
      <c r="BD207" s="49">
        <v>16</v>
      </c>
      <c r="BE207" s="49"/>
      <c r="BF207" s="49"/>
      <c r="BG207" s="49"/>
      <c r="BH207" s="49"/>
      <c r="BI207" s="49"/>
      <c r="BJ207" s="49"/>
      <c r="BK207" s="111" t="s">
        <v>3589</v>
      </c>
      <c r="BL207" s="111" t="s">
        <v>3589</v>
      </c>
      <c r="BM207" s="111" t="s">
        <v>4037</v>
      </c>
      <c r="BN207" s="111" t="s">
        <v>4037</v>
      </c>
      <c r="BO207" s="2"/>
      <c r="BP207" s="3"/>
      <c r="BQ207" s="3"/>
      <c r="BR207" s="3"/>
      <c r="BS207" s="3"/>
    </row>
    <row r="208" spans="1:71" ht="15">
      <c r="A208" s="65" t="s">
        <v>542</v>
      </c>
      <c r="B208" s="66"/>
      <c r="C208" s="66"/>
      <c r="D208" s="67">
        <v>150</v>
      </c>
      <c r="E208" s="69"/>
      <c r="F208" s="103" t="str">
        <f>HYPERLINK("https://yt3.ggpht.com/ytc/AKedOLQsoBjZnYCjavPP8XXJZAifVctULwrgC3JdZgm5AQ=s88-c-k-c0x00ffffff-no-rj")</f>
        <v>https://yt3.ggpht.com/ytc/AKedOLQsoBjZnYCjavPP8XXJZAifVctULwrgC3JdZgm5AQ=s88-c-k-c0x00ffffff-no-rj</v>
      </c>
      <c r="G208" s="66"/>
      <c r="H208" s="70" t="s">
        <v>1610</v>
      </c>
      <c r="I208" s="71"/>
      <c r="J208" s="71" t="s">
        <v>159</v>
      </c>
      <c r="K208" s="70" t="s">
        <v>1610</v>
      </c>
      <c r="L208" s="74">
        <v>1</v>
      </c>
      <c r="M208" s="75">
        <v>4041.050537109375</v>
      </c>
      <c r="N208" s="75">
        <v>2111.70947265625</v>
      </c>
      <c r="O208" s="76"/>
      <c r="P208" s="77"/>
      <c r="Q208" s="77"/>
      <c r="R208" s="89"/>
      <c r="S208" s="49">
        <v>0</v>
      </c>
      <c r="T208" s="49">
        <v>1</v>
      </c>
      <c r="U208" s="50">
        <v>0</v>
      </c>
      <c r="V208" s="50">
        <v>0.478122</v>
      </c>
      <c r="W208" s="50">
        <v>0.03471</v>
      </c>
      <c r="X208" s="50">
        <v>0.001935</v>
      </c>
      <c r="Y208" s="50">
        <v>0</v>
      </c>
      <c r="Z208" s="50">
        <v>0</v>
      </c>
      <c r="AA208" s="72">
        <v>208</v>
      </c>
      <c r="AB208" s="72"/>
      <c r="AC208" s="73"/>
      <c r="AD208" s="80" t="s">
        <v>1610</v>
      </c>
      <c r="AE208" s="80"/>
      <c r="AF208" s="80"/>
      <c r="AG208" s="80"/>
      <c r="AH208" s="80"/>
      <c r="AI208" s="80"/>
      <c r="AJ208" s="87">
        <v>40944.45767361111</v>
      </c>
      <c r="AK208" s="85" t="str">
        <f>HYPERLINK("https://yt3.ggpht.com/ytc/AKedOLQsoBjZnYCjavPP8XXJZAifVctULwrgC3JdZgm5AQ=s88-c-k-c0x00ffffff-no-rj")</f>
        <v>https://yt3.ggpht.com/ytc/AKedOLQsoBjZnYCjavPP8XXJZAifVctULwrgC3JdZgm5AQ=s88-c-k-c0x00ffffff-no-rj</v>
      </c>
      <c r="AL208" s="80">
        <v>0</v>
      </c>
      <c r="AM208" s="80">
        <v>0</v>
      </c>
      <c r="AN208" s="80">
        <v>5</v>
      </c>
      <c r="AO208" s="80" t="b">
        <v>0</v>
      </c>
      <c r="AP208" s="80">
        <v>0</v>
      </c>
      <c r="AQ208" s="80"/>
      <c r="AR208" s="80"/>
      <c r="AS208" s="80" t="s">
        <v>2085</v>
      </c>
      <c r="AT208" s="85" t="str">
        <f>HYPERLINK("https://www.youtube.com/channel/UCkPWqIuzCqp_cys622OPPsQ")</f>
        <v>https://www.youtube.com/channel/UCkPWqIuzCqp_cys622OPPsQ</v>
      </c>
      <c r="AU208" s="80" t="str">
        <f>REPLACE(INDEX(GroupVertices[Group],MATCH(Vertices[[#This Row],[Vertex]],GroupVertices[Vertex],0)),1,1,"")</f>
        <v>1</v>
      </c>
      <c r="AV208" s="49">
        <v>0</v>
      </c>
      <c r="AW208" s="50">
        <v>0</v>
      </c>
      <c r="AX208" s="49">
        <v>0</v>
      </c>
      <c r="AY208" s="50">
        <v>0</v>
      </c>
      <c r="AZ208" s="49">
        <v>0</v>
      </c>
      <c r="BA208" s="50">
        <v>0</v>
      </c>
      <c r="BB208" s="49">
        <v>15</v>
      </c>
      <c r="BC208" s="50">
        <v>100</v>
      </c>
      <c r="BD208" s="49">
        <v>15</v>
      </c>
      <c r="BE208" s="49"/>
      <c r="BF208" s="49"/>
      <c r="BG208" s="49"/>
      <c r="BH208" s="49"/>
      <c r="BI208" s="49"/>
      <c r="BJ208" s="49"/>
      <c r="BK208" s="111" t="s">
        <v>3590</v>
      </c>
      <c r="BL208" s="111" t="s">
        <v>3590</v>
      </c>
      <c r="BM208" s="111" t="s">
        <v>4038</v>
      </c>
      <c r="BN208" s="111" t="s">
        <v>4038</v>
      </c>
      <c r="BO208" s="2"/>
      <c r="BP208" s="3"/>
      <c r="BQ208" s="3"/>
      <c r="BR208" s="3"/>
      <c r="BS208" s="3"/>
    </row>
    <row r="209" spans="1:71" ht="15">
      <c r="A209" s="65" t="s">
        <v>543</v>
      </c>
      <c r="B209" s="66"/>
      <c r="C209" s="66"/>
      <c r="D209" s="67">
        <v>150</v>
      </c>
      <c r="E209" s="69"/>
      <c r="F209" s="103" t="str">
        <f>HYPERLINK("https://yt3.ggpht.com/ytc/AKedOLS1C2QOD5YvFAz2HWmAxNGGMfXyI4lOCWY9-5zmqw=s88-c-k-c0x00ffffff-no-rj")</f>
        <v>https://yt3.ggpht.com/ytc/AKedOLS1C2QOD5YvFAz2HWmAxNGGMfXyI4lOCWY9-5zmqw=s88-c-k-c0x00ffffff-no-rj</v>
      </c>
      <c r="G209" s="66"/>
      <c r="H209" s="70" t="s">
        <v>1611</v>
      </c>
      <c r="I209" s="71"/>
      <c r="J209" s="71" t="s">
        <v>159</v>
      </c>
      <c r="K209" s="70" t="s">
        <v>1611</v>
      </c>
      <c r="L209" s="74">
        <v>1</v>
      </c>
      <c r="M209" s="75">
        <v>6906.66357421875</v>
      </c>
      <c r="N209" s="75">
        <v>1458.338623046875</v>
      </c>
      <c r="O209" s="76"/>
      <c r="P209" s="77"/>
      <c r="Q209" s="77"/>
      <c r="R209" s="89"/>
      <c r="S209" s="49">
        <v>0</v>
      </c>
      <c r="T209" s="49">
        <v>1</v>
      </c>
      <c r="U209" s="50">
        <v>0</v>
      </c>
      <c r="V209" s="50">
        <v>0.478122</v>
      </c>
      <c r="W209" s="50">
        <v>0.03471</v>
      </c>
      <c r="X209" s="50">
        <v>0.001935</v>
      </c>
      <c r="Y209" s="50">
        <v>0</v>
      </c>
      <c r="Z209" s="50">
        <v>0</v>
      </c>
      <c r="AA209" s="72">
        <v>209</v>
      </c>
      <c r="AB209" s="72"/>
      <c r="AC209" s="73"/>
      <c r="AD209" s="80" t="s">
        <v>1611</v>
      </c>
      <c r="AE209" s="80"/>
      <c r="AF209" s="80"/>
      <c r="AG209" s="80"/>
      <c r="AH209" s="80"/>
      <c r="AI209" s="80" t="s">
        <v>2071</v>
      </c>
      <c r="AJ209" s="87">
        <v>40401.784953703704</v>
      </c>
      <c r="AK209" s="85" t="str">
        <f>HYPERLINK("https://yt3.ggpht.com/ytc/AKedOLS1C2QOD5YvFAz2HWmAxNGGMfXyI4lOCWY9-5zmqw=s88-c-k-c0x00ffffff-no-rj")</f>
        <v>https://yt3.ggpht.com/ytc/AKedOLS1C2QOD5YvFAz2HWmAxNGGMfXyI4lOCWY9-5zmqw=s88-c-k-c0x00ffffff-no-rj</v>
      </c>
      <c r="AL209" s="80">
        <v>859</v>
      </c>
      <c r="AM209" s="80">
        <v>0</v>
      </c>
      <c r="AN209" s="80">
        <v>6</v>
      </c>
      <c r="AO209" s="80" t="b">
        <v>0</v>
      </c>
      <c r="AP209" s="80">
        <v>2</v>
      </c>
      <c r="AQ209" s="80"/>
      <c r="AR209" s="80"/>
      <c r="AS209" s="80" t="s">
        <v>2085</v>
      </c>
      <c r="AT209" s="85" t="str">
        <f>HYPERLINK("https://www.youtube.com/channel/UCV750QFOfdssBbqaPnM_MHw")</f>
        <v>https://www.youtube.com/channel/UCV750QFOfdssBbqaPnM_MHw</v>
      </c>
      <c r="AU209" s="80" t="str">
        <f>REPLACE(INDEX(GroupVertices[Group],MATCH(Vertices[[#This Row],[Vertex]],GroupVertices[Vertex],0)),1,1,"")</f>
        <v>1</v>
      </c>
      <c r="AV209" s="49">
        <v>1</v>
      </c>
      <c r="AW209" s="50">
        <v>33.333333333333336</v>
      </c>
      <c r="AX209" s="49">
        <v>0</v>
      </c>
      <c r="AY209" s="50">
        <v>0</v>
      </c>
      <c r="AZ209" s="49">
        <v>0</v>
      </c>
      <c r="BA209" s="50">
        <v>0</v>
      </c>
      <c r="BB209" s="49">
        <v>2</v>
      </c>
      <c r="BC209" s="50">
        <v>66.66666666666667</v>
      </c>
      <c r="BD209" s="49">
        <v>3</v>
      </c>
      <c r="BE209" s="49"/>
      <c r="BF209" s="49"/>
      <c r="BG209" s="49"/>
      <c r="BH209" s="49"/>
      <c r="BI209" s="49"/>
      <c r="BJ209" s="49"/>
      <c r="BK209" s="111" t="s">
        <v>844</v>
      </c>
      <c r="BL209" s="111" t="s">
        <v>844</v>
      </c>
      <c r="BM209" s="111" t="s">
        <v>1927</v>
      </c>
      <c r="BN209" s="111" t="s">
        <v>1927</v>
      </c>
      <c r="BO209" s="2"/>
      <c r="BP209" s="3"/>
      <c r="BQ209" s="3"/>
      <c r="BR209" s="3"/>
      <c r="BS209" s="3"/>
    </row>
    <row r="210" spans="1:71" ht="15">
      <c r="A210" s="65" t="s">
        <v>544</v>
      </c>
      <c r="B210" s="66"/>
      <c r="C210" s="66"/>
      <c r="D210" s="67">
        <v>150</v>
      </c>
      <c r="E210" s="69"/>
      <c r="F210" s="103" t="str">
        <f>HYPERLINK("https://yt3.ggpht.com/ytc/AKedOLSxIojEPpr4H9ZxuHO2eNpGky3Sy_yVvHNoBIJu7Q=s88-c-k-c0x00ffffff-no-rj")</f>
        <v>https://yt3.ggpht.com/ytc/AKedOLSxIojEPpr4H9ZxuHO2eNpGky3Sy_yVvHNoBIJu7Q=s88-c-k-c0x00ffffff-no-rj</v>
      </c>
      <c r="G210" s="66"/>
      <c r="H210" s="70" t="s">
        <v>1612</v>
      </c>
      <c r="I210" s="71"/>
      <c r="J210" s="71" t="s">
        <v>159</v>
      </c>
      <c r="K210" s="70" t="s">
        <v>1612</v>
      </c>
      <c r="L210" s="74">
        <v>1</v>
      </c>
      <c r="M210" s="75">
        <v>5472.60302734375</v>
      </c>
      <c r="N210" s="75">
        <v>3957.213623046875</v>
      </c>
      <c r="O210" s="76"/>
      <c r="P210" s="77"/>
      <c r="Q210" s="77"/>
      <c r="R210" s="89"/>
      <c r="S210" s="49">
        <v>0</v>
      </c>
      <c r="T210" s="49">
        <v>1</v>
      </c>
      <c r="U210" s="50">
        <v>0</v>
      </c>
      <c r="V210" s="50">
        <v>0.478122</v>
      </c>
      <c r="W210" s="50">
        <v>0.03471</v>
      </c>
      <c r="X210" s="50">
        <v>0.001935</v>
      </c>
      <c r="Y210" s="50">
        <v>0</v>
      </c>
      <c r="Z210" s="50">
        <v>0</v>
      </c>
      <c r="AA210" s="72">
        <v>210</v>
      </c>
      <c r="AB210" s="72"/>
      <c r="AC210" s="73"/>
      <c r="AD210" s="80" t="s">
        <v>1612</v>
      </c>
      <c r="AE210" s="80"/>
      <c r="AF210" s="80"/>
      <c r="AG210" s="80"/>
      <c r="AH210" s="80"/>
      <c r="AI210" s="80"/>
      <c r="AJ210" s="87">
        <v>40527.00554398148</v>
      </c>
      <c r="AK210" s="85" t="str">
        <f>HYPERLINK("https://yt3.ggpht.com/ytc/AKedOLSxIojEPpr4H9ZxuHO2eNpGky3Sy_yVvHNoBIJu7Q=s88-c-k-c0x00ffffff-no-rj")</f>
        <v>https://yt3.ggpht.com/ytc/AKedOLSxIojEPpr4H9ZxuHO2eNpGky3Sy_yVvHNoBIJu7Q=s88-c-k-c0x00ffffff-no-rj</v>
      </c>
      <c r="AL210" s="80">
        <v>2441389</v>
      </c>
      <c r="AM210" s="80">
        <v>0</v>
      </c>
      <c r="AN210" s="80">
        <v>1510</v>
      </c>
      <c r="AO210" s="80" t="b">
        <v>0</v>
      </c>
      <c r="AP210" s="80">
        <v>4</v>
      </c>
      <c r="AQ210" s="80"/>
      <c r="AR210" s="80"/>
      <c r="AS210" s="80" t="s">
        <v>2085</v>
      </c>
      <c r="AT210" s="85" t="str">
        <f>HYPERLINK("https://www.youtube.com/channel/UCNOWV-nhsw_NL_f4OUL_T3A")</f>
        <v>https://www.youtube.com/channel/UCNOWV-nhsw_NL_f4OUL_T3A</v>
      </c>
      <c r="AU210" s="80" t="str">
        <f>REPLACE(INDEX(GroupVertices[Group],MATCH(Vertices[[#This Row],[Vertex]],GroupVertices[Vertex],0)),1,1,"")</f>
        <v>1</v>
      </c>
      <c r="AV210" s="49">
        <v>0</v>
      </c>
      <c r="AW210" s="50">
        <v>0</v>
      </c>
      <c r="AX210" s="49">
        <v>0</v>
      </c>
      <c r="AY210" s="50">
        <v>0</v>
      </c>
      <c r="AZ210" s="49">
        <v>0</v>
      </c>
      <c r="BA210" s="50">
        <v>0</v>
      </c>
      <c r="BB210" s="49">
        <v>12</v>
      </c>
      <c r="BC210" s="50">
        <v>100</v>
      </c>
      <c r="BD210" s="49">
        <v>12</v>
      </c>
      <c r="BE210" s="49"/>
      <c r="BF210" s="49"/>
      <c r="BG210" s="49"/>
      <c r="BH210" s="49"/>
      <c r="BI210" s="49"/>
      <c r="BJ210" s="49"/>
      <c r="BK210" s="111" t="s">
        <v>3591</v>
      </c>
      <c r="BL210" s="111" t="s">
        <v>3591</v>
      </c>
      <c r="BM210" s="111" t="s">
        <v>4039</v>
      </c>
      <c r="BN210" s="111" t="s">
        <v>4039</v>
      </c>
      <c r="BO210" s="2"/>
      <c r="BP210" s="3"/>
      <c r="BQ210" s="3"/>
      <c r="BR210" s="3"/>
      <c r="BS210" s="3"/>
    </row>
    <row r="211" spans="1:71" ht="15">
      <c r="A211" s="65" t="s">
        <v>545</v>
      </c>
      <c r="B211" s="66"/>
      <c r="C211" s="66"/>
      <c r="D211" s="67">
        <v>150</v>
      </c>
      <c r="E211" s="69"/>
      <c r="F211" s="103" t="str">
        <f>HYPERLINK("https://yt3.ggpht.com/ytc/AKedOLS_wFlCsnHxXgeqmjHQIJdwlOqgw4TDmA3KLqEaXw=s88-c-k-c0x00ffffff-no-rj")</f>
        <v>https://yt3.ggpht.com/ytc/AKedOLS_wFlCsnHxXgeqmjHQIJdwlOqgw4TDmA3KLqEaXw=s88-c-k-c0x00ffffff-no-rj</v>
      </c>
      <c r="G211" s="66"/>
      <c r="H211" s="70" t="s">
        <v>1613</v>
      </c>
      <c r="I211" s="71"/>
      <c r="J211" s="71" t="s">
        <v>159</v>
      </c>
      <c r="K211" s="70" t="s">
        <v>1613</v>
      </c>
      <c r="L211" s="74">
        <v>1</v>
      </c>
      <c r="M211" s="75">
        <v>2775.9970703125</v>
      </c>
      <c r="N211" s="75">
        <v>1724.788818359375</v>
      </c>
      <c r="O211" s="76"/>
      <c r="P211" s="77"/>
      <c r="Q211" s="77"/>
      <c r="R211" s="89"/>
      <c r="S211" s="49">
        <v>0</v>
      </c>
      <c r="T211" s="49">
        <v>1</v>
      </c>
      <c r="U211" s="50">
        <v>0</v>
      </c>
      <c r="V211" s="50">
        <v>0.478122</v>
      </c>
      <c r="W211" s="50">
        <v>0.03471</v>
      </c>
      <c r="X211" s="50">
        <v>0.001935</v>
      </c>
      <c r="Y211" s="50">
        <v>0</v>
      </c>
      <c r="Z211" s="50">
        <v>0</v>
      </c>
      <c r="AA211" s="72">
        <v>211</v>
      </c>
      <c r="AB211" s="72"/>
      <c r="AC211" s="73"/>
      <c r="AD211" s="80" t="s">
        <v>1613</v>
      </c>
      <c r="AE211" s="80"/>
      <c r="AF211" s="80"/>
      <c r="AG211" s="80"/>
      <c r="AH211" s="80"/>
      <c r="AI211" s="80"/>
      <c r="AJ211" s="87">
        <v>39628.252916666665</v>
      </c>
      <c r="AK211" s="85" t="str">
        <f>HYPERLINK("https://yt3.ggpht.com/ytc/AKedOLS_wFlCsnHxXgeqmjHQIJdwlOqgw4TDmA3KLqEaXw=s88-c-k-c0x00ffffff-no-rj")</f>
        <v>https://yt3.ggpht.com/ytc/AKedOLS_wFlCsnHxXgeqmjHQIJdwlOqgw4TDmA3KLqEaXw=s88-c-k-c0x00ffffff-no-rj</v>
      </c>
      <c r="AL211" s="80">
        <v>180</v>
      </c>
      <c r="AM211" s="80">
        <v>0</v>
      </c>
      <c r="AN211" s="80">
        <v>9</v>
      </c>
      <c r="AO211" s="80" t="b">
        <v>0</v>
      </c>
      <c r="AP211" s="80">
        <v>2</v>
      </c>
      <c r="AQ211" s="80"/>
      <c r="AR211" s="80"/>
      <c r="AS211" s="80" t="s">
        <v>2085</v>
      </c>
      <c r="AT211" s="85" t="str">
        <f>HYPERLINK("https://www.youtube.com/channel/UClmlt19LU2JghIvcZ6Wm7MQ")</f>
        <v>https://www.youtube.com/channel/UClmlt19LU2JghIvcZ6Wm7MQ</v>
      </c>
      <c r="AU211" s="80" t="str">
        <f>REPLACE(INDEX(GroupVertices[Group],MATCH(Vertices[[#This Row],[Vertex]],GroupVertices[Vertex],0)),1,1,"")</f>
        <v>1</v>
      </c>
      <c r="AV211" s="49">
        <v>3</v>
      </c>
      <c r="AW211" s="50">
        <v>3.658536585365854</v>
      </c>
      <c r="AX211" s="49">
        <v>0</v>
      </c>
      <c r="AY211" s="50">
        <v>0</v>
      </c>
      <c r="AZ211" s="49">
        <v>0</v>
      </c>
      <c r="BA211" s="50">
        <v>0</v>
      </c>
      <c r="BB211" s="49">
        <v>79</v>
      </c>
      <c r="BC211" s="50">
        <v>96.34146341463415</v>
      </c>
      <c r="BD211" s="49">
        <v>82</v>
      </c>
      <c r="BE211" s="49"/>
      <c r="BF211" s="49"/>
      <c r="BG211" s="49"/>
      <c r="BH211" s="49"/>
      <c r="BI211" s="49"/>
      <c r="BJ211" s="49"/>
      <c r="BK211" s="111" t="s">
        <v>3592</v>
      </c>
      <c r="BL211" s="111" t="s">
        <v>3592</v>
      </c>
      <c r="BM211" s="111" t="s">
        <v>4040</v>
      </c>
      <c r="BN211" s="111" t="s">
        <v>4040</v>
      </c>
      <c r="BO211" s="2"/>
      <c r="BP211" s="3"/>
      <c r="BQ211" s="3"/>
      <c r="BR211" s="3"/>
      <c r="BS211" s="3"/>
    </row>
    <row r="212" spans="1:71" ht="15">
      <c r="A212" s="65" t="s">
        <v>546</v>
      </c>
      <c r="B212" s="66"/>
      <c r="C212" s="66"/>
      <c r="D212" s="67">
        <v>150</v>
      </c>
      <c r="E212" s="69"/>
      <c r="F212" s="103" t="str">
        <f>HYPERLINK("https://yt3.ggpht.com/ytc/AKedOLQRvmF5tb6jlZlA2AXpCHTFSOTDl2pAceTccA=s88-c-k-c0x00ffffff-no-rj")</f>
        <v>https://yt3.ggpht.com/ytc/AKedOLQRvmF5tb6jlZlA2AXpCHTFSOTDl2pAceTccA=s88-c-k-c0x00ffffff-no-rj</v>
      </c>
      <c r="G212" s="66"/>
      <c r="H212" s="70" t="s">
        <v>1614</v>
      </c>
      <c r="I212" s="71"/>
      <c r="J212" s="71" t="s">
        <v>159</v>
      </c>
      <c r="K212" s="70" t="s">
        <v>1614</v>
      </c>
      <c r="L212" s="74">
        <v>1</v>
      </c>
      <c r="M212" s="75">
        <v>1813.8306884765625</v>
      </c>
      <c r="N212" s="75">
        <v>1043.91357421875</v>
      </c>
      <c r="O212" s="76"/>
      <c r="P212" s="77"/>
      <c r="Q212" s="77"/>
      <c r="R212" s="89"/>
      <c r="S212" s="49">
        <v>0</v>
      </c>
      <c r="T212" s="49">
        <v>1</v>
      </c>
      <c r="U212" s="50">
        <v>0</v>
      </c>
      <c r="V212" s="50">
        <v>0.478122</v>
      </c>
      <c r="W212" s="50">
        <v>0.03471</v>
      </c>
      <c r="X212" s="50">
        <v>0.001935</v>
      </c>
      <c r="Y212" s="50">
        <v>0</v>
      </c>
      <c r="Z212" s="50">
        <v>0</v>
      </c>
      <c r="AA212" s="72">
        <v>212</v>
      </c>
      <c r="AB212" s="72"/>
      <c r="AC212" s="73"/>
      <c r="AD212" s="80" t="s">
        <v>1614</v>
      </c>
      <c r="AE212" s="80"/>
      <c r="AF212" s="80"/>
      <c r="AG212" s="80"/>
      <c r="AH212" s="80"/>
      <c r="AI212" s="80"/>
      <c r="AJ212" s="87">
        <v>41040.13119212963</v>
      </c>
      <c r="AK212" s="85" t="str">
        <f>HYPERLINK("https://yt3.ggpht.com/ytc/AKedOLQRvmF5tb6jlZlA2AXpCHTFSOTDl2pAceTccA=s88-c-k-c0x00ffffff-no-rj")</f>
        <v>https://yt3.ggpht.com/ytc/AKedOLQRvmF5tb6jlZlA2AXpCHTFSOTDl2pAceTccA=s88-c-k-c0x00ffffff-no-rj</v>
      </c>
      <c r="AL212" s="80">
        <v>0</v>
      </c>
      <c r="AM212" s="80">
        <v>0</v>
      </c>
      <c r="AN212" s="80">
        <v>7</v>
      </c>
      <c r="AO212" s="80" t="b">
        <v>0</v>
      </c>
      <c r="AP212" s="80">
        <v>0</v>
      </c>
      <c r="AQ212" s="80"/>
      <c r="AR212" s="80"/>
      <c r="AS212" s="80" t="s">
        <v>2085</v>
      </c>
      <c r="AT212" s="85" t="str">
        <f>HYPERLINK("https://www.youtube.com/channel/UCu00bjpjrCR_cwq94D1W29g")</f>
        <v>https://www.youtube.com/channel/UCu00bjpjrCR_cwq94D1W29g</v>
      </c>
      <c r="AU212" s="80" t="str">
        <f>REPLACE(INDEX(GroupVertices[Group],MATCH(Vertices[[#This Row],[Vertex]],GroupVertices[Vertex],0)),1,1,"")</f>
        <v>1</v>
      </c>
      <c r="AV212" s="49">
        <v>0</v>
      </c>
      <c r="AW212" s="50">
        <v>0</v>
      </c>
      <c r="AX212" s="49">
        <v>0</v>
      </c>
      <c r="AY212" s="50">
        <v>0</v>
      </c>
      <c r="AZ212" s="49">
        <v>0</v>
      </c>
      <c r="BA212" s="50">
        <v>0</v>
      </c>
      <c r="BB212" s="49">
        <v>24</v>
      </c>
      <c r="BC212" s="50">
        <v>100</v>
      </c>
      <c r="BD212" s="49">
        <v>24</v>
      </c>
      <c r="BE212" s="49"/>
      <c r="BF212" s="49"/>
      <c r="BG212" s="49"/>
      <c r="BH212" s="49"/>
      <c r="BI212" s="49"/>
      <c r="BJ212" s="49"/>
      <c r="BK212" s="111" t="s">
        <v>3593</v>
      </c>
      <c r="BL212" s="111" t="s">
        <v>3593</v>
      </c>
      <c r="BM212" s="111" t="s">
        <v>4041</v>
      </c>
      <c r="BN212" s="111" t="s">
        <v>4041</v>
      </c>
      <c r="BO212" s="2"/>
      <c r="BP212" s="3"/>
      <c r="BQ212" s="3"/>
      <c r="BR212" s="3"/>
      <c r="BS212" s="3"/>
    </row>
    <row r="213" spans="1:71" ht="15">
      <c r="A213" s="65" t="s">
        <v>547</v>
      </c>
      <c r="B213" s="66"/>
      <c r="C213" s="66"/>
      <c r="D213" s="67">
        <v>150</v>
      </c>
      <c r="E213" s="69"/>
      <c r="F213" s="103" t="str">
        <f>HYPERLINK("https://yt3.ggpht.com/ytc/AKedOLSRnXYdqBZ1iFxoosO4wdy2UURI_Lu56FMxevOc=s88-c-k-c0x00ffffff-no-rj")</f>
        <v>https://yt3.ggpht.com/ytc/AKedOLSRnXYdqBZ1iFxoosO4wdy2UURI_Lu56FMxevOc=s88-c-k-c0x00ffffff-no-rj</v>
      </c>
      <c r="G213" s="66"/>
      <c r="H213" s="70" t="s">
        <v>1615</v>
      </c>
      <c r="I213" s="71"/>
      <c r="J213" s="71" t="s">
        <v>159</v>
      </c>
      <c r="K213" s="70" t="s">
        <v>1615</v>
      </c>
      <c r="L213" s="74">
        <v>1</v>
      </c>
      <c r="M213" s="75">
        <v>4646.29248046875</v>
      </c>
      <c r="N213" s="75">
        <v>9803.744140625</v>
      </c>
      <c r="O213" s="76"/>
      <c r="P213" s="77"/>
      <c r="Q213" s="77"/>
      <c r="R213" s="89"/>
      <c r="S213" s="49">
        <v>0</v>
      </c>
      <c r="T213" s="49">
        <v>1</v>
      </c>
      <c r="U213" s="50">
        <v>0</v>
      </c>
      <c r="V213" s="50">
        <v>0.478122</v>
      </c>
      <c r="W213" s="50">
        <v>0.03471</v>
      </c>
      <c r="X213" s="50">
        <v>0.001935</v>
      </c>
      <c r="Y213" s="50">
        <v>0</v>
      </c>
      <c r="Z213" s="50">
        <v>0</v>
      </c>
      <c r="AA213" s="72">
        <v>213</v>
      </c>
      <c r="AB213" s="72"/>
      <c r="AC213" s="73"/>
      <c r="AD213" s="80" t="s">
        <v>1615</v>
      </c>
      <c r="AE213" s="80"/>
      <c r="AF213" s="80"/>
      <c r="AG213" s="80"/>
      <c r="AH213" s="80"/>
      <c r="AI213" s="80"/>
      <c r="AJ213" s="87">
        <v>40269.96346064815</v>
      </c>
      <c r="AK213" s="85" t="str">
        <f>HYPERLINK("https://yt3.ggpht.com/ytc/AKedOLSRnXYdqBZ1iFxoosO4wdy2UURI_Lu56FMxevOc=s88-c-k-c0x00ffffff-no-rj")</f>
        <v>https://yt3.ggpht.com/ytc/AKedOLSRnXYdqBZ1iFxoosO4wdy2UURI_Lu56FMxevOc=s88-c-k-c0x00ffffff-no-rj</v>
      </c>
      <c r="AL213" s="80">
        <v>0</v>
      </c>
      <c r="AM213" s="80">
        <v>0</v>
      </c>
      <c r="AN213" s="80">
        <v>12</v>
      </c>
      <c r="AO213" s="80" t="b">
        <v>0</v>
      </c>
      <c r="AP213" s="80">
        <v>0</v>
      </c>
      <c r="AQ213" s="80"/>
      <c r="AR213" s="80"/>
      <c r="AS213" s="80" t="s">
        <v>2085</v>
      </c>
      <c r="AT213" s="85" t="str">
        <f>HYPERLINK("https://www.youtube.com/channel/UCRyCFsyJJFYINGmWOtI-zaA")</f>
        <v>https://www.youtube.com/channel/UCRyCFsyJJFYINGmWOtI-zaA</v>
      </c>
      <c r="AU213" s="80" t="str">
        <f>REPLACE(INDEX(GroupVertices[Group],MATCH(Vertices[[#This Row],[Vertex]],GroupVertices[Vertex],0)),1,1,"")</f>
        <v>1</v>
      </c>
      <c r="AV213" s="49">
        <v>0</v>
      </c>
      <c r="AW213" s="50">
        <v>0</v>
      </c>
      <c r="AX213" s="49">
        <v>2</v>
      </c>
      <c r="AY213" s="50">
        <v>15.384615384615385</v>
      </c>
      <c r="AZ213" s="49">
        <v>0</v>
      </c>
      <c r="BA213" s="50">
        <v>0</v>
      </c>
      <c r="BB213" s="49">
        <v>11</v>
      </c>
      <c r="BC213" s="50">
        <v>84.61538461538461</v>
      </c>
      <c r="BD213" s="49">
        <v>13</v>
      </c>
      <c r="BE213" s="49"/>
      <c r="BF213" s="49"/>
      <c r="BG213" s="49"/>
      <c r="BH213" s="49"/>
      <c r="BI213" s="49"/>
      <c r="BJ213" s="49"/>
      <c r="BK213" s="111" t="s">
        <v>3594</v>
      </c>
      <c r="BL213" s="111" t="s">
        <v>3594</v>
      </c>
      <c r="BM213" s="111" t="s">
        <v>4042</v>
      </c>
      <c r="BN213" s="111" t="s">
        <v>4042</v>
      </c>
      <c r="BO213" s="2"/>
      <c r="BP213" s="3"/>
      <c r="BQ213" s="3"/>
      <c r="BR213" s="3"/>
      <c r="BS213" s="3"/>
    </row>
    <row r="214" spans="1:71" ht="15">
      <c r="A214" s="65" t="s">
        <v>548</v>
      </c>
      <c r="B214" s="66"/>
      <c r="C214" s="66"/>
      <c r="D214" s="67">
        <v>150</v>
      </c>
      <c r="E214" s="69"/>
      <c r="F214" s="103" t="str">
        <f>HYPERLINK("https://yt3.ggpht.com/ytc/AKedOLRn1Kj0DDkU7dGsMZ0Ij1jfHY9UVDmxkqFhtufo=s88-c-k-c0x00ffffff-no-rj")</f>
        <v>https://yt3.ggpht.com/ytc/AKedOLRn1Kj0DDkU7dGsMZ0Ij1jfHY9UVDmxkqFhtufo=s88-c-k-c0x00ffffff-no-rj</v>
      </c>
      <c r="G214" s="66"/>
      <c r="H214" s="70" t="s">
        <v>1616</v>
      </c>
      <c r="I214" s="71"/>
      <c r="J214" s="71" t="s">
        <v>159</v>
      </c>
      <c r="K214" s="70" t="s">
        <v>1616</v>
      </c>
      <c r="L214" s="74">
        <v>1</v>
      </c>
      <c r="M214" s="75">
        <v>1066.7554931640625</v>
      </c>
      <c r="N214" s="75">
        <v>7989.23583984375</v>
      </c>
      <c r="O214" s="76"/>
      <c r="P214" s="77"/>
      <c r="Q214" s="77"/>
      <c r="R214" s="89"/>
      <c r="S214" s="49">
        <v>0</v>
      </c>
      <c r="T214" s="49">
        <v>1</v>
      </c>
      <c r="U214" s="50">
        <v>0</v>
      </c>
      <c r="V214" s="50">
        <v>0.478122</v>
      </c>
      <c r="W214" s="50">
        <v>0.03471</v>
      </c>
      <c r="X214" s="50">
        <v>0.001935</v>
      </c>
      <c r="Y214" s="50">
        <v>0</v>
      </c>
      <c r="Z214" s="50">
        <v>0</v>
      </c>
      <c r="AA214" s="72">
        <v>214</v>
      </c>
      <c r="AB214" s="72"/>
      <c r="AC214" s="73"/>
      <c r="AD214" s="80" t="s">
        <v>1616</v>
      </c>
      <c r="AE214" s="80" t="s">
        <v>2000</v>
      </c>
      <c r="AF214" s="80"/>
      <c r="AG214" s="80"/>
      <c r="AH214" s="80"/>
      <c r="AI214" s="80"/>
      <c r="AJ214" s="87">
        <v>40438.25100694445</v>
      </c>
      <c r="AK214" s="85" t="str">
        <f>HYPERLINK("https://yt3.ggpht.com/ytc/AKedOLRn1Kj0DDkU7dGsMZ0Ij1jfHY9UVDmxkqFhtufo=s88-c-k-c0x00ffffff-no-rj")</f>
        <v>https://yt3.ggpht.com/ytc/AKedOLRn1Kj0DDkU7dGsMZ0Ij1jfHY9UVDmxkqFhtufo=s88-c-k-c0x00ffffff-no-rj</v>
      </c>
      <c r="AL214" s="80">
        <v>12</v>
      </c>
      <c r="AM214" s="80">
        <v>0</v>
      </c>
      <c r="AN214" s="80">
        <v>9</v>
      </c>
      <c r="AO214" s="80" t="b">
        <v>0</v>
      </c>
      <c r="AP214" s="80">
        <v>1</v>
      </c>
      <c r="AQ214" s="80"/>
      <c r="AR214" s="80"/>
      <c r="AS214" s="80" t="s">
        <v>2085</v>
      </c>
      <c r="AT214" s="85" t="str">
        <f>HYPERLINK("https://www.youtube.com/channel/UCX3vF4s0kPhSR96X15RZ1jQ")</f>
        <v>https://www.youtube.com/channel/UCX3vF4s0kPhSR96X15RZ1jQ</v>
      </c>
      <c r="AU214" s="80" t="str">
        <f>REPLACE(INDEX(GroupVertices[Group],MATCH(Vertices[[#This Row],[Vertex]],GroupVertices[Vertex],0)),1,1,"")</f>
        <v>1</v>
      </c>
      <c r="AV214" s="49">
        <v>0</v>
      </c>
      <c r="AW214" s="50">
        <v>0</v>
      </c>
      <c r="AX214" s="49">
        <v>0</v>
      </c>
      <c r="AY214" s="50">
        <v>0</v>
      </c>
      <c r="AZ214" s="49">
        <v>0</v>
      </c>
      <c r="BA214" s="50">
        <v>0</v>
      </c>
      <c r="BB214" s="49">
        <v>5</v>
      </c>
      <c r="BC214" s="50">
        <v>100</v>
      </c>
      <c r="BD214" s="49">
        <v>5</v>
      </c>
      <c r="BE214" s="49"/>
      <c r="BF214" s="49"/>
      <c r="BG214" s="49"/>
      <c r="BH214" s="49"/>
      <c r="BI214" s="49"/>
      <c r="BJ214" s="49"/>
      <c r="BK214" s="111" t="s">
        <v>3595</v>
      </c>
      <c r="BL214" s="111" t="s">
        <v>3595</v>
      </c>
      <c r="BM214" s="111" t="s">
        <v>4043</v>
      </c>
      <c r="BN214" s="111" t="s">
        <v>4043</v>
      </c>
      <c r="BO214" s="2"/>
      <c r="BP214" s="3"/>
      <c r="BQ214" s="3"/>
      <c r="BR214" s="3"/>
      <c r="BS214" s="3"/>
    </row>
    <row r="215" spans="1:71" ht="15">
      <c r="A215" s="65" t="s">
        <v>549</v>
      </c>
      <c r="B215" s="66"/>
      <c r="C215" s="66"/>
      <c r="D215" s="67">
        <v>150</v>
      </c>
      <c r="E215" s="69"/>
      <c r="F215" s="103" t="str">
        <f>HYPERLINK("https://yt3.ggpht.com/ytc/AKedOLQCdIwBtxWo5_-m7siXsyJjpBj5BeeEdaYarg=s88-c-k-c0x00ffffff-no-rj")</f>
        <v>https://yt3.ggpht.com/ytc/AKedOLQCdIwBtxWo5_-m7siXsyJjpBj5BeeEdaYarg=s88-c-k-c0x00ffffff-no-rj</v>
      </c>
      <c r="G215" s="66"/>
      <c r="H215" s="70" t="s">
        <v>1617</v>
      </c>
      <c r="I215" s="71"/>
      <c r="J215" s="71" t="s">
        <v>159</v>
      </c>
      <c r="K215" s="70" t="s">
        <v>1617</v>
      </c>
      <c r="L215" s="74">
        <v>1</v>
      </c>
      <c r="M215" s="75">
        <v>5151.55419921875</v>
      </c>
      <c r="N215" s="75">
        <v>396.7857666015625</v>
      </c>
      <c r="O215" s="76"/>
      <c r="P215" s="77"/>
      <c r="Q215" s="77"/>
      <c r="R215" s="89"/>
      <c r="S215" s="49">
        <v>0</v>
      </c>
      <c r="T215" s="49">
        <v>1</v>
      </c>
      <c r="U215" s="50">
        <v>0</v>
      </c>
      <c r="V215" s="50">
        <v>0.478122</v>
      </c>
      <c r="W215" s="50">
        <v>0.03471</v>
      </c>
      <c r="X215" s="50">
        <v>0.001935</v>
      </c>
      <c r="Y215" s="50">
        <v>0</v>
      </c>
      <c r="Z215" s="50">
        <v>0</v>
      </c>
      <c r="AA215" s="72">
        <v>215</v>
      </c>
      <c r="AB215" s="72"/>
      <c r="AC215" s="73"/>
      <c r="AD215" s="80" t="s">
        <v>1617</v>
      </c>
      <c r="AE215" s="80"/>
      <c r="AF215" s="80"/>
      <c r="AG215" s="80"/>
      <c r="AH215" s="80"/>
      <c r="AI215" s="80"/>
      <c r="AJ215" s="87">
        <v>39971.72578703704</v>
      </c>
      <c r="AK215" s="85" t="str">
        <f>HYPERLINK("https://yt3.ggpht.com/ytc/AKedOLQCdIwBtxWo5_-m7siXsyJjpBj5BeeEdaYarg=s88-c-k-c0x00ffffff-no-rj")</f>
        <v>https://yt3.ggpht.com/ytc/AKedOLQCdIwBtxWo5_-m7siXsyJjpBj5BeeEdaYarg=s88-c-k-c0x00ffffff-no-rj</v>
      </c>
      <c r="AL215" s="80">
        <v>61</v>
      </c>
      <c r="AM215" s="80">
        <v>0</v>
      </c>
      <c r="AN215" s="80">
        <v>2</v>
      </c>
      <c r="AO215" s="80" t="b">
        <v>0</v>
      </c>
      <c r="AP215" s="80">
        <v>3</v>
      </c>
      <c r="AQ215" s="80"/>
      <c r="AR215" s="80"/>
      <c r="AS215" s="80" t="s">
        <v>2085</v>
      </c>
      <c r="AT215" s="85" t="str">
        <f>HYPERLINK("https://www.youtube.com/channel/UCS76vNfoKFZak3nSrJYcKmg")</f>
        <v>https://www.youtube.com/channel/UCS76vNfoKFZak3nSrJYcKmg</v>
      </c>
      <c r="AU215" s="80" t="str">
        <f>REPLACE(INDEX(GroupVertices[Group],MATCH(Vertices[[#This Row],[Vertex]],GroupVertices[Vertex],0)),1,1,"")</f>
        <v>1</v>
      </c>
      <c r="AV215" s="49">
        <v>0</v>
      </c>
      <c r="AW215" s="50">
        <v>0</v>
      </c>
      <c r="AX215" s="49">
        <v>1</v>
      </c>
      <c r="AY215" s="50">
        <v>20</v>
      </c>
      <c r="AZ215" s="49">
        <v>0</v>
      </c>
      <c r="BA215" s="50">
        <v>0</v>
      </c>
      <c r="BB215" s="49">
        <v>4</v>
      </c>
      <c r="BC215" s="50">
        <v>80</v>
      </c>
      <c r="BD215" s="49">
        <v>5</v>
      </c>
      <c r="BE215" s="49"/>
      <c r="BF215" s="49"/>
      <c r="BG215" s="49"/>
      <c r="BH215" s="49"/>
      <c r="BI215" s="49"/>
      <c r="BJ215" s="49"/>
      <c r="BK215" s="111" t="s">
        <v>3596</v>
      </c>
      <c r="BL215" s="111" t="s">
        <v>3596</v>
      </c>
      <c r="BM215" s="111" t="s">
        <v>4044</v>
      </c>
      <c r="BN215" s="111" t="s">
        <v>4044</v>
      </c>
      <c r="BO215" s="2"/>
      <c r="BP215" s="3"/>
      <c r="BQ215" s="3"/>
      <c r="BR215" s="3"/>
      <c r="BS215" s="3"/>
    </row>
    <row r="216" spans="1:71" ht="15">
      <c r="A216" s="65" t="s">
        <v>550</v>
      </c>
      <c r="B216" s="66"/>
      <c r="C216" s="66"/>
      <c r="D216" s="67">
        <v>150</v>
      </c>
      <c r="E216" s="69"/>
      <c r="F216" s="103" t="str">
        <f>HYPERLINK("https://yt3.ggpht.com/ytc/AKedOLRlsiIFNMUg02EY2iU334CTBjIb1iqML442TZNL=s88-c-k-c0x00ffffff-no-rj")</f>
        <v>https://yt3.ggpht.com/ytc/AKedOLRlsiIFNMUg02EY2iU334CTBjIb1iqML442TZNL=s88-c-k-c0x00ffffff-no-rj</v>
      </c>
      <c r="G216" s="66"/>
      <c r="H216" s="70" t="s">
        <v>1618</v>
      </c>
      <c r="I216" s="71"/>
      <c r="J216" s="71" t="s">
        <v>159</v>
      </c>
      <c r="K216" s="70" t="s">
        <v>1618</v>
      </c>
      <c r="L216" s="74">
        <v>1</v>
      </c>
      <c r="M216" s="75">
        <v>3770.224609375</v>
      </c>
      <c r="N216" s="75">
        <v>4422.32177734375</v>
      </c>
      <c r="O216" s="76"/>
      <c r="P216" s="77"/>
      <c r="Q216" s="77"/>
      <c r="R216" s="89"/>
      <c r="S216" s="49">
        <v>0</v>
      </c>
      <c r="T216" s="49">
        <v>1</v>
      </c>
      <c r="U216" s="50">
        <v>0</v>
      </c>
      <c r="V216" s="50">
        <v>0.478122</v>
      </c>
      <c r="W216" s="50">
        <v>0.03471</v>
      </c>
      <c r="X216" s="50">
        <v>0.001935</v>
      </c>
      <c r="Y216" s="50">
        <v>0</v>
      </c>
      <c r="Z216" s="50">
        <v>0</v>
      </c>
      <c r="AA216" s="72">
        <v>216</v>
      </c>
      <c r="AB216" s="72"/>
      <c r="AC216" s="73"/>
      <c r="AD216" s="80" t="s">
        <v>1618</v>
      </c>
      <c r="AE216" s="80"/>
      <c r="AF216" s="80"/>
      <c r="AG216" s="80"/>
      <c r="AH216" s="80"/>
      <c r="AI216" s="80"/>
      <c r="AJ216" s="87">
        <v>41064.8865625</v>
      </c>
      <c r="AK216" s="85" t="str">
        <f>HYPERLINK("https://yt3.ggpht.com/ytc/AKedOLRlsiIFNMUg02EY2iU334CTBjIb1iqML442TZNL=s88-c-k-c0x00ffffff-no-rj")</f>
        <v>https://yt3.ggpht.com/ytc/AKedOLRlsiIFNMUg02EY2iU334CTBjIb1iqML442TZNL=s88-c-k-c0x00ffffff-no-rj</v>
      </c>
      <c r="AL216" s="80">
        <v>49</v>
      </c>
      <c r="AM216" s="80">
        <v>0</v>
      </c>
      <c r="AN216" s="80">
        <v>2</v>
      </c>
      <c r="AO216" s="80" t="b">
        <v>0</v>
      </c>
      <c r="AP216" s="80">
        <v>8</v>
      </c>
      <c r="AQ216" s="80"/>
      <c r="AR216" s="80"/>
      <c r="AS216" s="80" t="s">
        <v>2085</v>
      </c>
      <c r="AT216" s="85" t="str">
        <f>HYPERLINK("https://www.youtube.com/channel/UCcDA0AAZX_0dgrNgfnKKesw")</f>
        <v>https://www.youtube.com/channel/UCcDA0AAZX_0dgrNgfnKKesw</v>
      </c>
      <c r="AU216" s="80" t="str">
        <f>REPLACE(INDEX(GroupVertices[Group],MATCH(Vertices[[#This Row],[Vertex]],GroupVertices[Vertex],0)),1,1,"")</f>
        <v>1</v>
      </c>
      <c r="AV216" s="49">
        <v>0</v>
      </c>
      <c r="AW216" s="50">
        <v>0</v>
      </c>
      <c r="AX216" s="49">
        <v>1</v>
      </c>
      <c r="AY216" s="50">
        <v>10</v>
      </c>
      <c r="AZ216" s="49">
        <v>0</v>
      </c>
      <c r="BA216" s="50">
        <v>0</v>
      </c>
      <c r="BB216" s="49">
        <v>9</v>
      </c>
      <c r="BC216" s="50">
        <v>90</v>
      </c>
      <c r="BD216" s="49">
        <v>10</v>
      </c>
      <c r="BE216" s="49"/>
      <c r="BF216" s="49"/>
      <c r="BG216" s="49"/>
      <c r="BH216" s="49"/>
      <c r="BI216" s="49"/>
      <c r="BJ216" s="49"/>
      <c r="BK216" s="111" t="s">
        <v>3597</v>
      </c>
      <c r="BL216" s="111" t="s">
        <v>3597</v>
      </c>
      <c r="BM216" s="111" t="s">
        <v>4045</v>
      </c>
      <c r="BN216" s="111" t="s">
        <v>4045</v>
      </c>
      <c r="BO216" s="2"/>
      <c r="BP216" s="3"/>
      <c r="BQ216" s="3"/>
      <c r="BR216" s="3"/>
      <c r="BS216" s="3"/>
    </row>
    <row r="217" spans="1:71" ht="15">
      <c r="A217" s="65" t="s">
        <v>551</v>
      </c>
      <c r="B217" s="66"/>
      <c r="C217" s="66"/>
      <c r="D217" s="67">
        <v>150</v>
      </c>
      <c r="E217" s="69"/>
      <c r="F217" s="103" t="str">
        <f>HYPERLINK("https://yt3.ggpht.com/ytc/AKedOLTRONZON7Xsq5r7bdQVvnTUMgD76Pb07nu8gAdB=s88-c-k-c0x00ffffff-no-rj")</f>
        <v>https://yt3.ggpht.com/ytc/AKedOLTRONZON7Xsq5r7bdQVvnTUMgD76Pb07nu8gAdB=s88-c-k-c0x00ffffff-no-rj</v>
      </c>
      <c r="G217" s="66"/>
      <c r="H217" s="70" t="s">
        <v>1619</v>
      </c>
      <c r="I217" s="71"/>
      <c r="J217" s="71" t="s">
        <v>159</v>
      </c>
      <c r="K217" s="70" t="s">
        <v>1619</v>
      </c>
      <c r="L217" s="74">
        <v>1</v>
      </c>
      <c r="M217" s="75">
        <v>3968.263427734375</v>
      </c>
      <c r="N217" s="75">
        <v>177.0596466064453</v>
      </c>
      <c r="O217" s="76"/>
      <c r="P217" s="77"/>
      <c r="Q217" s="77"/>
      <c r="R217" s="89"/>
      <c r="S217" s="49">
        <v>0</v>
      </c>
      <c r="T217" s="49">
        <v>1</v>
      </c>
      <c r="U217" s="50">
        <v>0</v>
      </c>
      <c r="V217" s="50">
        <v>0.478122</v>
      </c>
      <c r="W217" s="50">
        <v>0.03471</v>
      </c>
      <c r="X217" s="50">
        <v>0.001935</v>
      </c>
      <c r="Y217" s="50">
        <v>0</v>
      </c>
      <c r="Z217" s="50">
        <v>0</v>
      </c>
      <c r="AA217" s="72">
        <v>217</v>
      </c>
      <c r="AB217" s="72"/>
      <c r="AC217" s="73"/>
      <c r="AD217" s="80" t="s">
        <v>1619</v>
      </c>
      <c r="AE217" s="80"/>
      <c r="AF217" s="80"/>
      <c r="AG217" s="80"/>
      <c r="AH217" s="80"/>
      <c r="AI217" s="80"/>
      <c r="AJ217" s="87">
        <v>41242.199479166666</v>
      </c>
      <c r="AK217" s="85" t="str">
        <f>HYPERLINK("https://yt3.ggpht.com/ytc/AKedOLTRONZON7Xsq5r7bdQVvnTUMgD76Pb07nu8gAdB=s88-c-k-c0x00ffffff-no-rj")</f>
        <v>https://yt3.ggpht.com/ytc/AKedOLTRONZON7Xsq5r7bdQVvnTUMgD76Pb07nu8gAdB=s88-c-k-c0x00ffffff-no-rj</v>
      </c>
      <c r="AL217" s="80">
        <v>837</v>
      </c>
      <c r="AM217" s="80">
        <v>0</v>
      </c>
      <c r="AN217" s="80">
        <v>4</v>
      </c>
      <c r="AO217" s="80" t="b">
        <v>0</v>
      </c>
      <c r="AP217" s="80">
        <v>4</v>
      </c>
      <c r="AQ217" s="80"/>
      <c r="AR217" s="80"/>
      <c r="AS217" s="80" t="s">
        <v>2085</v>
      </c>
      <c r="AT217" s="85" t="str">
        <f>HYPERLINK("https://www.youtube.com/channel/UCDYg3x4fzxqFJqN5L4eXOmA")</f>
        <v>https://www.youtube.com/channel/UCDYg3x4fzxqFJqN5L4eXOmA</v>
      </c>
      <c r="AU217" s="80" t="str">
        <f>REPLACE(INDEX(GroupVertices[Group],MATCH(Vertices[[#This Row],[Vertex]],GroupVertices[Vertex],0)),1,1,"")</f>
        <v>1</v>
      </c>
      <c r="AV217" s="49">
        <v>1</v>
      </c>
      <c r="AW217" s="50">
        <v>0.9615384615384616</v>
      </c>
      <c r="AX217" s="49">
        <v>10</v>
      </c>
      <c r="AY217" s="50">
        <v>9.615384615384615</v>
      </c>
      <c r="AZ217" s="49">
        <v>0</v>
      </c>
      <c r="BA217" s="50">
        <v>0</v>
      </c>
      <c r="BB217" s="49">
        <v>93</v>
      </c>
      <c r="BC217" s="50">
        <v>89.42307692307692</v>
      </c>
      <c r="BD217" s="49">
        <v>104</v>
      </c>
      <c r="BE217" s="49"/>
      <c r="BF217" s="49"/>
      <c r="BG217" s="49"/>
      <c r="BH217" s="49"/>
      <c r="BI217" s="49"/>
      <c r="BJ217" s="49"/>
      <c r="BK217" s="111" t="s">
        <v>3598</v>
      </c>
      <c r="BL217" s="111" t="s">
        <v>3598</v>
      </c>
      <c r="BM217" s="111" t="s">
        <v>4046</v>
      </c>
      <c r="BN217" s="111" t="s">
        <v>4046</v>
      </c>
      <c r="BO217" s="2"/>
      <c r="BP217" s="3"/>
      <c r="BQ217" s="3"/>
      <c r="BR217" s="3"/>
      <c r="BS217" s="3"/>
    </row>
    <row r="218" spans="1:71" ht="15">
      <c r="A218" s="65" t="s">
        <v>552</v>
      </c>
      <c r="B218" s="66"/>
      <c r="C218" s="66"/>
      <c r="D218" s="67">
        <v>150</v>
      </c>
      <c r="E218" s="69"/>
      <c r="F218" s="103" t="str">
        <f>HYPERLINK("https://yt3.ggpht.com/ytc/AKedOLRwL_MLTSSaL6B0SstU1gsjDuybK2lVIxLHRw=s88-c-k-c0x00ffffff-no-rj")</f>
        <v>https://yt3.ggpht.com/ytc/AKedOLRwL_MLTSSaL6B0SstU1gsjDuybK2lVIxLHRw=s88-c-k-c0x00ffffff-no-rj</v>
      </c>
      <c r="G218" s="66"/>
      <c r="H218" s="70" t="s">
        <v>1620</v>
      </c>
      <c r="I218" s="71"/>
      <c r="J218" s="71" t="s">
        <v>159</v>
      </c>
      <c r="K218" s="70" t="s">
        <v>1620</v>
      </c>
      <c r="L218" s="74">
        <v>1</v>
      </c>
      <c r="M218" s="75">
        <v>7734.0751953125</v>
      </c>
      <c r="N218" s="75">
        <v>4290.53759765625</v>
      </c>
      <c r="O218" s="76"/>
      <c r="P218" s="77"/>
      <c r="Q218" s="77"/>
      <c r="R218" s="89"/>
      <c r="S218" s="49">
        <v>0</v>
      </c>
      <c r="T218" s="49">
        <v>1</v>
      </c>
      <c r="U218" s="50">
        <v>0</v>
      </c>
      <c r="V218" s="50">
        <v>0.478122</v>
      </c>
      <c r="W218" s="50">
        <v>0.03471</v>
      </c>
      <c r="X218" s="50">
        <v>0.001935</v>
      </c>
      <c r="Y218" s="50">
        <v>0</v>
      </c>
      <c r="Z218" s="50">
        <v>0</v>
      </c>
      <c r="AA218" s="72">
        <v>218</v>
      </c>
      <c r="AB218" s="72"/>
      <c r="AC218" s="73"/>
      <c r="AD218" s="80" t="s">
        <v>1620</v>
      </c>
      <c r="AE218" s="80"/>
      <c r="AF218" s="80"/>
      <c r="AG218" s="80"/>
      <c r="AH218" s="80"/>
      <c r="AI218" s="80"/>
      <c r="AJ218" s="87">
        <v>41413.584328703706</v>
      </c>
      <c r="AK218" s="85" t="str">
        <f>HYPERLINK("https://yt3.ggpht.com/ytc/AKedOLRwL_MLTSSaL6B0SstU1gsjDuybK2lVIxLHRw=s88-c-k-c0x00ffffff-no-rj")</f>
        <v>https://yt3.ggpht.com/ytc/AKedOLRwL_MLTSSaL6B0SstU1gsjDuybK2lVIxLHRw=s88-c-k-c0x00ffffff-no-rj</v>
      </c>
      <c r="AL218" s="80">
        <v>0</v>
      </c>
      <c r="AM218" s="80">
        <v>0</v>
      </c>
      <c r="AN218" s="80">
        <v>0</v>
      </c>
      <c r="AO218" s="80" t="b">
        <v>0</v>
      </c>
      <c r="AP218" s="80">
        <v>0</v>
      </c>
      <c r="AQ218" s="80"/>
      <c r="AR218" s="80"/>
      <c r="AS218" s="80" t="s">
        <v>2085</v>
      </c>
      <c r="AT218" s="85" t="str">
        <f>HYPERLINK("https://www.youtube.com/channel/UCwPFhJhtg8d2QonvELrITtQ")</f>
        <v>https://www.youtube.com/channel/UCwPFhJhtg8d2QonvELrITtQ</v>
      </c>
      <c r="AU218" s="80" t="str">
        <f>REPLACE(INDEX(GroupVertices[Group],MATCH(Vertices[[#This Row],[Vertex]],GroupVertices[Vertex],0)),1,1,"")</f>
        <v>1</v>
      </c>
      <c r="AV218" s="49">
        <v>3</v>
      </c>
      <c r="AW218" s="50">
        <v>2.803738317757009</v>
      </c>
      <c r="AX218" s="49">
        <v>0</v>
      </c>
      <c r="AY218" s="50">
        <v>0</v>
      </c>
      <c r="AZ218" s="49">
        <v>0</v>
      </c>
      <c r="BA218" s="50">
        <v>0</v>
      </c>
      <c r="BB218" s="49">
        <v>104</v>
      </c>
      <c r="BC218" s="50">
        <v>97.19626168224299</v>
      </c>
      <c r="BD218" s="49">
        <v>107</v>
      </c>
      <c r="BE218" s="49"/>
      <c r="BF218" s="49"/>
      <c r="BG218" s="49"/>
      <c r="BH218" s="49"/>
      <c r="BI218" s="49"/>
      <c r="BJ218" s="49"/>
      <c r="BK218" s="111" t="s">
        <v>3599</v>
      </c>
      <c r="BL218" s="111" t="s">
        <v>3599</v>
      </c>
      <c r="BM218" s="111" t="s">
        <v>4047</v>
      </c>
      <c r="BN218" s="111" t="s">
        <v>4047</v>
      </c>
      <c r="BO218" s="2"/>
      <c r="BP218" s="3"/>
      <c r="BQ218" s="3"/>
      <c r="BR218" s="3"/>
      <c r="BS218" s="3"/>
    </row>
    <row r="219" spans="1:71" ht="15">
      <c r="A219" s="65" t="s">
        <v>553</v>
      </c>
      <c r="B219" s="66"/>
      <c r="C219" s="66"/>
      <c r="D219" s="67">
        <v>150</v>
      </c>
      <c r="E219" s="69"/>
      <c r="F219" s="103" t="str">
        <f>HYPERLINK("https://yt3.ggpht.com/ytc/AKedOLSOIVWdpVeS7OLxyCvHEYP3JAsUg3nr12o55GwH=s88-c-k-c0x00ffffff-no-rj")</f>
        <v>https://yt3.ggpht.com/ytc/AKedOLSOIVWdpVeS7OLxyCvHEYP3JAsUg3nr12o55GwH=s88-c-k-c0x00ffffff-no-rj</v>
      </c>
      <c r="G219" s="66"/>
      <c r="H219" s="70" t="s">
        <v>1621</v>
      </c>
      <c r="I219" s="71"/>
      <c r="J219" s="71" t="s">
        <v>159</v>
      </c>
      <c r="K219" s="70" t="s">
        <v>1621</v>
      </c>
      <c r="L219" s="74">
        <v>1</v>
      </c>
      <c r="M219" s="75">
        <v>8051.91796875</v>
      </c>
      <c r="N219" s="75">
        <v>4092.83349609375</v>
      </c>
      <c r="O219" s="76"/>
      <c r="P219" s="77"/>
      <c r="Q219" s="77"/>
      <c r="R219" s="89"/>
      <c r="S219" s="49">
        <v>0</v>
      </c>
      <c r="T219" s="49">
        <v>1</v>
      </c>
      <c r="U219" s="50">
        <v>0</v>
      </c>
      <c r="V219" s="50">
        <v>0.478122</v>
      </c>
      <c r="W219" s="50">
        <v>0.03471</v>
      </c>
      <c r="X219" s="50">
        <v>0.001935</v>
      </c>
      <c r="Y219" s="50">
        <v>0</v>
      </c>
      <c r="Z219" s="50">
        <v>0</v>
      </c>
      <c r="AA219" s="72">
        <v>219</v>
      </c>
      <c r="AB219" s="72"/>
      <c r="AC219" s="73"/>
      <c r="AD219" s="80" t="s">
        <v>1621</v>
      </c>
      <c r="AE219" s="80"/>
      <c r="AF219" s="80"/>
      <c r="AG219" s="80"/>
      <c r="AH219" s="80"/>
      <c r="AI219" s="80"/>
      <c r="AJ219" s="87">
        <v>40829.937789351854</v>
      </c>
      <c r="AK219" s="85" t="str">
        <f>HYPERLINK("https://yt3.ggpht.com/ytc/AKedOLSOIVWdpVeS7OLxyCvHEYP3JAsUg3nr12o55GwH=s88-c-k-c0x00ffffff-no-rj")</f>
        <v>https://yt3.ggpht.com/ytc/AKedOLSOIVWdpVeS7OLxyCvHEYP3JAsUg3nr12o55GwH=s88-c-k-c0x00ffffff-no-rj</v>
      </c>
      <c r="AL219" s="80">
        <v>102183</v>
      </c>
      <c r="AM219" s="80">
        <v>0</v>
      </c>
      <c r="AN219" s="80">
        <v>229</v>
      </c>
      <c r="AO219" s="80" t="b">
        <v>0</v>
      </c>
      <c r="AP219" s="80">
        <v>2</v>
      </c>
      <c r="AQ219" s="80"/>
      <c r="AR219" s="80"/>
      <c r="AS219" s="80" t="s">
        <v>2085</v>
      </c>
      <c r="AT219" s="85" t="str">
        <f>HYPERLINK("https://www.youtube.com/channel/UCIhXxHMFJ-jBquiJwCM0Sdg")</f>
        <v>https://www.youtube.com/channel/UCIhXxHMFJ-jBquiJwCM0Sdg</v>
      </c>
      <c r="AU219" s="80" t="str">
        <f>REPLACE(INDEX(GroupVertices[Group],MATCH(Vertices[[#This Row],[Vertex]],GroupVertices[Vertex],0)),1,1,"")</f>
        <v>1</v>
      </c>
      <c r="AV219" s="49">
        <v>0</v>
      </c>
      <c r="AW219" s="50">
        <v>0</v>
      </c>
      <c r="AX219" s="49">
        <v>0</v>
      </c>
      <c r="AY219" s="50">
        <v>0</v>
      </c>
      <c r="AZ219" s="49">
        <v>0</v>
      </c>
      <c r="BA219" s="50">
        <v>0</v>
      </c>
      <c r="BB219" s="49">
        <v>26</v>
      </c>
      <c r="BC219" s="50">
        <v>100</v>
      </c>
      <c r="BD219" s="49">
        <v>26</v>
      </c>
      <c r="BE219" s="49"/>
      <c r="BF219" s="49"/>
      <c r="BG219" s="49"/>
      <c r="BH219" s="49"/>
      <c r="BI219" s="49"/>
      <c r="BJ219" s="49"/>
      <c r="BK219" s="111" t="s">
        <v>3600</v>
      </c>
      <c r="BL219" s="111" t="s">
        <v>3600</v>
      </c>
      <c r="BM219" s="111" t="s">
        <v>4048</v>
      </c>
      <c r="BN219" s="111" t="s">
        <v>4048</v>
      </c>
      <c r="BO219" s="2"/>
      <c r="BP219" s="3"/>
      <c r="BQ219" s="3"/>
      <c r="BR219" s="3"/>
      <c r="BS219" s="3"/>
    </row>
    <row r="220" spans="1:71" ht="15">
      <c r="A220" s="65" t="s">
        <v>554</v>
      </c>
      <c r="B220" s="66"/>
      <c r="C220" s="66"/>
      <c r="D220" s="67">
        <v>150</v>
      </c>
      <c r="E220" s="69"/>
      <c r="F220" s="103" t="str">
        <f>HYPERLINK("https://yt3.ggpht.com/ytc/AKedOLQNosn8dSbYza2QRgs_7kKqFzRoqBZ9yu3sUg=s88-c-k-c0x00ffffff-no-rj")</f>
        <v>https://yt3.ggpht.com/ytc/AKedOLQNosn8dSbYza2QRgs_7kKqFzRoqBZ9yu3sUg=s88-c-k-c0x00ffffff-no-rj</v>
      </c>
      <c r="G220" s="66"/>
      <c r="H220" s="70" t="s">
        <v>1622</v>
      </c>
      <c r="I220" s="71"/>
      <c r="J220" s="71" t="s">
        <v>159</v>
      </c>
      <c r="K220" s="70" t="s">
        <v>1622</v>
      </c>
      <c r="L220" s="74">
        <v>1</v>
      </c>
      <c r="M220" s="75">
        <v>7650.42724609375</v>
      </c>
      <c r="N220" s="75">
        <v>7268.93505859375</v>
      </c>
      <c r="O220" s="76"/>
      <c r="P220" s="77"/>
      <c r="Q220" s="77"/>
      <c r="R220" s="89"/>
      <c r="S220" s="49">
        <v>0</v>
      </c>
      <c r="T220" s="49">
        <v>1</v>
      </c>
      <c r="U220" s="50">
        <v>0</v>
      </c>
      <c r="V220" s="50">
        <v>0.478122</v>
      </c>
      <c r="W220" s="50">
        <v>0.03471</v>
      </c>
      <c r="X220" s="50">
        <v>0.001935</v>
      </c>
      <c r="Y220" s="50">
        <v>0</v>
      </c>
      <c r="Z220" s="50">
        <v>0</v>
      </c>
      <c r="AA220" s="72">
        <v>220</v>
      </c>
      <c r="AB220" s="72"/>
      <c r="AC220" s="73"/>
      <c r="AD220" s="80" t="s">
        <v>1622</v>
      </c>
      <c r="AE220" s="80"/>
      <c r="AF220" s="80"/>
      <c r="AG220" s="80"/>
      <c r="AH220" s="80"/>
      <c r="AI220" s="80"/>
      <c r="AJ220" s="87">
        <v>40743.839375</v>
      </c>
      <c r="AK220" s="85" t="str">
        <f>HYPERLINK("https://yt3.ggpht.com/ytc/AKedOLQNosn8dSbYza2QRgs_7kKqFzRoqBZ9yu3sUg=s88-c-k-c0x00ffffff-no-rj")</f>
        <v>https://yt3.ggpht.com/ytc/AKedOLQNosn8dSbYza2QRgs_7kKqFzRoqBZ9yu3sUg=s88-c-k-c0x00ffffff-no-rj</v>
      </c>
      <c r="AL220" s="80">
        <v>0</v>
      </c>
      <c r="AM220" s="80">
        <v>0</v>
      </c>
      <c r="AN220" s="80">
        <v>0</v>
      </c>
      <c r="AO220" s="80" t="b">
        <v>0</v>
      </c>
      <c r="AP220" s="80">
        <v>0</v>
      </c>
      <c r="AQ220" s="80"/>
      <c r="AR220" s="80"/>
      <c r="AS220" s="80" t="s">
        <v>2085</v>
      </c>
      <c r="AT220" s="85" t="str">
        <f>HYPERLINK("https://www.youtube.com/channel/UC04TdeE31TVNfyz4csU8K9Q")</f>
        <v>https://www.youtube.com/channel/UC04TdeE31TVNfyz4csU8K9Q</v>
      </c>
      <c r="AU220" s="80" t="str">
        <f>REPLACE(INDEX(GroupVertices[Group],MATCH(Vertices[[#This Row],[Vertex]],GroupVertices[Vertex],0)),1,1,"")</f>
        <v>1</v>
      </c>
      <c r="AV220" s="49">
        <v>1</v>
      </c>
      <c r="AW220" s="50">
        <v>1.1235955056179776</v>
      </c>
      <c r="AX220" s="49">
        <v>6</v>
      </c>
      <c r="AY220" s="50">
        <v>6.741573033707865</v>
      </c>
      <c r="AZ220" s="49">
        <v>0</v>
      </c>
      <c r="BA220" s="50">
        <v>0</v>
      </c>
      <c r="BB220" s="49">
        <v>82</v>
      </c>
      <c r="BC220" s="50">
        <v>92.13483146067416</v>
      </c>
      <c r="BD220" s="49">
        <v>89</v>
      </c>
      <c r="BE220" s="49"/>
      <c r="BF220" s="49"/>
      <c r="BG220" s="49"/>
      <c r="BH220" s="49"/>
      <c r="BI220" s="49"/>
      <c r="BJ220" s="49"/>
      <c r="BK220" s="111" t="s">
        <v>3601</v>
      </c>
      <c r="BL220" s="111" t="s">
        <v>3601</v>
      </c>
      <c r="BM220" s="111" t="s">
        <v>4049</v>
      </c>
      <c r="BN220" s="111" t="s">
        <v>4049</v>
      </c>
      <c r="BO220" s="2"/>
      <c r="BP220" s="3"/>
      <c r="BQ220" s="3"/>
      <c r="BR220" s="3"/>
      <c r="BS220" s="3"/>
    </row>
    <row r="221" spans="1:71" ht="15">
      <c r="A221" s="65" t="s">
        <v>555</v>
      </c>
      <c r="B221" s="66"/>
      <c r="C221" s="66"/>
      <c r="D221" s="67">
        <v>150</v>
      </c>
      <c r="E221" s="69"/>
      <c r="F221" s="103" t="str">
        <f>HYPERLINK("https://yt3.ggpht.com/ytc/AKedOLQURX9-01xEsqA3MxR3f9itG1xXbLWvNl8CvZ0=s88-c-k-c0x00ffffff-no-rj")</f>
        <v>https://yt3.ggpht.com/ytc/AKedOLQURX9-01xEsqA3MxR3f9itG1xXbLWvNl8CvZ0=s88-c-k-c0x00ffffff-no-rj</v>
      </c>
      <c r="G221" s="66"/>
      <c r="H221" s="70" t="s">
        <v>1623</v>
      </c>
      <c r="I221" s="71"/>
      <c r="J221" s="71" t="s">
        <v>159</v>
      </c>
      <c r="K221" s="70" t="s">
        <v>1623</v>
      </c>
      <c r="L221" s="74">
        <v>1</v>
      </c>
      <c r="M221" s="75">
        <v>6626.9892578125</v>
      </c>
      <c r="N221" s="75">
        <v>5800.54052734375</v>
      </c>
      <c r="O221" s="76"/>
      <c r="P221" s="77"/>
      <c r="Q221" s="77"/>
      <c r="R221" s="89"/>
      <c r="S221" s="49">
        <v>0</v>
      </c>
      <c r="T221" s="49">
        <v>1</v>
      </c>
      <c r="U221" s="50">
        <v>0</v>
      </c>
      <c r="V221" s="50">
        <v>0.478122</v>
      </c>
      <c r="W221" s="50">
        <v>0.03471</v>
      </c>
      <c r="X221" s="50">
        <v>0.001935</v>
      </c>
      <c r="Y221" s="50">
        <v>0</v>
      </c>
      <c r="Z221" s="50">
        <v>0</v>
      </c>
      <c r="AA221" s="72">
        <v>221</v>
      </c>
      <c r="AB221" s="72"/>
      <c r="AC221" s="73"/>
      <c r="AD221" s="80" t="s">
        <v>1623</v>
      </c>
      <c r="AE221" s="80"/>
      <c r="AF221" s="80"/>
      <c r="AG221" s="80"/>
      <c r="AH221" s="80"/>
      <c r="AI221" s="80"/>
      <c r="AJ221" s="87">
        <v>40541.22489583334</v>
      </c>
      <c r="AK221" s="85" t="str">
        <f>HYPERLINK("https://yt3.ggpht.com/ytc/AKedOLQURX9-01xEsqA3MxR3f9itG1xXbLWvNl8CvZ0=s88-c-k-c0x00ffffff-no-rj")</f>
        <v>https://yt3.ggpht.com/ytc/AKedOLQURX9-01xEsqA3MxR3f9itG1xXbLWvNl8CvZ0=s88-c-k-c0x00ffffff-no-rj</v>
      </c>
      <c r="AL221" s="80">
        <v>0</v>
      </c>
      <c r="AM221" s="80">
        <v>0</v>
      </c>
      <c r="AN221" s="80">
        <v>2</v>
      </c>
      <c r="AO221" s="80" t="b">
        <v>0</v>
      </c>
      <c r="AP221" s="80">
        <v>0</v>
      </c>
      <c r="AQ221" s="80"/>
      <c r="AR221" s="80"/>
      <c r="AS221" s="80" t="s">
        <v>2085</v>
      </c>
      <c r="AT221" s="85" t="str">
        <f>HYPERLINK("https://www.youtube.com/channel/UCExPNBJx6p4nH4lGxRZty0w")</f>
        <v>https://www.youtube.com/channel/UCExPNBJx6p4nH4lGxRZty0w</v>
      </c>
      <c r="AU221" s="80" t="str">
        <f>REPLACE(INDEX(GroupVertices[Group],MATCH(Vertices[[#This Row],[Vertex]],GroupVertices[Vertex],0)),1,1,"")</f>
        <v>1</v>
      </c>
      <c r="AV221" s="49">
        <v>0</v>
      </c>
      <c r="AW221" s="50">
        <v>0</v>
      </c>
      <c r="AX221" s="49">
        <v>1</v>
      </c>
      <c r="AY221" s="50">
        <v>7.6923076923076925</v>
      </c>
      <c r="AZ221" s="49">
        <v>0</v>
      </c>
      <c r="BA221" s="50">
        <v>0</v>
      </c>
      <c r="BB221" s="49">
        <v>12</v>
      </c>
      <c r="BC221" s="50">
        <v>92.3076923076923</v>
      </c>
      <c r="BD221" s="49">
        <v>13</v>
      </c>
      <c r="BE221" s="49"/>
      <c r="BF221" s="49"/>
      <c r="BG221" s="49"/>
      <c r="BH221" s="49"/>
      <c r="BI221" s="49"/>
      <c r="BJ221" s="49"/>
      <c r="BK221" s="111" t="s">
        <v>3602</v>
      </c>
      <c r="BL221" s="111" t="s">
        <v>3602</v>
      </c>
      <c r="BM221" s="111" t="s">
        <v>4050</v>
      </c>
      <c r="BN221" s="111" t="s">
        <v>4050</v>
      </c>
      <c r="BO221" s="2"/>
      <c r="BP221" s="3"/>
      <c r="BQ221" s="3"/>
      <c r="BR221" s="3"/>
      <c r="BS221" s="3"/>
    </row>
    <row r="222" spans="1:71" ht="15">
      <c r="A222" s="65" t="s">
        <v>556</v>
      </c>
      <c r="B222" s="66"/>
      <c r="C222" s="66"/>
      <c r="D222" s="67">
        <v>150</v>
      </c>
      <c r="E222" s="69"/>
      <c r="F222" s="103" t="str">
        <f>HYPERLINK("https://yt3.ggpht.com/ytc/AKedOLQm4Ig0tvZfoymDwXdeHBfnoBzSNFik4Ez2CA=s88-c-k-c0x00ffffff-no-rj")</f>
        <v>https://yt3.ggpht.com/ytc/AKedOLQm4Ig0tvZfoymDwXdeHBfnoBzSNFik4Ez2CA=s88-c-k-c0x00ffffff-no-rj</v>
      </c>
      <c r="G222" s="66"/>
      <c r="H222" s="70" t="s">
        <v>1624</v>
      </c>
      <c r="I222" s="71"/>
      <c r="J222" s="71" t="s">
        <v>159</v>
      </c>
      <c r="K222" s="70" t="s">
        <v>1624</v>
      </c>
      <c r="L222" s="74">
        <v>1</v>
      </c>
      <c r="M222" s="75">
        <v>6783.111328125</v>
      </c>
      <c r="N222" s="75">
        <v>7844.119140625</v>
      </c>
      <c r="O222" s="76"/>
      <c r="P222" s="77"/>
      <c r="Q222" s="77"/>
      <c r="R222" s="89"/>
      <c r="S222" s="49">
        <v>0</v>
      </c>
      <c r="T222" s="49">
        <v>1</v>
      </c>
      <c r="U222" s="50">
        <v>0</v>
      </c>
      <c r="V222" s="50">
        <v>0.478122</v>
      </c>
      <c r="W222" s="50">
        <v>0.03471</v>
      </c>
      <c r="X222" s="50">
        <v>0.001935</v>
      </c>
      <c r="Y222" s="50">
        <v>0</v>
      </c>
      <c r="Z222" s="50">
        <v>0</v>
      </c>
      <c r="AA222" s="72">
        <v>222</v>
      </c>
      <c r="AB222" s="72"/>
      <c r="AC222" s="73"/>
      <c r="AD222" s="80" t="s">
        <v>1624</v>
      </c>
      <c r="AE222" s="80"/>
      <c r="AF222" s="80"/>
      <c r="AG222" s="80"/>
      <c r="AH222" s="80"/>
      <c r="AI222" s="80"/>
      <c r="AJ222" s="87">
        <v>41440.65207175926</v>
      </c>
      <c r="AK222" s="85" t="str">
        <f>HYPERLINK("https://yt3.ggpht.com/ytc/AKedOLQm4Ig0tvZfoymDwXdeHBfnoBzSNFik4Ez2CA=s88-c-k-c0x00ffffff-no-rj")</f>
        <v>https://yt3.ggpht.com/ytc/AKedOLQm4Ig0tvZfoymDwXdeHBfnoBzSNFik4Ez2CA=s88-c-k-c0x00ffffff-no-rj</v>
      </c>
      <c r="AL222" s="80">
        <v>0</v>
      </c>
      <c r="AM222" s="80">
        <v>0</v>
      </c>
      <c r="AN222" s="80">
        <v>0</v>
      </c>
      <c r="AO222" s="80" t="b">
        <v>0</v>
      </c>
      <c r="AP222" s="80">
        <v>0</v>
      </c>
      <c r="AQ222" s="80"/>
      <c r="AR222" s="80"/>
      <c r="AS222" s="80" t="s">
        <v>2085</v>
      </c>
      <c r="AT222" s="85" t="str">
        <f>HYPERLINK("https://www.youtube.com/channel/UCzyWpvd7hlCeT3w3R8FHWIw")</f>
        <v>https://www.youtube.com/channel/UCzyWpvd7hlCeT3w3R8FHWIw</v>
      </c>
      <c r="AU222" s="80" t="str">
        <f>REPLACE(INDEX(GroupVertices[Group],MATCH(Vertices[[#This Row],[Vertex]],GroupVertices[Vertex],0)),1,1,"")</f>
        <v>1</v>
      </c>
      <c r="AV222" s="49">
        <v>6</v>
      </c>
      <c r="AW222" s="50">
        <v>7.407407407407407</v>
      </c>
      <c r="AX222" s="49">
        <v>4</v>
      </c>
      <c r="AY222" s="50">
        <v>4.938271604938271</v>
      </c>
      <c r="AZ222" s="49">
        <v>0</v>
      </c>
      <c r="BA222" s="50">
        <v>0</v>
      </c>
      <c r="BB222" s="49">
        <v>71</v>
      </c>
      <c r="BC222" s="50">
        <v>87.65432098765432</v>
      </c>
      <c r="BD222" s="49">
        <v>81</v>
      </c>
      <c r="BE222" s="49"/>
      <c r="BF222" s="49"/>
      <c r="BG222" s="49"/>
      <c r="BH222" s="49"/>
      <c r="BI222" s="49"/>
      <c r="BJ222" s="49"/>
      <c r="BK222" s="111" t="s">
        <v>3603</v>
      </c>
      <c r="BL222" s="111" t="s">
        <v>3603</v>
      </c>
      <c r="BM222" s="111" t="s">
        <v>4051</v>
      </c>
      <c r="BN222" s="111" t="s">
        <v>4051</v>
      </c>
      <c r="BO222" s="2"/>
      <c r="BP222" s="3"/>
      <c r="BQ222" s="3"/>
      <c r="BR222" s="3"/>
      <c r="BS222" s="3"/>
    </row>
    <row r="223" spans="1:71" ht="15">
      <c r="A223" s="65" t="s">
        <v>557</v>
      </c>
      <c r="B223" s="66"/>
      <c r="C223" s="66"/>
      <c r="D223" s="67">
        <v>150</v>
      </c>
      <c r="E223" s="69"/>
      <c r="F223" s="103" t="str">
        <f>HYPERLINK("https://yt3.ggpht.com/TZIEWGBOAb6ENfGWBwlWypUVD-6asA2lOTEKJu-6FEIQoUYvrvEQSIksxn0Eo6bw6tD3GWG3KA=s88-c-k-c0x00ffffff-no-rj")</f>
        <v>https://yt3.ggpht.com/TZIEWGBOAb6ENfGWBwlWypUVD-6asA2lOTEKJu-6FEIQoUYvrvEQSIksxn0Eo6bw6tD3GWG3KA=s88-c-k-c0x00ffffff-no-rj</v>
      </c>
      <c r="G223" s="66"/>
      <c r="H223" s="70" t="s">
        <v>1625</v>
      </c>
      <c r="I223" s="71"/>
      <c r="J223" s="71" t="s">
        <v>159</v>
      </c>
      <c r="K223" s="70" t="s">
        <v>1625</v>
      </c>
      <c r="L223" s="74">
        <v>1</v>
      </c>
      <c r="M223" s="75">
        <v>4842.193359375</v>
      </c>
      <c r="N223" s="75">
        <v>408.2861633300781</v>
      </c>
      <c r="O223" s="76"/>
      <c r="P223" s="77"/>
      <c r="Q223" s="77"/>
      <c r="R223" s="89"/>
      <c r="S223" s="49">
        <v>0</v>
      </c>
      <c r="T223" s="49">
        <v>1</v>
      </c>
      <c r="U223" s="50">
        <v>0</v>
      </c>
      <c r="V223" s="50">
        <v>0.478122</v>
      </c>
      <c r="W223" s="50">
        <v>0.03471</v>
      </c>
      <c r="X223" s="50">
        <v>0.001935</v>
      </c>
      <c r="Y223" s="50">
        <v>0</v>
      </c>
      <c r="Z223" s="50">
        <v>0</v>
      </c>
      <c r="AA223" s="72">
        <v>223</v>
      </c>
      <c r="AB223" s="72"/>
      <c r="AC223" s="73"/>
      <c r="AD223" s="80" t="s">
        <v>1625</v>
      </c>
      <c r="AE223" s="80"/>
      <c r="AF223" s="80"/>
      <c r="AG223" s="80"/>
      <c r="AH223" s="80"/>
      <c r="AI223" s="80"/>
      <c r="AJ223" s="87">
        <v>41050.694502314815</v>
      </c>
      <c r="AK223" s="85" t="str">
        <f>HYPERLINK("https://yt3.ggpht.com/TZIEWGBOAb6ENfGWBwlWypUVD-6asA2lOTEKJu-6FEIQoUYvrvEQSIksxn0Eo6bw6tD3GWG3KA=s88-c-k-c0x00ffffff-no-rj")</f>
        <v>https://yt3.ggpht.com/TZIEWGBOAb6ENfGWBwlWypUVD-6asA2lOTEKJu-6FEIQoUYvrvEQSIksxn0Eo6bw6tD3GWG3KA=s88-c-k-c0x00ffffff-no-rj</v>
      </c>
      <c r="AL223" s="80">
        <v>101</v>
      </c>
      <c r="AM223" s="80">
        <v>0</v>
      </c>
      <c r="AN223" s="80">
        <v>0</v>
      </c>
      <c r="AO223" s="80" t="b">
        <v>1</v>
      </c>
      <c r="AP223" s="80">
        <v>2</v>
      </c>
      <c r="AQ223" s="80"/>
      <c r="AR223" s="80"/>
      <c r="AS223" s="80" t="s">
        <v>2085</v>
      </c>
      <c r="AT223" s="85" t="str">
        <f>HYPERLINK("https://www.youtube.com/channel/UC6CiLgJWYrnKGh4IQgnw19g")</f>
        <v>https://www.youtube.com/channel/UC6CiLgJWYrnKGh4IQgnw19g</v>
      </c>
      <c r="AU223" s="80" t="str">
        <f>REPLACE(INDEX(GroupVertices[Group],MATCH(Vertices[[#This Row],[Vertex]],GroupVertices[Vertex],0)),1,1,"")</f>
        <v>1</v>
      </c>
      <c r="AV223" s="49">
        <v>1</v>
      </c>
      <c r="AW223" s="50">
        <v>5.882352941176471</v>
      </c>
      <c r="AX223" s="49">
        <v>0</v>
      </c>
      <c r="AY223" s="50">
        <v>0</v>
      </c>
      <c r="AZ223" s="49">
        <v>0</v>
      </c>
      <c r="BA223" s="50">
        <v>0</v>
      </c>
      <c r="BB223" s="49">
        <v>16</v>
      </c>
      <c r="BC223" s="50">
        <v>94.11764705882354</v>
      </c>
      <c r="BD223" s="49">
        <v>17</v>
      </c>
      <c r="BE223" s="49"/>
      <c r="BF223" s="49"/>
      <c r="BG223" s="49"/>
      <c r="BH223" s="49"/>
      <c r="BI223" s="49"/>
      <c r="BJ223" s="49"/>
      <c r="BK223" s="111" t="s">
        <v>3604</v>
      </c>
      <c r="BL223" s="111" t="s">
        <v>3604</v>
      </c>
      <c r="BM223" s="111" t="s">
        <v>4052</v>
      </c>
      <c r="BN223" s="111" t="s">
        <v>4052</v>
      </c>
      <c r="BO223" s="2"/>
      <c r="BP223" s="3"/>
      <c r="BQ223" s="3"/>
      <c r="BR223" s="3"/>
      <c r="BS223" s="3"/>
    </row>
    <row r="224" spans="1:71" ht="15">
      <c r="A224" s="65" t="s">
        <v>558</v>
      </c>
      <c r="B224" s="66"/>
      <c r="C224" s="66"/>
      <c r="D224" s="67">
        <v>150</v>
      </c>
      <c r="E224" s="69"/>
      <c r="F224" s="103" t="str">
        <f>HYPERLINK("https://yt3.ggpht.com/ytc/AKedOLQEYL1P1GYHQnAUMQDqt14N_nCsCAdYlmDd2P35=s88-c-k-c0x00ffffff-no-rj")</f>
        <v>https://yt3.ggpht.com/ytc/AKedOLQEYL1P1GYHQnAUMQDqt14N_nCsCAdYlmDd2P35=s88-c-k-c0x00ffffff-no-rj</v>
      </c>
      <c r="G224" s="66"/>
      <c r="H224" s="70" t="s">
        <v>1626</v>
      </c>
      <c r="I224" s="71"/>
      <c r="J224" s="71" t="s">
        <v>159</v>
      </c>
      <c r="K224" s="70" t="s">
        <v>1626</v>
      </c>
      <c r="L224" s="74">
        <v>1</v>
      </c>
      <c r="M224" s="75">
        <v>2774.5791015625</v>
      </c>
      <c r="N224" s="75">
        <v>507.0535888671875</v>
      </c>
      <c r="O224" s="76"/>
      <c r="P224" s="77"/>
      <c r="Q224" s="77"/>
      <c r="R224" s="89"/>
      <c r="S224" s="49">
        <v>0</v>
      </c>
      <c r="T224" s="49">
        <v>1</v>
      </c>
      <c r="U224" s="50">
        <v>0</v>
      </c>
      <c r="V224" s="50">
        <v>0.478122</v>
      </c>
      <c r="W224" s="50">
        <v>0.03471</v>
      </c>
      <c r="X224" s="50">
        <v>0.001935</v>
      </c>
      <c r="Y224" s="50">
        <v>0</v>
      </c>
      <c r="Z224" s="50">
        <v>0</v>
      </c>
      <c r="AA224" s="72">
        <v>224</v>
      </c>
      <c r="AB224" s="72"/>
      <c r="AC224" s="73"/>
      <c r="AD224" s="80" t="s">
        <v>1626</v>
      </c>
      <c r="AE224" s="80"/>
      <c r="AF224" s="80"/>
      <c r="AG224" s="80"/>
      <c r="AH224" s="80"/>
      <c r="AI224" s="80"/>
      <c r="AJ224" s="87">
        <v>41007.7459375</v>
      </c>
      <c r="AK224" s="85" t="str">
        <f>HYPERLINK("https://yt3.ggpht.com/ytc/AKedOLQEYL1P1GYHQnAUMQDqt14N_nCsCAdYlmDd2P35=s88-c-k-c0x00ffffff-no-rj")</f>
        <v>https://yt3.ggpht.com/ytc/AKedOLQEYL1P1GYHQnAUMQDqt14N_nCsCAdYlmDd2P35=s88-c-k-c0x00ffffff-no-rj</v>
      </c>
      <c r="AL224" s="80">
        <v>0</v>
      </c>
      <c r="AM224" s="80">
        <v>0</v>
      </c>
      <c r="AN224" s="80">
        <v>0</v>
      </c>
      <c r="AO224" s="80" t="b">
        <v>0</v>
      </c>
      <c r="AP224" s="80">
        <v>0</v>
      </c>
      <c r="AQ224" s="80"/>
      <c r="AR224" s="80"/>
      <c r="AS224" s="80" t="s">
        <v>2085</v>
      </c>
      <c r="AT224" s="85" t="str">
        <f>HYPERLINK("https://www.youtube.com/channel/UCHoKbFnmqHhrVIToAB7QBRg")</f>
        <v>https://www.youtube.com/channel/UCHoKbFnmqHhrVIToAB7QBRg</v>
      </c>
      <c r="AU224" s="80" t="str">
        <f>REPLACE(INDEX(GroupVertices[Group],MATCH(Vertices[[#This Row],[Vertex]],GroupVertices[Vertex],0)),1,1,"")</f>
        <v>1</v>
      </c>
      <c r="AV224" s="49">
        <v>1</v>
      </c>
      <c r="AW224" s="50">
        <v>4</v>
      </c>
      <c r="AX224" s="49">
        <v>0</v>
      </c>
      <c r="AY224" s="50">
        <v>0</v>
      </c>
      <c r="AZ224" s="49">
        <v>0</v>
      </c>
      <c r="BA224" s="50">
        <v>0</v>
      </c>
      <c r="BB224" s="49">
        <v>24</v>
      </c>
      <c r="BC224" s="50">
        <v>96</v>
      </c>
      <c r="BD224" s="49">
        <v>25</v>
      </c>
      <c r="BE224" s="49"/>
      <c r="BF224" s="49"/>
      <c r="BG224" s="49"/>
      <c r="BH224" s="49"/>
      <c r="BI224" s="49"/>
      <c r="BJ224" s="49"/>
      <c r="BK224" s="111" t="s">
        <v>3605</v>
      </c>
      <c r="BL224" s="111" t="s">
        <v>3605</v>
      </c>
      <c r="BM224" s="111" t="s">
        <v>4053</v>
      </c>
      <c r="BN224" s="111" t="s">
        <v>4053</v>
      </c>
      <c r="BO224" s="2"/>
      <c r="BP224" s="3"/>
      <c r="BQ224" s="3"/>
      <c r="BR224" s="3"/>
      <c r="BS224" s="3"/>
    </row>
    <row r="225" spans="1:71" ht="15">
      <c r="A225" s="65" t="s">
        <v>559</v>
      </c>
      <c r="B225" s="66"/>
      <c r="C225" s="66"/>
      <c r="D225" s="67">
        <v>150</v>
      </c>
      <c r="E225" s="69"/>
      <c r="F225" s="103" t="str">
        <f>HYPERLINK("https://yt3.ggpht.com/ytc/AKedOLS8SeU_RWddzp0z2clgBghK5TTpaNipk9R59nSw4w=s88-c-k-c0x00ffffff-no-rj")</f>
        <v>https://yt3.ggpht.com/ytc/AKedOLS8SeU_RWddzp0z2clgBghK5TTpaNipk9R59nSw4w=s88-c-k-c0x00ffffff-no-rj</v>
      </c>
      <c r="G225" s="66"/>
      <c r="H225" s="70" t="s">
        <v>1627</v>
      </c>
      <c r="I225" s="71"/>
      <c r="J225" s="71" t="s">
        <v>159</v>
      </c>
      <c r="K225" s="70" t="s">
        <v>1627</v>
      </c>
      <c r="L225" s="74">
        <v>1</v>
      </c>
      <c r="M225" s="75">
        <v>6251.87060546875</v>
      </c>
      <c r="N225" s="75">
        <v>8320.9228515625</v>
      </c>
      <c r="O225" s="76"/>
      <c r="P225" s="77"/>
      <c r="Q225" s="77"/>
      <c r="R225" s="89"/>
      <c r="S225" s="49">
        <v>0</v>
      </c>
      <c r="T225" s="49">
        <v>1</v>
      </c>
      <c r="U225" s="50">
        <v>0</v>
      </c>
      <c r="V225" s="50">
        <v>0.478122</v>
      </c>
      <c r="W225" s="50">
        <v>0.03471</v>
      </c>
      <c r="X225" s="50">
        <v>0.001935</v>
      </c>
      <c r="Y225" s="50">
        <v>0</v>
      </c>
      <c r="Z225" s="50">
        <v>0</v>
      </c>
      <c r="AA225" s="72">
        <v>225</v>
      </c>
      <c r="AB225" s="72"/>
      <c r="AC225" s="73"/>
      <c r="AD225" s="80" t="s">
        <v>1627</v>
      </c>
      <c r="AE225" s="80" t="s">
        <v>2001</v>
      </c>
      <c r="AF225" s="80"/>
      <c r="AG225" s="80"/>
      <c r="AH225" s="80"/>
      <c r="AI225" s="80"/>
      <c r="AJ225" s="87">
        <v>41118.50728009259</v>
      </c>
      <c r="AK225" s="85" t="str">
        <f>HYPERLINK("https://yt3.ggpht.com/ytc/AKedOLS8SeU_RWddzp0z2clgBghK5TTpaNipk9R59nSw4w=s88-c-k-c0x00ffffff-no-rj")</f>
        <v>https://yt3.ggpht.com/ytc/AKedOLS8SeU_RWddzp0z2clgBghK5TTpaNipk9R59nSw4w=s88-c-k-c0x00ffffff-no-rj</v>
      </c>
      <c r="AL225" s="80">
        <v>450</v>
      </c>
      <c r="AM225" s="80">
        <v>0</v>
      </c>
      <c r="AN225" s="80">
        <v>14</v>
      </c>
      <c r="AO225" s="80" t="b">
        <v>0</v>
      </c>
      <c r="AP225" s="80">
        <v>4</v>
      </c>
      <c r="AQ225" s="80"/>
      <c r="AR225" s="80"/>
      <c r="AS225" s="80" t="s">
        <v>2085</v>
      </c>
      <c r="AT225" s="85" t="str">
        <f>HYPERLINK("https://www.youtube.com/channel/UC3TNTGrI0pBKFG1Wg3jVgaQ")</f>
        <v>https://www.youtube.com/channel/UC3TNTGrI0pBKFG1Wg3jVgaQ</v>
      </c>
      <c r="AU225" s="80" t="str">
        <f>REPLACE(INDEX(GroupVertices[Group],MATCH(Vertices[[#This Row],[Vertex]],GroupVertices[Vertex],0)),1,1,"")</f>
        <v>1</v>
      </c>
      <c r="AV225" s="49">
        <v>0</v>
      </c>
      <c r="AW225" s="50">
        <v>0</v>
      </c>
      <c r="AX225" s="49">
        <v>0</v>
      </c>
      <c r="AY225" s="50">
        <v>0</v>
      </c>
      <c r="AZ225" s="49">
        <v>0</v>
      </c>
      <c r="BA225" s="50">
        <v>0</v>
      </c>
      <c r="BB225" s="49">
        <v>19</v>
      </c>
      <c r="BC225" s="50">
        <v>100</v>
      </c>
      <c r="BD225" s="49">
        <v>19</v>
      </c>
      <c r="BE225" s="49"/>
      <c r="BF225" s="49"/>
      <c r="BG225" s="49"/>
      <c r="BH225" s="49"/>
      <c r="BI225" s="49"/>
      <c r="BJ225" s="49"/>
      <c r="BK225" s="111" t="s">
        <v>3606</v>
      </c>
      <c r="BL225" s="111" t="s">
        <v>3606</v>
      </c>
      <c r="BM225" s="111" t="s">
        <v>4054</v>
      </c>
      <c r="BN225" s="111" t="s">
        <v>4054</v>
      </c>
      <c r="BO225" s="2"/>
      <c r="BP225" s="3"/>
      <c r="BQ225" s="3"/>
      <c r="BR225" s="3"/>
      <c r="BS225" s="3"/>
    </row>
    <row r="226" spans="1:71" ht="15">
      <c r="A226" s="65" t="s">
        <v>560</v>
      </c>
      <c r="B226" s="66"/>
      <c r="C226" s="66"/>
      <c r="D226" s="67">
        <v>150</v>
      </c>
      <c r="E226" s="69"/>
      <c r="F226" s="103" t="str">
        <f>HYPERLINK("https://yt3.ggpht.com/ytc/AKedOLRsKr3PBJ-7SNe7Je9x64QiUtxw-nRnysnOJYlG=s88-c-k-c0x00ffffff-no-rj")</f>
        <v>https://yt3.ggpht.com/ytc/AKedOLRsKr3PBJ-7SNe7Je9x64QiUtxw-nRnysnOJYlG=s88-c-k-c0x00ffffff-no-rj</v>
      </c>
      <c r="G226" s="66"/>
      <c r="H226" s="70" t="s">
        <v>1628</v>
      </c>
      <c r="I226" s="71"/>
      <c r="J226" s="71" t="s">
        <v>159</v>
      </c>
      <c r="K226" s="70" t="s">
        <v>1628</v>
      </c>
      <c r="L226" s="74">
        <v>1</v>
      </c>
      <c r="M226" s="75">
        <v>8086.7275390625</v>
      </c>
      <c r="N226" s="75">
        <v>5816.6435546875</v>
      </c>
      <c r="O226" s="76"/>
      <c r="P226" s="77"/>
      <c r="Q226" s="77"/>
      <c r="R226" s="89"/>
      <c r="S226" s="49">
        <v>0</v>
      </c>
      <c r="T226" s="49">
        <v>1</v>
      </c>
      <c r="U226" s="50">
        <v>0</v>
      </c>
      <c r="V226" s="50">
        <v>0.478122</v>
      </c>
      <c r="W226" s="50">
        <v>0.03471</v>
      </c>
      <c r="X226" s="50">
        <v>0.001935</v>
      </c>
      <c r="Y226" s="50">
        <v>0</v>
      </c>
      <c r="Z226" s="50">
        <v>0</v>
      </c>
      <c r="AA226" s="72">
        <v>226</v>
      </c>
      <c r="AB226" s="72"/>
      <c r="AC226" s="73"/>
      <c r="AD226" s="80" t="s">
        <v>1628</v>
      </c>
      <c r="AE226" s="80"/>
      <c r="AF226" s="80"/>
      <c r="AG226" s="80"/>
      <c r="AH226" s="80"/>
      <c r="AI226" s="80"/>
      <c r="AJ226" s="87">
        <v>41340.599907407406</v>
      </c>
      <c r="AK226" s="85" t="str">
        <f>HYPERLINK("https://yt3.ggpht.com/ytc/AKedOLRsKr3PBJ-7SNe7Je9x64QiUtxw-nRnysnOJYlG=s88-c-k-c0x00ffffff-no-rj")</f>
        <v>https://yt3.ggpht.com/ytc/AKedOLRsKr3PBJ-7SNe7Je9x64QiUtxw-nRnysnOJYlG=s88-c-k-c0x00ffffff-no-rj</v>
      </c>
      <c r="AL226" s="80">
        <v>11</v>
      </c>
      <c r="AM226" s="80">
        <v>0</v>
      </c>
      <c r="AN226" s="80">
        <v>0</v>
      </c>
      <c r="AO226" s="80" t="b">
        <v>0</v>
      </c>
      <c r="AP226" s="80">
        <v>1</v>
      </c>
      <c r="AQ226" s="80"/>
      <c r="AR226" s="80"/>
      <c r="AS226" s="80" t="s">
        <v>2085</v>
      </c>
      <c r="AT226" s="85" t="str">
        <f>HYPERLINK("https://www.youtube.com/channel/UCeYXFIY3f424KXx5J_OszkQ")</f>
        <v>https://www.youtube.com/channel/UCeYXFIY3f424KXx5J_OszkQ</v>
      </c>
      <c r="AU226" s="80" t="str">
        <f>REPLACE(INDEX(GroupVertices[Group],MATCH(Vertices[[#This Row],[Vertex]],GroupVertices[Vertex],0)),1,1,"")</f>
        <v>1</v>
      </c>
      <c r="AV226" s="49">
        <v>4</v>
      </c>
      <c r="AW226" s="50">
        <v>40</v>
      </c>
      <c r="AX226" s="49">
        <v>0</v>
      </c>
      <c r="AY226" s="50">
        <v>0</v>
      </c>
      <c r="AZ226" s="49">
        <v>0</v>
      </c>
      <c r="BA226" s="50">
        <v>0</v>
      </c>
      <c r="BB226" s="49">
        <v>6</v>
      </c>
      <c r="BC226" s="50">
        <v>60</v>
      </c>
      <c r="BD226" s="49">
        <v>10</v>
      </c>
      <c r="BE226" s="49"/>
      <c r="BF226" s="49"/>
      <c r="BG226" s="49"/>
      <c r="BH226" s="49"/>
      <c r="BI226" s="49"/>
      <c r="BJ226" s="49"/>
      <c r="BK226" s="111" t="s">
        <v>3607</v>
      </c>
      <c r="BL226" s="111" t="s">
        <v>3607</v>
      </c>
      <c r="BM226" s="111" t="s">
        <v>4055</v>
      </c>
      <c r="BN226" s="111" t="s">
        <v>4055</v>
      </c>
      <c r="BO226" s="2"/>
      <c r="BP226" s="3"/>
      <c r="BQ226" s="3"/>
      <c r="BR226" s="3"/>
      <c r="BS226" s="3"/>
    </row>
    <row r="227" spans="1:71" ht="15">
      <c r="A227" s="65" t="s">
        <v>561</v>
      </c>
      <c r="B227" s="66"/>
      <c r="C227" s="66"/>
      <c r="D227" s="67">
        <v>150</v>
      </c>
      <c r="E227" s="69"/>
      <c r="F227" s="103" t="str">
        <f>HYPERLINK("https://yt3.ggpht.com/ytc/AKedOLQ7IYvv-Tm8EBHvqFZrm5lI6NsXu1350h4AFsP7eA=s88-c-k-c0x00ffffff-no-rj")</f>
        <v>https://yt3.ggpht.com/ytc/AKedOLQ7IYvv-Tm8EBHvqFZrm5lI6NsXu1350h4AFsP7eA=s88-c-k-c0x00ffffff-no-rj</v>
      </c>
      <c r="G227" s="66"/>
      <c r="H227" s="70" t="s">
        <v>1629</v>
      </c>
      <c r="I227" s="71"/>
      <c r="J227" s="71" t="s">
        <v>159</v>
      </c>
      <c r="K227" s="70" t="s">
        <v>1629</v>
      </c>
      <c r="L227" s="74">
        <v>1</v>
      </c>
      <c r="M227" s="75">
        <v>5656.88232421875</v>
      </c>
      <c r="N227" s="75">
        <v>1117.0489501953125</v>
      </c>
      <c r="O227" s="76"/>
      <c r="P227" s="77"/>
      <c r="Q227" s="77"/>
      <c r="R227" s="89"/>
      <c r="S227" s="49">
        <v>0</v>
      </c>
      <c r="T227" s="49">
        <v>1</v>
      </c>
      <c r="U227" s="50">
        <v>0</v>
      </c>
      <c r="V227" s="50">
        <v>0.478122</v>
      </c>
      <c r="W227" s="50">
        <v>0.03471</v>
      </c>
      <c r="X227" s="50">
        <v>0.001935</v>
      </c>
      <c r="Y227" s="50">
        <v>0</v>
      </c>
      <c r="Z227" s="50">
        <v>0</v>
      </c>
      <c r="AA227" s="72">
        <v>227</v>
      </c>
      <c r="AB227" s="72"/>
      <c r="AC227" s="73"/>
      <c r="AD227" s="80" t="s">
        <v>1629</v>
      </c>
      <c r="AE227" s="80"/>
      <c r="AF227" s="80"/>
      <c r="AG227" s="80"/>
      <c r="AH227" s="80"/>
      <c r="AI227" s="80"/>
      <c r="AJ227" s="87">
        <v>40603.416921296295</v>
      </c>
      <c r="AK227" s="85" t="str">
        <f>HYPERLINK("https://yt3.ggpht.com/ytc/AKedOLQ7IYvv-Tm8EBHvqFZrm5lI6NsXu1350h4AFsP7eA=s88-c-k-c0x00ffffff-no-rj")</f>
        <v>https://yt3.ggpht.com/ytc/AKedOLQ7IYvv-Tm8EBHvqFZrm5lI6NsXu1350h4AFsP7eA=s88-c-k-c0x00ffffff-no-rj</v>
      </c>
      <c r="AL227" s="80">
        <v>0</v>
      </c>
      <c r="AM227" s="80">
        <v>0</v>
      </c>
      <c r="AN227" s="80">
        <v>3</v>
      </c>
      <c r="AO227" s="80" t="b">
        <v>0</v>
      </c>
      <c r="AP227" s="80">
        <v>0</v>
      </c>
      <c r="AQ227" s="80"/>
      <c r="AR227" s="80"/>
      <c r="AS227" s="80" t="s">
        <v>2085</v>
      </c>
      <c r="AT227" s="85" t="str">
        <f>HYPERLINK("https://www.youtube.com/channel/UCVD0gtk2H7PcYbozAJpDAHg")</f>
        <v>https://www.youtube.com/channel/UCVD0gtk2H7PcYbozAJpDAHg</v>
      </c>
      <c r="AU227" s="80" t="str">
        <f>REPLACE(INDEX(GroupVertices[Group],MATCH(Vertices[[#This Row],[Vertex]],GroupVertices[Vertex],0)),1,1,"")</f>
        <v>1</v>
      </c>
      <c r="AV227" s="49">
        <v>1</v>
      </c>
      <c r="AW227" s="50">
        <v>11.11111111111111</v>
      </c>
      <c r="AX227" s="49">
        <v>0</v>
      </c>
      <c r="AY227" s="50">
        <v>0</v>
      </c>
      <c r="AZ227" s="49">
        <v>0</v>
      </c>
      <c r="BA227" s="50">
        <v>0</v>
      </c>
      <c r="BB227" s="49">
        <v>8</v>
      </c>
      <c r="BC227" s="50">
        <v>88.88888888888889</v>
      </c>
      <c r="BD227" s="49">
        <v>9</v>
      </c>
      <c r="BE227" s="49"/>
      <c r="BF227" s="49"/>
      <c r="BG227" s="49"/>
      <c r="BH227" s="49"/>
      <c r="BI227" s="49"/>
      <c r="BJ227" s="49"/>
      <c r="BK227" s="111" t="s">
        <v>3608</v>
      </c>
      <c r="BL227" s="111" t="s">
        <v>3608</v>
      </c>
      <c r="BM227" s="111" t="s">
        <v>4056</v>
      </c>
      <c r="BN227" s="111" t="s">
        <v>4056</v>
      </c>
      <c r="BO227" s="2"/>
      <c r="BP227" s="3"/>
      <c r="BQ227" s="3"/>
      <c r="BR227" s="3"/>
      <c r="BS227" s="3"/>
    </row>
    <row r="228" spans="1:71" ht="15">
      <c r="A228" s="65" t="s">
        <v>562</v>
      </c>
      <c r="B228" s="66"/>
      <c r="C228" s="66"/>
      <c r="D228" s="67">
        <v>150</v>
      </c>
      <c r="E228" s="69"/>
      <c r="F228" s="103" t="str">
        <f>HYPERLINK("https://yt3.ggpht.com/ytc/AKedOLR4TGZL8dD6yeZISi7iMjO9qxeAYEKtnjKOaRfp=s88-c-k-c0x00ffffff-no-rj")</f>
        <v>https://yt3.ggpht.com/ytc/AKedOLR4TGZL8dD6yeZISi7iMjO9qxeAYEKtnjKOaRfp=s88-c-k-c0x00ffffff-no-rj</v>
      </c>
      <c r="G228" s="66"/>
      <c r="H228" s="70" t="s">
        <v>1630</v>
      </c>
      <c r="I228" s="71"/>
      <c r="J228" s="71" t="s">
        <v>159</v>
      </c>
      <c r="K228" s="70" t="s">
        <v>1630</v>
      </c>
      <c r="L228" s="74">
        <v>1</v>
      </c>
      <c r="M228" s="75">
        <v>2620.489501953125</v>
      </c>
      <c r="N228" s="75">
        <v>4568.2060546875</v>
      </c>
      <c r="O228" s="76"/>
      <c r="P228" s="77"/>
      <c r="Q228" s="77"/>
      <c r="R228" s="89"/>
      <c r="S228" s="49">
        <v>0</v>
      </c>
      <c r="T228" s="49">
        <v>1</v>
      </c>
      <c r="U228" s="50">
        <v>0</v>
      </c>
      <c r="V228" s="50">
        <v>0.478122</v>
      </c>
      <c r="W228" s="50">
        <v>0.03471</v>
      </c>
      <c r="X228" s="50">
        <v>0.001935</v>
      </c>
      <c r="Y228" s="50">
        <v>0</v>
      </c>
      <c r="Z228" s="50">
        <v>0</v>
      </c>
      <c r="AA228" s="72">
        <v>228</v>
      </c>
      <c r="AB228" s="72"/>
      <c r="AC228" s="73"/>
      <c r="AD228" s="80" t="s">
        <v>1630</v>
      </c>
      <c r="AE228" s="80"/>
      <c r="AF228" s="80"/>
      <c r="AG228" s="80"/>
      <c r="AH228" s="80"/>
      <c r="AI228" s="80"/>
      <c r="AJ228" s="87">
        <v>41433.26929398148</v>
      </c>
      <c r="AK228" s="85" t="str">
        <f>HYPERLINK("https://yt3.ggpht.com/ytc/AKedOLR4TGZL8dD6yeZISi7iMjO9qxeAYEKtnjKOaRfp=s88-c-k-c0x00ffffff-no-rj")</f>
        <v>https://yt3.ggpht.com/ytc/AKedOLR4TGZL8dD6yeZISi7iMjO9qxeAYEKtnjKOaRfp=s88-c-k-c0x00ffffff-no-rj</v>
      </c>
      <c r="AL228" s="80">
        <v>0</v>
      </c>
      <c r="AM228" s="80">
        <v>0</v>
      </c>
      <c r="AN228" s="80">
        <v>13</v>
      </c>
      <c r="AO228" s="80" t="b">
        <v>0</v>
      </c>
      <c r="AP228" s="80">
        <v>0</v>
      </c>
      <c r="AQ228" s="80"/>
      <c r="AR228" s="80"/>
      <c r="AS228" s="80" t="s">
        <v>2085</v>
      </c>
      <c r="AT228" s="85" t="str">
        <f>HYPERLINK("https://www.youtube.com/channel/UCLYHDnqlP4sQ1XVmp6ell4A")</f>
        <v>https://www.youtube.com/channel/UCLYHDnqlP4sQ1XVmp6ell4A</v>
      </c>
      <c r="AU228" s="80" t="str">
        <f>REPLACE(INDEX(GroupVertices[Group],MATCH(Vertices[[#This Row],[Vertex]],GroupVertices[Vertex],0)),1,1,"")</f>
        <v>1</v>
      </c>
      <c r="AV228" s="49">
        <v>1</v>
      </c>
      <c r="AW228" s="50">
        <v>1.639344262295082</v>
      </c>
      <c r="AX228" s="49">
        <v>0</v>
      </c>
      <c r="AY228" s="50">
        <v>0</v>
      </c>
      <c r="AZ228" s="49">
        <v>0</v>
      </c>
      <c r="BA228" s="50">
        <v>0</v>
      </c>
      <c r="BB228" s="49">
        <v>60</v>
      </c>
      <c r="BC228" s="50">
        <v>98.36065573770492</v>
      </c>
      <c r="BD228" s="49">
        <v>61</v>
      </c>
      <c r="BE228" s="49"/>
      <c r="BF228" s="49"/>
      <c r="BG228" s="49"/>
      <c r="BH228" s="49"/>
      <c r="BI228" s="49"/>
      <c r="BJ228" s="49"/>
      <c r="BK228" s="111" t="s">
        <v>3609</v>
      </c>
      <c r="BL228" s="111" t="s">
        <v>3609</v>
      </c>
      <c r="BM228" s="111" t="s">
        <v>4057</v>
      </c>
      <c r="BN228" s="111" t="s">
        <v>4057</v>
      </c>
      <c r="BO228" s="2"/>
      <c r="BP228" s="3"/>
      <c r="BQ228" s="3"/>
      <c r="BR228" s="3"/>
      <c r="BS228" s="3"/>
    </row>
    <row r="229" spans="1:71" ht="15">
      <c r="A229" s="65" t="s">
        <v>563</v>
      </c>
      <c r="B229" s="66"/>
      <c r="C229" s="66"/>
      <c r="D229" s="67">
        <v>150</v>
      </c>
      <c r="E229" s="69"/>
      <c r="F229" s="103" t="str">
        <f>HYPERLINK("https://yt3.ggpht.com/ytc/AKedOLS93OfAZ9rwEZ8r6ei0UJnHnWcYIx4VdFntN3L7=s88-c-k-c0x00ffffff-no-rj")</f>
        <v>https://yt3.ggpht.com/ytc/AKedOLS93OfAZ9rwEZ8r6ei0UJnHnWcYIx4VdFntN3L7=s88-c-k-c0x00ffffff-no-rj</v>
      </c>
      <c r="G229" s="66"/>
      <c r="H229" s="70" t="s">
        <v>1631</v>
      </c>
      <c r="I229" s="71"/>
      <c r="J229" s="71" t="s">
        <v>159</v>
      </c>
      <c r="K229" s="70" t="s">
        <v>1631</v>
      </c>
      <c r="L229" s="74">
        <v>1</v>
      </c>
      <c r="M229" s="75">
        <v>7409.94677734375</v>
      </c>
      <c r="N229" s="75">
        <v>5104.71484375</v>
      </c>
      <c r="O229" s="76"/>
      <c r="P229" s="77"/>
      <c r="Q229" s="77"/>
      <c r="R229" s="89"/>
      <c r="S229" s="49">
        <v>0</v>
      </c>
      <c r="T229" s="49">
        <v>1</v>
      </c>
      <c r="U229" s="50">
        <v>0</v>
      </c>
      <c r="V229" s="50">
        <v>0.478122</v>
      </c>
      <c r="W229" s="50">
        <v>0.03471</v>
      </c>
      <c r="X229" s="50">
        <v>0.001935</v>
      </c>
      <c r="Y229" s="50">
        <v>0</v>
      </c>
      <c r="Z229" s="50">
        <v>0</v>
      </c>
      <c r="AA229" s="72">
        <v>229</v>
      </c>
      <c r="AB229" s="72"/>
      <c r="AC229" s="73"/>
      <c r="AD229" s="80" t="s">
        <v>1631</v>
      </c>
      <c r="AE229" s="80"/>
      <c r="AF229" s="80"/>
      <c r="AG229" s="80"/>
      <c r="AH229" s="80"/>
      <c r="AI229" s="80"/>
      <c r="AJ229" s="87">
        <v>41427.88940972222</v>
      </c>
      <c r="AK229" s="85" t="str">
        <f>HYPERLINK("https://yt3.ggpht.com/ytc/AKedOLS93OfAZ9rwEZ8r6ei0UJnHnWcYIx4VdFntN3L7=s88-c-k-c0x00ffffff-no-rj")</f>
        <v>https://yt3.ggpht.com/ytc/AKedOLS93OfAZ9rwEZ8r6ei0UJnHnWcYIx4VdFntN3L7=s88-c-k-c0x00ffffff-no-rj</v>
      </c>
      <c r="AL229" s="80">
        <v>55</v>
      </c>
      <c r="AM229" s="80">
        <v>0</v>
      </c>
      <c r="AN229" s="80">
        <v>12</v>
      </c>
      <c r="AO229" s="80" t="b">
        <v>0</v>
      </c>
      <c r="AP229" s="80">
        <v>1</v>
      </c>
      <c r="AQ229" s="80"/>
      <c r="AR229" s="80"/>
      <c r="AS229" s="80" t="s">
        <v>2085</v>
      </c>
      <c r="AT229" s="85" t="str">
        <f>HYPERLINK("https://www.youtube.com/channel/UCPpNHokuxcOFI889ejzZP9Q")</f>
        <v>https://www.youtube.com/channel/UCPpNHokuxcOFI889ejzZP9Q</v>
      </c>
      <c r="AU229" s="80" t="str">
        <f>REPLACE(INDEX(GroupVertices[Group],MATCH(Vertices[[#This Row],[Vertex]],GroupVertices[Vertex],0)),1,1,"")</f>
        <v>1</v>
      </c>
      <c r="AV229" s="49">
        <v>0</v>
      </c>
      <c r="AW229" s="50">
        <v>0</v>
      </c>
      <c r="AX229" s="49">
        <v>0</v>
      </c>
      <c r="AY229" s="50">
        <v>0</v>
      </c>
      <c r="AZ229" s="49">
        <v>0</v>
      </c>
      <c r="BA229" s="50">
        <v>0</v>
      </c>
      <c r="BB229" s="49">
        <v>38</v>
      </c>
      <c r="BC229" s="50">
        <v>100</v>
      </c>
      <c r="BD229" s="49">
        <v>38</v>
      </c>
      <c r="BE229" s="49"/>
      <c r="BF229" s="49"/>
      <c r="BG229" s="49"/>
      <c r="BH229" s="49"/>
      <c r="BI229" s="49"/>
      <c r="BJ229" s="49"/>
      <c r="BK229" s="111" t="s">
        <v>3610</v>
      </c>
      <c r="BL229" s="111" t="s">
        <v>3610</v>
      </c>
      <c r="BM229" s="111" t="s">
        <v>4058</v>
      </c>
      <c r="BN229" s="111" t="s">
        <v>4058</v>
      </c>
      <c r="BO229" s="2"/>
      <c r="BP229" s="3"/>
      <c r="BQ229" s="3"/>
      <c r="BR229" s="3"/>
      <c r="BS229" s="3"/>
    </row>
    <row r="230" spans="1:71" ht="15">
      <c r="A230" s="65" t="s">
        <v>564</v>
      </c>
      <c r="B230" s="66"/>
      <c r="C230" s="66"/>
      <c r="D230" s="67">
        <v>150</v>
      </c>
      <c r="E230" s="69"/>
      <c r="F230" s="103" t="str">
        <f>HYPERLINK("https://yt3.ggpht.com/ytc/AKedOLTKLDMIM27qNXE9KU_SKet_J-boeCXvsb575KF5aQ=s88-c-k-c0x00ffffff-no-rj")</f>
        <v>https://yt3.ggpht.com/ytc/AKedOLTKLDMIM27qNXE9KU_SKet_J-boeCXvsb575KF5aQ=s88-c-k-c0x00ffffff-no-rj</v>
      </c>
      <c r="G230" s="66"/>
      <c r="H230" s="70" t="s">
        <v>1632</v>
      </c>
      <c r="I230" s="71"/>
      <c r="J230" s="71" t="s">
        <v>159</v>
      </c>
      <c r="K230" s="70" t="s">
        <v>1632</v>
      </c>
      <c r="L230" s="74">
        <v>1</v>
      </c>
      <c r="M230" s="75">
        <v>2161.815185546875</v>
      </c>
      <c r="N230" s="75">
        <v>8977.0107421875</v>
      </c>
      <c r="O230" s="76"/>
      <c r="P230" s="77"/>
      <c r="Q230" s="77"/>
      <c r="R230" s="89"/>
      <c r="S230" s="49">
        <v>0</v>
      </c>
      <c r="T230" s="49">
        <v>1</v>
      </c>
      <c r="U230" s="50">
        <v>0</v>
      </c>
      <c r="V230" s="50">
        <v>0.478122</v>
      </c>
      <c r="W230" s="50">
        <v>0.03471</v>
      </c>
      <c r="X230" s="50">
        <v>0.001935</v>
      </c>
      <c r="Y230" s="50">
        <v>0</v>
      </c>
      <c r="Z230" s="50">
        <v>0</v>
      </c>
      <c r="AA230" s="72">
        <v>230</v>
      </c>
      <c r="AB230" s="72"/>
      <c r="AC230" s="73"/>
      <c r="AD230" s="80" t="s">
        <v>1632</v>
      </c>
      <c r="AE230" s="80"/>
      <c r="AF230" s="80"/>
      <c r="AG230" s="80"/>
      <c r="AH230" s="80"/>
      <c r="AI230" s="80"/>
      <c r="AJ230" s="87">
        <v>41206.189837962964</v>
      </c>
      <c r="AK230" s="85" t="str">
        <f>HYPERLINK("https://yt3.ggpht.com/ytc/AKedOLTKLDMIM27qNXE9KU_SKet_J-boeCXvsb575KF5aQ=s88-c-k-c0x00ffffff-no-rj")</f>
        <v>https://yt3.ggpht.com/ytc/AKedOLTKLDMIM27qNXE9KU_SKet_J-boeCXvsb575KF5aQ=s88-c-k-c0x00ffffff-no-rj</v>
      </c>
      <c r="AL230" s="80">
        <v>14046</v>
      </c>
      <c r="AM230" s="80">
        <v>0</v>
      </c>
      <c r="AN230" s="80">
        <v>45</v>
      </c>
      <c r="AO230" s="80" t="b">
        <v>0</v>
      </c>
      <c r="AP230" s="80">
        <v>6</v>
      </c>
      <c r="AQ230" s="80"/>
      <c r="AR230" s="80"/>
      <c r="AS230" s="80" t="s">
        <v>2085</v>
      </c>
      <c r="AT230" s="85" t="str">
        <f>HYPERLINK("https://www.youtube.com/channel/UCIEcQot6zMPpyZWd8R0DsGw")</f>
        <v>https://www.youtube.com/channel/UCIEcQot6zMPpyZWd8R0DsGw</v>
      </c>
      <c r="AU230" s="80" t="str">
        <f>REPLACE(INDEX(GroupVertices[Group],MATCH(Vertices[[#This Row],[Vertex]],GroupVertices[Vertex],0)),1,1,"")</f>
        <v>1</v>
      </c>
      <c r="AV230" s="49">
        <v>0</v>
      </c>
      <c r="AW230" s="50">
        <v>0</v>
      </c>
      <c r="AX230" s="49">
        <v>0</v>
      </c>
      <c r="AY230" s="50">
        <v>0</v>
      </c>
      <c r="AZ230" s="49">
        <v>0</v>
      </c>
      <c r="BA230" s="50">
        <v>0</v>
      </c>
      <c r="BB230" s="49">
        <v>5</v>
      </c>
      <c r="BC230" s="50">
        <v>100</v>
      </c>
      <c r="BD230" s="49">
        <v>5</v>
      </c>
      <c r="BE230" s="49"/>
      <c r="BF230" s="49"/>
      <c r="BG230" s="49"/>
      <c r="BH230" s="49"/>
      <c r="BI230" s="49"/>
      <c r="BJ230" s="49"/>
      <c r="BK230" s="111" t="s">
        <v>3611</v>
      </c>
      <c r="BL230" s="111" t="s">
        <v>3611</v>
      </c>
      <c r="BM230" s="111" t="s">
        <v>4059</v>
      </c>
      <c r="BN230" s="111" t="s">
        <v>4059</v>
      </c>
      <c r="BO230" s="2"/>
      <c r="BP230" s="3"/>
      <c r="BQ230" s="3"/>
      <c r="BR230" s="3"/>
      <c r="BS230" s="3"/>
    </row>
    <row r="231" spans="1:71" ht="15">
      <c r="A231" s="65" t="s">
        <v>565</v>
      </c>
      <c r="B231" s="66"/>
      <c r="C231" s="66"/>
      <c r="D231" s="67">
        <v>150</v>
      </c>
      <c r="E231" s="69"/>
      <c r="F231" s="103" t="str">
        <f>HYPERLINK("https://yt3.ggpht.com/ytc/AKedOLQekbgssKnbJz1lfx7xHC548Vwcze0inJWc1NCQtw=s88-c-k-c0x00ffffff-no-rj")</f>
        <v>https://yt3.ggpht.com/ytc/AKedOLQekbgssKnbJz1lfx7xHC548Vwcze0inJWc1NCQtw=s88-c-k-c0x00ffffff-no-rj</v>
      </c>
      <c r="G231" s="66"/>
      <c r="H231" s="70" t="s">
        <v>1633</v>
      </c>
      <c r="I231" s="71"/>
      <c r="J231" s="71" t="s">
        <v>159</v>
      </c>
      <c r="K231" s="70" t="s">
        <v>1633</v>
      </c>
      <c r="L231" s="74">
        <v>1</v>
      </c>
      <c r="M231" s="75">
        <v>106.14649963378906</v>
      </c>
      <c r="N231" s="75">
        <v>5365.49658203125</v>
      </c>
      <c r="O231" s="76"/>
      <c r="P231" s="77"/>
      <c r="Q231" s="77"/>
      <c r="R231" s="89"/>
      <c r="S231" s="49">
        <v>0</v>
      </c>
      <c r="T231" s="49">
        <v>1</v>
      </c>
      <c r="U231" s="50">
        <v>0</v>
      </c>
      <c r="V231" s="50">
        <v>0.478122</v>
      </c>
      <c r="W231" s="50">
        <v>0.03471</v>
      </c>
      <c r="X231" s="50">
        <v>0.001935</v>
      </c>
      <c r="Y231" s="50">
        <v>0</v>
      </c>
      <c r="Z231" s="50">
        <v>0</v>
      </c>
      <c r="AA231" s="72">
        <v>231</v>
      </c>
      <c r="AB231" s="72"/>
      <c r="AC231" s="73"/>
      <c r="AD231" s="80" t="s">
        <v>1633</v>
      </c>
      <c r="AE231" s="80"/>
      <c r="AF231" s="80"/>
      <c r="AG231" s="80"/>
      <c r="AH231" s="80"/>
      <c r="AI231" s="80"/>
      <c r="AJ231" s="87">
        <v>40815.90256944444</v>
      </c>
      <c r="AK231" s="85" t="str">
        <f>HYPERLINK("https://yt3.ggpht.com/ytc/AKedOLQekbgssKnbJz1lfx7xHC548Vwcze0inJWc1NCQtw=s88-c-k-c0x00ffffff-no-rj")</f>
        <v>https://yt3.ggpht.com/ytc/AKedOLQekbgssKnbJz1lfx7xHC548Vwcze0inJWc1NCQtw=s88-c-k-c0x00ffffff-no-rj</v>
      </c>
      <c r="AL231" s="80">
        <v>6457</v>
      </c>
      <c r="AM231" s="80">
        <v>0</v>
      </c>
      <c r="AN231" s="80">
        <v>23</v>
      </c>
      <c r="AO231" s="80" t="b">
        <v>0</v>
      </c>
      <c r="AP231" s="80">
        <v>8</v>
      </c>
      <c r="AQ231" s="80"/>
      <c r="AR231" s="80"/>
      <c r="AS231" s="80" t="s">
        <v>2085</v>
      </c>
      <c r="AT231" s="85" t="str">
        <f>HYPERLINK("https://www.youtube.com/channel/UCk4Ep98cdVliOfGysRgPSwQ")</f>
        <v>https://www.youtube.com/channel/UCk4Ep98cdVliOfGysRgPSwQ</v>
      </c>
      <c r="AU231" s="80" t="str">
        <f>REPLACE(INDEX(GroupVertices[Group],MATCH(Vertices[[#This Row],[Vertex]],GroupVertices[Vertex],0)),1,1,"")</f>
        <v>1</v>
      </c>
      <c r="AV231" s="49">
        <v>1</v>
      </c>
      <c r="AW231" s="50">
        <v>1.3888888888888888</v>
      </c>
      <c r="AX231" s="49">
        <v>1</v>
      </c>
      <c r="AY231" s="50">
        <v>1.3888888888888888</v>
      </c>
      <c r="AZ231" s="49">
        <v>0</v>
      </c>
      <c r="BA231" s="50">
        <v>0</v>
      </c>
      <c r="BB231" s="49">
        <v>70</v>
      </c>
      <c r="BC231" s="50">
        <v>97.22222222222223</v>
      </c>
      <c r="BD231" s="49">
        <v>72</v>
      </c>
      <c r="BE231" s="49"/>
      <c r="BF231" s="49"/>
      <c r="BG231" s="49"/>
      <c r="BH231" s="49"/>
      <c r="BI231" s="49"/>
      <c r="BJ231" s="49"/>
      <c r="BK231" s="111" t="s">
        <v>3612</v>
      </c>
      <c r="BL231" s="111" t="s">
        <v>3835</v>
      </c>
      <c r="BM231" s="111" t="s">
        <v>4060</v>
      </c>
      <c r="BN231" s="111" t="s">
        <v>4262</v>
      </c>
      <c r="BO231" s="2"/>
      <c r="BP231" s="3"/>
      <c r="BQ231" s="3"/>
      <c r="BR231" s="3"/>
      <c r="BS231" s="3"/>
    </row>
    <row r="232" spans="1:71" ht="15">
      <c r="A232" s="65" t="s">
        <v>566</v>
      </c>
      <c r="B232" s="66"/>
      <c r="C232" s="66"/>
      <c r="D232" s="67">
        <v>150</v>
      </c>
      <c r="E232" s="69"/>
      <c r="F232" s="103" t="str">
        <f>HYPERLINK("https://yt3.ggpht.com/ytc/AKedOLRpu3z2xBwKg4jkiQxtwM-XhpeuiyGP3HkZqc1BLA=s88-c-k-c0x00ffffff-no-rj")</f>
        <v>https://yt3.ggpht.com/ytc/AKedOLRpu3z2xBwKg4jkiQxtwM-XhpeuiyGP3HkZqc1BLA=s88-c-k-c0x00ffffff-no-rj</v>
      </c>
      <c r="G232" s="66"/>
      <c r="H232" s="70" t="s">
        <v>1634</v>
      </c>
      <c r="I232" s="71"/>
      <c r="J232" s="71" t="s">
        <v>159</v>
      </c>
      <c r="K232" s="70" t="s">
        <v>1634</v>
      </c>
      <c r="L232" s="74">
        <v>1</v>
      </c>
      <c r="M232" s="75">
        <v>1356.2337646484375</v>
      </c>
      <c r="N232" s="75">
        <v>4224.43896484375</v>
      </c>
      <c r="O232" s="76"/>
      <c r="P232" s="77"/>
      <c r="Q232" s="77"/>
      <c r="R232" s="89"/>
      <c r="S232" s="49">
        <v>0</v>
      </c>
      <c r="T232" s="49">
        <v>1</v>
      </c>
      <c r="U232" s="50">
        <v>0</v>
      </c>
      <c r="V232" s="50">
        <v>0.478122</v>
      </c>
      <c r="W232" s="50">
        <v>0.03471</v>
      </c>
      <c r="X232" s="50">
        <v>0.001935</v>
      </c>
      <c r="Y232" s="50">
        <v>0</v>
      </c>
      <c r="Z232" s="50">
        <v>0</v>
      </c>
      <c r="AA232" s="72">
        <v>232</v>
      </c>
      <c r="AB232" s="72"/>
      <c r="AC232" s="73"/>
      <c r="AD232" s="80" t="s">
        <v>1634</v>
      </c>
      <c r="AE232" s="80"/>
      <c r="AF232" s="80"/>
      <c r="AG232" s="80"/>
      <c r="AH232" s="80"/>
      <c r="AI232" s="80"/>
      <c r="AJ232" s="87">
        <v>40919.12453703704</v>
      </c>
      <c r="AK232" s="85" t="str">
        <f>HYPERLINK("https://yt3.ggpht.com/ytc/AKedOLRpu3z2xBwKg4jkiQxtwM-XhpeuiyGP3HkZqc1BLA=s88-c-k-c0x00ffffff-no-rj")</f>
        <v>https://yt3.ggpht.com/ytc/AKedOLRpu3z2xBwKg4jkiQxtwM-XhpeuiyGP3HkZqc1BLA=s88-c-k-c0x00ffffff-no-rj</v>
      </c>
      <c r="AL232" s="80">
        <v>126</v>
      </c>
      <c r="AM232" s="80">
        <v>0</v>
      </c>
      <c r="AN232" s="80">
        <v>8</v>
      </c>
      <c r="AO232" s="80" t="b">
        <v>0</v>
      </c>
      <c r="AP232" s="80">
        <v>2</v>
      </c>
      <c r="AQ232" s="80"/>
      <c r="AR232" s="80"/>
      <c r="AS232" s="80" t="s">
        <v>2085</v>
      </c>
      <c r="AT232" s="85" t="str">
        <f>HYPERLINK("https://www.youtube.com/channel/UCj3Ml9Ywavk4klELkaNSwNQ")</f>
        <v>https://www.youtube.com/channel/UCj3Ml9Ywavk4klELkaNSwNQ</v>
      </c>
      <c r="AU232" s="80" t="str">
        <f>REPLACE(INDEX(GroupVertices[Group],MATCH(Vertices[[#This Row],[Vertex]],GroupVertices[Vertex],0)),1,1,"")</f>
        <v>1</v>
      </c>
      <c r="AV232" s="49">
        <v>0</v>
      </c>
      <c r="AW232" s="50">
        <v>0</v>
      </c>
      <c r="AX232" s="49">
        <v>0</v>
      </c>
      <c r="AY232" s="50">
        <v>0</v>
      </c>
      <c r="AZ232" s="49">
        <v>0</v>
      </c>
      <c r="BA232" s="50">
        <v>0</v>
      </c>
      <c r="BB232" s="49">
        <v>21</v>
      </c>
      <c r="BC232" s="50">
        <v>100</v>
      </c>
      <c r="BD232" s="49">
        <v>21</v>
      </c>
      <c r="BE232" s="49"/>
      <c r="BF232" s="49"/>
      <c r="BG232" s="49"/>
      <c r="BH232" s="49"/>
      <c r="BI232" s="49"/>
      <c r="BJ232" s="49"/>
      <c r="BK232" s="111" t="s">
        <v>3613</v>
      </c>
      <c r="BL232" s="111" t="s">
        <v>3613</v>
      </c>
      <c r="BM232" s="111" t="s">
        <v>4061</v>
      </c>
      <c r="BN232" s="111" t="s">
        <v>4061</v>
      </c>
      <c r="BO232" s="2"/>
      <c r="BP232" s="3"/>
      <c r="BQ232" s="3"/>
      <c r="BR232" s="3"/>
      <c r="BS232" s="3"/>
    </row>
    <row r="233" spans="1:71" ht="15">
      <c r="A233" s="65" t="s">
        <v>567</v>
      </c>
      <c r="B233" s="66"/>
      <c r="C233" s="66"/>
      <c r="D233" s="67">
        <v>150</v>
      </c>
      <c r="E233" s="69"/>
      <c r="F233" s="103" t="str">
        <f>HYPERLINK("https://yt3.ggpht.com/ytc/AKedOLRT1YsgcWUjaTtBaSCigBUsTc7yb_kBbp04Lw=s88-c-k-c0x00ffffff-no-rj")</f>
        <v>https://yt3.ggpht.com/ytc/AKedOLRT1YsgcWUjaTtBaSCigBUsTc7yb_kBbp04Lw=s88-c-k-c0x00ffffff-no-rj</v>
      </c>
      <c r="G233" s="66"/>
      <c r="H233" s="70" t="s">
        <v>1635</v>
      </c>
      <c r="I233" s="71"/>
      <c r="J233" s="71" t="s">
        <v>159</v>
      </c>
      <c r="K233" s="70" t="s">
        <v>1635</v>
      </c>
      <c r="L233" s="74">
        <v>1</v>
      </c>
      <c r="M233" s="75">
        <v>5824.30859375</v>
      </c>
      <c r="N233" s="75">
        <v>3272.225830078125</v>
      </c>
      <c r="O233" s="76"/>
      <c r="P233" s="77"/>
      <c r="Q233" s="77"/>
      <c r="R233" s="89"/>
      <c r="S233" s="49">
        <v>0</v>
      </c>
      <c r="T233" s="49">
        <v>1</v>
      </c>
      <c r="U233" s="50">
        <v>0</v>
      </c>
      <c r="V233" s="50">
        <v>0.478122</v>
      </c>
      <c r="W233" s="50">
        <v>0.03471</v>
      </c>
      <c r="X233" s="50">
        <v>0.001935</v>
      </c>
      <c r="Y233" s="50">
        <v>0</v>
      </c>
      <c r="Z233" s="50">
        <v>0</v>
      </c>
      <c r="AA233" s="72">
        <v>233</v>
      </c>
      <c r="AB233" s="72"/>
      <c r="AC233" s="73"/>
      <c r="AD233" s="80" t="s">
        <v>1635</v>
      </c>
      <c r="AE233" s="80"/>
      <c r="AF233" s="80"/>
      <c r="AG233" s="80"/>
      <c r="AH233" s="80"/>
      <c r="AI233" s="80"/>
      <c r="AJ233" s="87">
        <v>39654.61168981482</v>
      </c>
      <c r="AK233" s="85" t="str">
        <f>HYPERLINK("https://yt3.ggpht.com/ytc/AKedOLRT1YsgcWUjaTtBaSCigBUsTc7yb_kBbp04Lw=s88-c-k-c0x00ffffff-no-rj")</f>
        <v>https://yt3.ggpht.com/ytc/AKedOLRT1YsgcWUjaTtBaSCigBUsTc7yb_kBbp04Lw=s88-c-k-c0x00ffffff-no-rj</v>
      </c>
      <c r="AL233" s="80">
        <v>183</v>
      </c>
      <c r="AM233" s="80">
        <v>0</v>
      </c>
      <c r="AN233" s="80">
        <v>3</v>
      </c>
      <c r="AO233" s="80" t="b">
        <v>0</v>
      </c>
      <c r="AP233" s="80">
        <v>1</v>
      </c>
      <c r="AQ233" s="80"/>
      <c r="AR233" s="80"/>
      <c r="AS233" s="80" t="s">
        <v>2085</v>
      </c>
      <c r="AT233" s="85" t="str">
        <f>HYPERLINK("https://www.youtube.com/channel/UCJhSuAlQel_lEPlrQTKqqUw")</f>
        <v>https://www.youtube.com/channel/UCJhSuAlQel_lEPlrQTKqqUw</v>
      </c>
      <c r="AU233" s="80" t="str">
        <f>REPLACE(INDEX(GroupVertices[Group],MATCH(Vertices[[#This Row],[Vertex]],GroupVertices[Vertex],0)),1,1,"")</f>
        <v>1</v>
      </c>
      <c r="AV233" s="49">
        <v>3</v>
      </c>
      <c r="AW233" s="50">
        <v>2.34375</v>
      </c>
      <c r="AX233" s="49">
        <v>4</v>
      </c>
      <c r="AY233" s="50">
        <v>3.125</v>
      </c>
      <c r="AZ233" s="49">
        <v>0</v>
      </c>
      <c r="BA233" s="50">
        <v>0</v>
      </c>
      <c r="BB233" s="49">
        <v>121</v>
      </c>
      <c r="BC233" s="50">
        <v>94.53125</v>
      </c>
      <c r="BD233" s="49">
        <v>128</v>
      </c>
      <c r="BE233" s="49"/>
      <c r="BF233" s="49"/>
      <c r="BG233" s="49"/>
      <c r="BH233" s="49"/>
      <c r="BI233" s="49"/>
      <c r="BJ233" s="49"/>
      <c r="BK233" s="111" t="s">
        <v>3614</v>
      </c>
      <c r="BL233" s="111" t="s">
        <v>3836</v>
      </c>
      <c r="BM233" s="111" t="s">
        <v>4062</v>
      </c>
      <c r="BN233" s="111" t="s">
        <v>4062</v>
      </c>
      <c r="BO233" s="2"/>
      <c r="BP233" s="3"/>
      <c r="BQ233" s="3"/>
      <c r="BR233" s="3"/>
      <c r="BS233" s="3"/>
    </row>
    <row r="234" spans="1:71" ht="15">
      <c r="A234" s="65" t="s">
        <v>568</v>
      </c>
      <c r="B234" s="66"/>
      <c r="C234" s="66"/>
      <c r="D234" s="67">
        <v>150</v>
      </c>
      <c r="E234" s="69"/>
      <c r="F234" s="103" t="str">
        <f>HYPERLINK("https://yt3.ggpht.com/ytc/AKedOLStkuKeW9SSiAPUopQyjxSajU-wB0-IfLzrCw=s88-c-k-c0x00ffffff-no-rj")</f>
        <v>https://yt3.ggpht.com/ytc/AKedOLStkuKeW9SSiAPUopQyjxSajU-wB0-IfLzrCw=s88-c-k-c0x00ffffff-no-rj</v>
      </c>
      <c r="G234" s="66"/>
      <c r="H234" s="70" t="s">
        <v>1636</v>
      </c>
      <c r="I234" s="71"/>
      <c r="J234" s="71" t="s">
        <v>159</v>
      </c>
      <c r="K234" s="70" t="s">
        <v>1636</v>
      </c>
      <c r="L234" s="74">
        <v>1</v>
      </c>
      <c r="M234" s="75">
        <v>2640.44921875</v>
      </c>
      <c r="N234" s="75">
        <v>4874.31640625</v>
      </c>
      <c r="O234" s="76"/>
      <c r="P234" s="77"/>
      <c r="Q234" s="77"/>
      <c r="R234" s="89"/>
      <c r="S234" s="49">
        <v>0</v>
      </c>
      <c r="T234" s="49">
        <v>1</v>
      </c>
      <c r="U234" s="50">
        <v>0</v>
      </c>
      <c r="V234" s="50">
        <v>0.478122</v>
      </c>
      <c r="W234" s="50">
        <v>0.03471</v>
      </c>
      <c r="X234" s="50">
        <v>0.001935</v>
      </c>
      <c r="Y234" s="50">
        <v>0</v>
      </c>
      <c r="Z234" s="50">
        <v>0</v>
      </c>
      <c r="AA234" s="72">
        <v>234</v>
      </c>
      <c r="AB234" s="72"/>
      <c r="AC234" s="73"/>
      <c r="AD234" s="80" t="s">
        <v>1636</v>
      </c>
      <c r="AE234" s="80"/>
      <c r="AF234" s="80"/>
      <c r="AG234" s="80"/>
      <c r="AH234" s="80"/>
      <c r="AI234" s="80"/>
      <c r="AJ234" s="87">
        <v>40485.75003472222</v>
      </c>
      <c r="AK234" s="85" t="str">
        <f>HYPERLINK("https://yt3.ggpht.com/ytc/AKedOLStkuKeW9SSiAPUopQyjxSajU-wB0-IfLzrCw=s88-c-k-c0x00ffffff-no-rj")</f>
        <v>https://yt3.ggpht.com/ytc/AKedOLStkuKeW9SSiAPUopQyjxSajU-wB0-IfLzrCw=s88-c-k-c0x00ffffff-no-rj</v>
      </c>
      <c r="AL234" s="80">
        <v>107</v>
      </c>
      <c r="AM234" s="80">
        <v>0</v>
      </c>
      <c r="AN234" s="80">
        <v>1</v>
      </c>
      <c r="AO234" s="80" t="b">
        <v>0</v>
      </c>
      <c r="AP234" s="80">
        <v>1</v>
      </c>
      <c r="AQ234" s="80"/>
      <c r="AR234" s="80"/>
      <c r="AS234" s="80" t="s">
        <v>2085</v>
      </c>
      <c r="AT234" s="85" t="str">
        <f>HYPERLINK("https://www.youtube.com/channel/UCWw2QzixcpAuJahFqloXrLw")</f>
        <v>https://www.youtube.com/channel/UCWw2QzixcpAuJahFqloXrLw</v>
      </c>
      <c r="AU234" s="80" t="str">
        <f>REPLACE(INDEX(GroupVertices[Group],MATCH(Vertices[[#This Row],[Vertex]],GroupVertices[Vertex],0)),1,1,"")</f>
        <v>1</v>
      </c>
      <c r="AV234" s="49">
        <v>0</v>
      </c>
      <c r="AW234" s="50">
        <v>0</v>
      </c>
      <c r="AX234" s="49">
        <v>0</v>
      </c>
      <c r="AY234" s="50">
        <v>0</v>
      </c>
      <c r="AZ234" s="49">
        <v>0</v>
      </c>
      <c r="BA234" s="50">
        <v>0</v>
      </c>
      <c r="BB234" s="49">
        <v>2</v>
      </c>
      <c r="BC234" s="50">
        <v>100</v>
      </c>
      <c r="BD234" s="49">
        <v>2</v>
      </c>
      <c r="BE234" s="49"/>
      <c r="BF234" s="49"/>
      <c r="BG234" s="49"/>
      <c r="BH234" s="49"/>
      <c r="BI234" s="49"/>
      <c r="BJ234" s="49"/>
      <c r="BK234" s="111" t="s">
        <v>3615</v>
      </c>
      <c r="BL234" s="111" t="s">
        <v>3615</v>
      </c>
      <c r="BM234" s="111" t="s">
        <v>4063</v>
      </c>
      <c r="BN234" s="111" t="s">
        <v>4063</v>
      </c>
      <c r="BO234" s="2"/>
      <c r="BP234" s="3"/>
      <c r="BQ234" s="3"/>
      <c r="BR234" s="3"/>
      <c r="BS234" s="3"/>
    </row>
    <row r="235" spans="1:71" ht="15">
      <c r="A235" s="65" t="s">
        <v>569</v>
      </c>
      <c r="B235" s="66"/>
      <c r="C235" s="66"/>
      <c r="D235" s="67">
        <v>150</v>
      </c>
      <c r="E235" s="69"/>
      <c r="F235" s="103" t="str">
        <f>HYPERLINK("https://yt3.ggpht.com/ytc/AKedOLQLKc5xZVQz682lFv388jIMjA2TXWlefDecCt98=s88-c-k-c0x00ffffff-no-rj")</f>
        <v>https://yt3.ggpht.com/ytc/AKedOLQLKc5xZVQz682lFv388jIMjA2TXWlefDecCt98=s88-c-k-c0x00ffffff-no-rj</v>
      </c>
      <c r="G235" s="66"/>
      <c r="H235" s="70" t="s">
        <v>1637</v>
      </c>
      <c r="I235" s="71"/>
      <c r="J235" s="71" t="s">
        <v>159</v>
      </c>
      <c r="K235" s="70" t="s">
        <v>1637</v>
      </c>
      <c r="L235" s="74">
        <v>1</v>
      </c>
      <c r="M235" s="75">
        <v>7667.650390625</v>
      </c>
      <c r="N235" s="75">
        <v>6297.7978515625</v>
      </c>
      <c r="O235" s="76"/>
      <c r="P235" s="77"/>
      <c r="Q235" s="77"/>
      <c r="R235" s="89"/>
      <c r="S235" s="49">
        <v>0</v>
      </c>
      <c r="T235" s="49">
        <v>1</v>
      </c>
      <c r="U235" s="50">
        <v>0</v>
      </c>
      <c r="V235" s="50">
        <v>0.478122</v>
      </c>
      <c r="W235" s="50">
        <v>0.03471</v>
      </c>
      <c r="X235" s="50">
        <v>0.001935</v>
      </c>
      <c r="Y235" s="50">
        <v>0</v>
      </c>
      <c r="Z235" s="50">
        <v>0</v>
      </c>
      <c r="AA235" s="72">
        <v>235</v>
      </c>
      <c r="AB235" s="72"/>
      <c r="AC235" s="73"/>
      <c r="AD235" s="80" t="s">
        <v>1637</v>
      </c>
      <c r="AE235" s="80"/>
      <c r="AF235" s="80"/>
      <c r="AG235" s="80"/>
      <c r="AH235" s="80"/>
      <c r="AI235" s="80"/>
      <c r="AJ235" s="87">
        <v>41554.99527777778</v>
      </c>
      <c r="AK235" s="85" t="str">
        <f>HYPERLINK("https://yt3.ggpht.com/ytc/AKedOLQLKc5xZVQz682lFv388jIMjA2TXWlefDecCt98=s88-c-k-c0x00ffffff-no-rj")</f>
        <v>https://yt3.ggpht.com/ytc/AKedOLQLKc5xZVQz682lFv388jIMjA2TXWlefDecCt98=s88-c-k-c0x00ffffff-no-rj</v>
      </c>
      <c r="AL235" s="80">
        <v>0</v>
      </c>
      <c r="AM235" s="80">
        <v>0</v>
      </c>
      <c r="AN235" s="80">
        <v>0</v>
      </c>
      <c r="AO235" s="80" t="b">
        <v>0</v>
      </c>
      <c r="AP235" s="80">
        <v>0</v>
      </c>
      <c r="AQ235" s="80"/>
      <c r="AR235" s="80"/>
      <c r="AS235" s="80" t="s">
        <v>2085</v>
      </c>
      <c r="AT235" s="85" t="str">
        <f>HYPERLINK("https://www.youtube.com/channel/UCGedQb2X6hmEK4B_nKBel6Q")</f>
        <v>https://www.youtube.com/channel/UCGedQb2X6hmEK4B_nKBel6Q</v>
      </c>
      <c r="AU235" s="80" t="str">
        <f>REPLACE(INDEX(GroupVertices[Group],MATCH(Vertices[[#This Row],[Vertex]],GroupVertices[Vertex],0)),1,1,"")</f>
        <v>1</v>
      </c>
      <c r="AV235" s="49">
        <v>1</v>
      </c>
      <c r="AW235" s="50">
        <v>1.6666666666666667</v>
      </c>
      <c r="AX235" s="49">
        <v>0</v>
      </c>
      <c r="AY235" s="50">
        <v>0</v>
      </c>
      <c r="AZ235" s="49">
        <v>0</v>
      </c>
      <c r="BA235" s="50">
        <v>0</v>
      </c>
      <c r="BB235" s="49">
        <v>59</v>
      </c>
      <c r="BC235" s="50">
        <v>98.33333333333333</v>
      </c>
      <c r="BD235" s="49">
        <v>60</v>
      </c>
      <c r="BE235" s="49"/>
      <c r="BF235" s="49"/>
      <c r="BG235" s="49"/>
      <c r="BH235" s="49"/>
      <c r="BI235" s="49"/>
      <c r="BJ235" s="49"/>
      <c r="BK235" s="111" t="s">
        <v>3616</v>
      </c>
      <c r="BL235" s="111" t="s">
        <v>3616</v>
      </c>
      <c r="BM235" s="111" t="s">
        <v>4064</v>
      </c>
      <c r="BN235" s="111" t="s">
        <v>4064</v>
      </c>
      <c r="BO235" s="2"/>
      <c r="BP235" s="3"/>
      <c r="BQ235" s="3"/>
      <c r="BR235" s="3"/>
      <c r="BS235" s="3"/>
    </row>
    <row r="236" spans="1:71" ht="15">
      <c r="A236" s="65" t="s">
        <v>570</v>
      </c>
      <c r="B236" s="66"/>
      <c r="C236" s="66"/>
      <c r="D236" s="67">
        <v>150</v>
      </c>
      <c r="E236" s="69"/>
      <c r="F236" s="103" t="str">
        <f>HYPERLINK("https://yt3.ggpht.com/ytc/AKedOLRe45Fis26rQKNibl_rkemz2IeR_W4ly6-RkBrW=s88-c-k-c0x00ffffff-no-rj")</f>
        <v>https://yt3.ggpht.com/ytc/AKedOLRe45Fis26rQKNibl_rkemz2IeR_W4ly6-RkBrW=s88-c-k-c0x00ffffff-no-rj</v>
      </c>
      <c r="G236" s="66"/>
      <c r="H236" s="70" t="s">
        <v>1638</v>
      </c>
      <c r="I236" s="71"/>
      <c r="J236" s="71" t="s">
        <v>159</v>
      </c>
      <c r="K236" s="70" t="s">
        <v>1638</v>
      </c>
      <c r="L236" s="74">
        <v>1</v>
      </c>
      <c r="M236" s="75">
        <v>5578.2021484375</v>
      </c>
      <c r="N236" s="75">
        <v>9121.2314453125</v>
      </c>
      <c r="O236" s="76"/>
      <c r="P236" s="77"/>
      <c r="Q236" s="77"/>
      <c r="R236" s="89"/>
      <c r="S236" s="49">
        <v>0</v>
      </c>
      <c r="T236" s="49">
        <v>1</v>
      </c>
      <c r="U236" s="50">
        <v>0</v>
      </c>
      <c r="V236" s="50">
        <v>0.478122</v>
      </c>
      <c r="W236" s="50">
        <v>0.03471</v>
      </c>
      <c r="X236" s="50">
        <v>0.001935</v>
      </c>
      <c r="Y236" s="50">
        <v>0</v>
      </c>
      <c r="Z236" s="50">
        <v>0</v>
      </c>
      <c r="AA236" s="72">
        <v>236</v>
      </c>
      <c r="AB236" s="72"/>
      <c r="AC236" s="73"/>
      <c r="AD236" s="80" t="s">
        <v>1638</v>
      </c>
      <c r="AE236" s="80"/>
      <c r="AF236" s="80"/>
      <c r="AG236" s="80"/>
      <c r="AH236" s="80"/>
      <c r="AI236" s="80"/>
      <c r="AJ236" s="87">
        <v>41277.09715277778</v>
      </c>
      <c r="AK236" s="85" t="str">
        <f>HYPERLINK("https://yt3.ggpht.com/ytc/AKedOLRe45Fis26rQKNibl_rkemz2IeR_W4ly6-RkBrW=s88-c-k-c0x00ffffff-no-rj")</f>
        <v>https://yt3.ggpht.com/ytc/AKedOLRe45Fis26rQKNibl_rkemz2IeR_W4ly6-RkBrW=s88-c-k-c0x00ffffff-no-rj</v>
      </c>
      <c r="AL236" s="80">
        <v>0</v>
      </c>
      <c r="AM236" s="80">
        <v>0</v>
      </c>
      <c r="AN236" s="80">
        <v>1</v>
      </c>
      <c r="AO236" s="80" t="b">
        <v>0</v>
      </c>
      <c r="AP236" s="80">
        <v>0</v>
      </c>
      <c r="AQ236" s="80"/>
      <c r="AR236" s="80"/>
      <c r="AS236" s="80" t="s">
        <v>2085</v>
      </c>
      <c r="AT236" s="85" t="str">
        <f>HYPERLINK("https://www.youtube.com/channel/UCvctyDTqnJxUfRl6rLWF2bw")</f>
        <v>https://www.youtube.com/channel/UCvctyDTqnJxUfRl6rLWF2bw</v>
      </c>
      <c r="AU236" s="80" t="str">
        <f>REPLACE(INDEX(GroupVertices[Group],MATCH(Vertices[[#This Row],[Vertex]],GroupVertices[Vertex],0)),1,1,"")</f>
        <v>1</v>
      </c>
      <c r="AV236" s="49">
        <v>0</v>
      </c>
      <c r="AW236" s="50">
        <v>0</v>
      </c>
      <c r="AX236" s="49">
        <v>1</v>
      </c>
      <c r="AY236" s="50">
        <v>20</v>
      </c>
      <c r="AZ236" s="49">
        <v>0</v>
      </c>
      <c r="BA236" s="50">
        <v>0</v>
      </c>
      <c r="BB236" s="49">
        <v>4</v>
      </c>
      <c r="BC236" s="50">
        <v>80</v>
      </c>
      <c r="BD236" s="49">
        <v>5</v>
      </c>
      <c r="BE236" s="49"/>
      <c r="BF236" s="49"/>
      <c r="BG236" s="49"/>
      <c r="BH236" s="49"/>
      <c r="BI236" s="49"/>
      <c r="BJ236" s="49"/>
      <c r="BK236" s="111" t="s">
        <v>3617</v>
      </c>
      <c r="BL236" s="111" t="s">
        <v>3617</v>
      </c>
      <c r="BM236" s="111" t="s">
        <v>4065</v>
      </c>
      <c r="BN236" s="111" t="s">
        <v>4065</v>
      </c>
      <c r="BO236" s="2"/>
      <c r="BP236" s="3"/>
      <c r="BQ236" s="3"/>
      <c r="BR236" s="3"/>
      <c r="BS236" s="3"/>
    </row>
    <row r="237" spans="1:71" ht="15">
      <c r="A237" s="65" t="s">
        <v>571</v>
      </c>
      <c r="B237" s="66"/>
      <c r="C237" s="66"/>
      <c r="D237" s="67">
        <v>150</v>
      </c>
      <c r="E237" s="69"/>
      <c r="F237" s="103" t="str">
        <f>HYPERLINK("https://yt3.ggpht.com/ytc/AKedOLSpkYC1x1FneuyVCkov2kwV3_fjufxRhHXvcdTscA=s88-c-k-c0x00ffffff-no-rj")</f>
        <v>https://yt3.ggpht.com/ytc/AKedOLSpkYC1x1FneuyVCkov2kwV3_fjufxRhHXvcdTscA=s88-c-k-c0x00ffffff-no-rj</v>
      </c>
      <c r="G237" s="66"/>
      <c r="H237" s="70" t="s">
        <v>1639</v>
      </c>
      <c r="I237" s="71"/>
      <c r="J237" s="71" t="s">
        <v>159</v>
      </c>
      <c r="K237" s="70" t="s">
        <v>1639</v>
      </c>
      <c r="L237" s="74">
        <v>1</v>
      </c>
      <c r="M237" s="75">
        <v>2268.375732421875</v>
      </c>
      <c r="N237" s="75">
        <v>9391.87890625</v>
      </c>
      <c r="O237" s="76"/>
      <c r="P237" s="77"/>
      <c r="Q237" s="77"/>
      <c r="R237" s="89"/>
      <c r="S237" s="49">
        <v>0</v>
      </c>
      <c r="T237" s="49">
        <v>1</v>
      </c>
      <c r="U237" s="50">
        <v>0</v>
      </c>
      <c r="V237" s="50">
        <v>0.478122</v>
      </c>
      <c r="W237" s="50">
        <v>0.03471</v>
      </c>
      <c r="X237" s="50">
        <v>0.001935</v>
      </c>
      <c r="Y237" s="50">
        <v>0</v>
      </c>
      <c r="Z237" s="50">
        <v>0</v>
      </c>
      <c r="AA237" s="72">
        <v>237</v>
      </c>
      <c r="AB237" s="72"/>
      <c r="AC237" s="73"/>
      <c r="AD237" s="80" t="s">
        <v>1639</v>
      </c>
      <c r="AE237" s="80" t="s">
        <v>2002</v>
      </c>
      <c r="AF237" s="80"/>
      <c r="AG237" s="80"/>
      <c r="AH237" s="80"/>
      <c r="AI237" s="80"/>
      <c r="AJ237" s="87">
        <v>40841.57865740741</v>
      </c>
      <c r="AK237" s="85" t="str">
        <f>HYPERLINK("https://yt3.ggpht.com/ytc/AKedOLSpkYC1x1FneuyVCkov2kwV3_fjufxRhHXvcdTscA=s88-c-k-c0x00ffffff-no-rj")</f>
        <v>https://yt3.ggpht.com/ytc/AKedOLSpkYC1x1FneuyVCkov2kwV3_fjufxRhHXvcdTscA=s88-c-k-c0x00ffffff-no-rj</v>
      </c>
      <c r="AL237" s="80">
        <v>5208</v>
      </c>
      <c r="AM237" s="80">
        <v>0</v>
      </c>
      <c r="AN237" s="80">
        <v>35</v>
      </c>
      <c r="AO237" s="80" t="b">
        <v>0</v>
      </c>
      <c r="AP237" s="80">
        <v>22</v>
      </c>
      <c r="AQ237" s="80"/>
      <c r="AR237" s="80"/>
      <c r="AS237" s="80" t="s">
        <v>2085</v>
      </c>
      <c r="AT237" s="85" t="str">
        <f>HYPERLINK("https://www.youtube.com/channel/UC12qGozVuHCA3cTUh-jf4qA")</f>
        <v>https://www.youtube.com/channel/UC12qGozVuHCA3cTUh-jf4qA</v>
      </c>
      <c r="AU237" s="80" t="str">
        <f>REPLACE(INDEX(GroupVertices[Group],MATCH(Vertices[[#This Row],[Vertex]],GroupVertices[Vertex],0)),1,1,"")</f>
        <v>1</v>
      </c>
      <c r="AV237" s="49">
        <v>1</v>
      </c>
      <c r="AW237" s="50">
        <v>20</v>
      </c>
      <c r="AX237" s="49">
        <v>0</v>
      </c>
      <c r="AY237" s="50">
        <v>0</v>
      </c>
      <c r="AZ237" s="49">
        <v>0</v>
      </c>
      <c r="BA237" s="50">
        <v>0</v>
      </c>
      <c r="BB237" s="49">
        <v>4</v>
      </c>
      <c r="BC237" s="50">
        <v>80</v>
      </c>
      <c r="BD237" s="49">
        <v>5</v>
      </c>
      <c r="BE237" s="49"/>
      <c r="BF237" s="49"/>
      <c r="BG237" s="49"/>
      <c r="BH237" s="49"/>
      <c r="BI237" s="49"/>
      <c r="BJ237" s="49"/>
      <c r="BK237" s="111" t="s">
        <v>2178</v>
      </c>
      <c r="BL237" s="111" t="s">
        <v>2178</v>
      </c>
      <c r="BM237" s="111" t="s">
        <v>1927</v>
      </c>
      <c r="BN237" s="111" t="s">
        <v>1927</v>
      </c>
      <c r="BO237" s="2"/>
      <c r="BP237" s="3"/>
      <c r="BQ237" s="3"/>
      <c r="BR237" s="3"/>
      <c r="BS237" s="3"/>
    </row>
    <row r="238" spans="1:71" ht="15">
      <c r="A238" s="65" t="s">
        <v>572</v>
      </c>
      <c r="B238" s="66"/>
      <c r="C238" s="66"/>
      <c r="D238" s="67">
        <v>150</v>
      </c>
      <c r="E238" s="69"/>
      <c r="F238" s="103" t="str">
        <f>HYPERLINK("https://yt3.ggpht.com/ytc/AKedOLSeRtbLSuox0CgSunuJXyZt-AZa8gPHtwLN_rFtjg=s88-c-k-c0x00ffffff-no-rj")</f>
        <v>https://yt3.ggpht.com/ytc/AKedOLSeRtbLSuox0CgSunuJXyZt-AZa8gPHtwLN_rFtjg=s88-c-k-c0x00ffffff-no-rj</v>
      </c>
      <c r="G238" s="66"/>
      <c r="H238" s="70" t="s">
        <v>1640</v>
      </c>
      <c r="I238" s="71"/>
      <c r="J238" s="71" t="s">
        <v>159</v>
      </c>
      <c r="K238" s="70" t="s">
        <v>1640</v>
      </c>
      <c r="L238" s="74">
        <v>1</v>
      </c>
      <c r="M238" s="75">
        <v>5958.166015625</v>
      </c>
      <c r="N238" s="75">
        <v>3534.39111328125</v>
      </c>
      <c r="O238" s="76"/>
      <c r="P238" s="77"/>
      <c r="Q238" s="77"/>
      <c r="R238" s="89"/>
      <c r="S238" s="49">
        <v>0</v>
      </c>
      <c r="T238" s="49">
        <v>1</v>
      </c>
      <c r="U238" s="50">
        <v>0</v>
      </c>
      <c r="V238" s="50">
        <v>0.478122</v>
      </c>
      <c r="W238" s="50">
        <v>0.03471</v>
      </c>
      <c r="X238" s="50">
        <v>0.001935</v>
      </c>
      <c r="Y238" s="50">
        <v>0</v>
      </c>
      <c r="Z238" s="50">
        <v>0</v>
      </c>
      <c r="AA238" s="72">
        <v>238</v>
      </c>
      <c r="AB238" s="72"/>
      <c r="AC238" s="73"/>
      <c r="AD238" s="80" t="s">
        <v>1640</v>
      </c>
      <c r="AE238" s="80"/>
      <c r="AF238" s="80"/>
      <c r="AG238" s="80"/>
      <c r="AH238" s="80"/>
      <c r="AI238" s="80"/>
      <c r="AJ238" s="87">
        <v>40824.83121527778</v>
      </c>
      <c r="AK238" s="85" t="str">
        <f>HYPERLINK("https://yt3.ggpht.com/ytc/AKedOLSeRtbLSuox0CgSunuJXyZt-AZa8gPHtwLN_rFtjg=s88-c-k-c0x00ffffff-no-rj")</f>
        <v>https://yt3.ggpht.com/ytc/AKedOLSeRtbLSuox0CgSunuJXyZt-AZa8gPHtwLN_rFtjg=s88-c-k-c0x00ffffff-no-rj</v>
      </c>
      <c r="AL238" s="80">
        <v>0</v>
      </c>
      <c r="AM238" s="80">
        <v>0</v>
      </c>
      <c r="AN238" s="80">
        <v>15</v>
      </c>
      <c r="AO238" s="80" t="b">
        <v>0</v>
      </c>
      <c r="AP238" s="80">
        <v>0</v>
      </c>
      <c r="AQ238" s="80"/>
      <c r="AR238" s="80"/>
      <c r="AS238" s="80" t="s">
        <v>2085</v>
      </c>
      <c r="AT238" s="85" t="str">
        <f>HYPERLINK("https://www.youtube.com/channel/UCaOr_H-LZlYSDiozzVQ1HIA")</f>
        <v>https://www.youtube.com/channel/UCaOr_H-LZlYSDiozzVQ1HIA</v>
      </c>
      <c r="AU238" s="80" t="str">
        <f>REPLACE(INDEX(GroupVertices[Group],MATCH(Vertices[[#This Row],[Vertex]],GroupVertices[Vertex],0)),1,1,"")</f>
        <v>1</v>
      </c>
      <c r="AV238" s="49">
        <v>1</v>
      </c>
      <c r="AW238" s="50">
        <v>50</v>
      </c>
      <c r="AX238" s="49">
        <v>0</v>
      </c>
      <c r="AY238" s="50">
        <v>0</v>
      </c>
      <c r="AZ238" s="49">
        <v>0</v>
      </c>
      <c r="BA238" s="50">
        <v>0</v>
      </c>
      <c r="BB238" s="49">
        <v>1</v>
      </c>
      <c r="BC238" s="50">
        <v>50</v>
      </c>
      <c r="BD238" s="49">
        <v>2</v>
      </c>
      <c r="BE238" s="49"/>
      <c r="BF238" s="49"/>
      <c r="BG238" s="49"/>
      <c r="BH238" s="49"/>
      <c r="BI238" s="49"/>
      <c r="BJ238" s="49"/>
      <c r="BK238" s="111" t="s">
        <v>2143</v>
      </c>
      <c r="BL238" s="111" t="s">
        <v>2143</v>
      </c>
      <c r="BM238" s="111" t="s">
        <v>1927</v>
      </c>
      <c r="BN238" s="111" t="s">
        <v>1927</v>
      </c>
      <c r="BO238" s="2"/>
      <c r="BP238" s="3"/>
      <c r="BQ238" s="3"/>
      <c r="BR238" s="3"/>
      <c r="BS238" s="3"/>
    </row>
    <row r="239" spans="1:71" ht="15">
      <c r="A239" s="65" t="s">
        <v>573</v>
      </c>
      <c r="B239" s="66"/>
      <c r="C239" s="66"/>
      <c r="D239" s="67">
        <v>150</v>
      </c>
      <c r="E239" s="69"/>
      <c r="F239" s="103" t="str">
        <f>HYPERLINK("https://yt3.ggpht.com/ytc/AKedOLRb8gvbetmpvRE6wODA5LUmSi2QM2p9WUGBlg=s88-c-k-c0x00ffffff-no-rj")</f>
        <v>https://yt3.ggpht.com/ytc/AKedOLRb8gvbetmpvRE6wODA5LUmSi2QM2p9WUGBlg=s88-c-k-c0x00ffffff-no-rj</v>
      </c>
      <c r="G239" s="66"/>
      <c r="H239" s="70" t="s">
        <v>1641</v>
      </c>
      <c r="I239" s="71"/>
      <c r="J239" s="71" t="s">
        <v>159</v>
      </c>
      <c r="K239" s="70" t="s">
        <v>1641</v>
      </c>
      <c r="L239" s="74">
        <v>1</v>
      </c>
      <c r="M239" s="75">
        <v>3054.059326171875</v>
      </c>
      <c r="N239" s="75">
        <v>5624.60986328125</v>
      </c>
      <c r="O239" s="76"/>
      <c r="P239" s="77"/>
      <c r="Q239" s="77"/>
      <c r="R239" s="89"/>
      <c r="S239" s="49">
        <v>0</v>
      </c>
      <c r="T239" s="49">
        <v>1</v>
      </c>
      <c r="U239" s="50">
        <v>0</v>
      </c>
      <c r="V239" s="50">
        <v>0.478122</v>
      </c>
      <c r="W239" s="50">
        <v>0.03471</v>
      </c>
      <c r="X239" s="50">
        <v>0.001935</v>
      </c>
      <c r="Y239" s="50">
        <v>0</v>
      </c>
      <c r="Z239" s="50">
        <v>0</v>
      </c>
      <c r="AA239" s="72">
        <v>239</v>
      </c>
      <c r="AB239" s="72"/>
      <c r="AC239" s="73"/>
      <c r="AD239" s="80" t="s">
        <v>1641</v>
      </c>
      <c r="AE239" s="80"/>
      <c r="AF239" s="80"/>
      <c r="AG239" s="80"/>
      <c r="AH239" s="80"/>
      <c r="AI239" s="80"/>
      <c r="AJ239" s="87">
        <v>41437.61974537037</v>
      </c>
      <c r="AK239" s="85" t="str">
        <f>HYPERLINK("https://yt3.ggpht.com/ytc/AKedOLRb8gvbetmpvRE6wODA5LUmSi2QM2p9WUGBlg=s88-c-k-c0x00ffffff-no-rj")</f>
        <v>https://yt3.ggpht.com/ytc/AKedOLRb8gvbetmpvRE6wODA5LUmSi2QM2p9WUGBlg=s88-c-k-c0x00ffffff-no-rj</v>
      </c>
      <c r="AL239" s="80">
        <v>0</v>
      </c>
      <c r="AM239" s="80">
        <v>0</v>
      </c>
      <c r="AN239" s="80">
        <v>2</v>
      </c>
      <c r="AO239" s="80" t="b">
        <v>0</v>
      </c>
      <c r="AP239" s="80">
        <v>0</v>
      </c>
      <c r="AQ239" s="80"/>
      <c r="AR239" s="80"/>
      <c r="AS239" s="80" t="s">
        <v>2085</v>
      </c>
      <c r="AT239" s="85" t="str">
        <f>HYPERLINK("https://www.youtube.com/channel/UCPCZL8M-h_foWBGTE802AGg")</f>
        <v>https://www.youtube.com/channel/UCPCZL8M-h_foWBGTE802AGg</v>
      </c>
      <c r="AU239" s="80" t="str">
        <f>REPLACE(INDEX(GroupVertices[Group],MATCH(Vertices[[#This Row],[Vertex]],GroupVertices[Vertex],0)),1,1,"")</f>
        <v>1</v>
      </c>
      <c r="AV239" s="49">
        <v>0</v>
      </c>
      <c r="AW239" s="50">
        <v>0</v>
      </c>
      <c r="AX239" s="49">
        <v>2</v>
      </c>
      <c r="AY239" s="50">
        <v>6.666666666666667</v>
      </c>
      <c r="AZ239" s="49">
        <v>0</v>
      </c>
      <c r="BA239" s="50">
        <v>0</v>
      </c>
      <c r="BB239" s="49">
        <v>28</v>
      </c>
      <c r="BC239" s="50">
        <v>93.33333333333333</v>
      </c>
      <c r="BD239" s="49">
        <v>30</v>
      </c>
      <c r="BE239" s="49"/>
      <c r="BF239" s="49"/>
      <c r="BG239" s="49"/>
      <c r="BH239" s="49"/>
      <c r="BI239" s="49"/>
      <c r="BJ239" s="49"/>
      <c r="BK239" s="111" t="s">
        <v>3618</v>
      </c>
      <c r="BL239" s="111" t="s">
        <v>3618</v>
      </c>
      <c r="BM239" s="111" t="s">
        <v>4066</v>
      </c>
      <c r="BN239" s="111" t="s">
        <v>4066</v>
      </c>
      <c r="BO239" s="2"/>
      <c r="BP239" s="3"/>
      <c r="BQ239" s="3"/>
      <c r="BR239" s="3"/>
      <c r="BS239" s="3"/>
    </row>
    <row r="240" spans="1:71" ht="15">
      <c r="A240" s="65" t="s">
        <v>574</v>
      </c>
      <c r="B240" s="66"/>
      <c r="C240" s="66"/>
      <c r="D240" s="67">
        <v>150</v>
      </c>
      <c r="E240" s="69"/>
      <c r="F240" s="103" t="str">
        <f>HYPERLINK("https://yt3.ggpht.com/ytc/AKedOLQKH9yafJsUQ-_HnIeMFzbibrUQUobpiRblUQ=s88-c-k-c0x00ffffff-no-rj")</f>
        <v>https://yt3.ggpht.com/ytc/AKedOLQKH9yafJsUQ-_HnIeMFzbibrUQUobpiRblUQ=s88-c-k-c0x00ffffff-no-rj</v>
      </c>
      <c r="G240" s="66"/>
      <c r="H240" s="70" t="s">
        <v>1642</v>
      </c>
      <c r="I240" s="71"/>
      <c r="J240" s="71" t="s">
        <v>159</v>
      </c>
      <c r="K240" s="70" t="s">
        <v>1642</v>
      </c>
      <c r="L240" s="74">
        <v>1</v>
      </c>
      <c r="M240" s="75">
        <v>3316.6171875</v>
      </c>
      <c r="N240" s="75">
        <v>5476.61474609375</v>
      </c>
      <c r="O240" s="76"/>
      <c r="P240" s="77"/>
      <c r="Q240" s="77"/>
      <c r="R240" s="89"/>
      <c r="S240" s="49">
        <v>0</v>
      </c>
      <c r="T240" s="49">
        <v>1</v>
      </c>
      <c r="U240" s="50">
        <v>0</v>
      </c>
      <c r="V240" s="50">
        <v>0.478122</v>
      </c>
      <c r="W240" s="50">
        <v>0.03471</v>
      </c>
      <c r="X240" s="50">
        <v>0.001935</v>
      </c>
      <c r="Y240" s="50">
        <v>0</v>
      </c>
      <c r="Z240" s="50">
        <v>0</v>
      </c>
      <c r="AA240" s="72">
        <v>240</v>
      </c>
      <c r="AB240" s="72"/>
      <c r="AC240" s="73"/>
      <c r="AD240" s="80" t="s">
        <v>1642</v>
      </c>
      <c r="AE240" s="80"/>
      <c r="AF240" s="80"/>
      <c r="AG240" s="80"/>
      <c r="AH240" s="80"/>
      <c r="AI240" s="80"/>
      <c r="AJ240" s="87">
        <v>38923.549421296295</v>
      </c>
      <c r="AK240" s="85" t="str">
        <f>HYPERLINK("https://yt3.ggpht.com/ytc/AKedOLQKH9yafJsUQ-_HnIeMFzbibrUQUobpiRblUQ=s88-c-k-c0x00ffffff-no-rj")</f>
        <v>https://yt3.ggpht.com/ytc/AKedOLQKH9yafJsUQ-_HnIeMFzbibrUQUobpiRblUQ=s88-c-k-c0x00ffffff-no-rj</v>
      </c>
      <c r="AL240" s="80">
        <v>0</v>
      </c>
      <c r="AM240" s="80">
        <v>0</v>
      </c>
      <c r="AN240" s="80">
        <v>2</v>
      </c>
      <c r="AO240" s="80" t="b">
        <v>0</v>
      </c>
      <c r="AP240" s="80">
        <v>0</v>
      </c>
      <c r="AQ240" s="80"/>
      <c r="AR240" s="80"/>
      <c r="AS240" s="80" t="s">
        <v>2085</v>
      </c>
      <c r="AT240" s="85" t="str">
        <f>HYPERLINK("https://www.youtube.com/channel/UC3MPNU4xEyWjYZG47zrq27Q")</f>
        <v>https://www.youtube.com/channel/UC3MPNU4xEyWjYZG47zrq27Q</v>
      </c>
      <c r="AU240" s="80" t="str">
        <f>REPLACE(INDEX(GroupVertices[Group],MATCH(Vertices[[#This Row],[Vertex]],GroupVertices[Vertex],0)),1,1,"")</f>
        <v>1</v>
      </c>
      <c r="AV240" s="49">
        <v>0</v>
      </c>
      <c r="AW240" s="50">
        <v>0</v>
      </c>
      <c r="AX240" s="49">
        <v>0</v>
      </c>
      <c r="AY240" s="50">
        <v>0</v>
      </c>
      <c r="AZ240" s="49">
        <v>0</v>
      </c>
      <c r="BA240" s="50">
        <v>0</v>
      </c>
      <c r="BB240" s="49">
        <v>6</v>
      </c>
      <c r="BC240" s="50">
        <v>100</v>
      </c>
      <c r="BD240" s="49">
        <v>6</v>
      </c>
      <c r="BE240" s="49"/>
      <c r="BF240" s="49"/>
      <c r="BG240" s="49"/>
      <c r="BH240" s="49"/>
      <c r="BI240" s="49"/>
      <c r="BJ240" s="49"/>
      <c r="BK240" s="111" t="s">
        <v>3619</v>
      </c>
      <c r="BL240" s="111" t="s">
        <v>3619</v>
      </c>
      <c r="BM240" s="111" t="s">
        <v>4067</v>
      </c>
      <c r="BN240" s="111" t="s">
        <v>4067</v>
      </c>
      <c r="BO240" s="2"/>
      <c r="BP240" s="3"/>
      <c r="BQ240" s="3"/>
      <c r="BR240" s="3"/>
      <c r="BS240" s="3"/>
    </row>
    <row r="241" spans="1:71" ht="15">
      <c r="A241" s="65" t="s">
        <v>575</v>
      </c>
      <c r="B241" s="66"/>
      <c r="C241" s="66"/>
      <c r="D241" s="67">
        <v>150</v>
      </c>
      <c r="E241" s="69"/>
      <c r="F241" s="103" t="str">
        <f>HYPERLINK("https://yt3.ggpht.com/ytc/AKedOLT09Wp9rUp1gJhENFk-oOXJzgWAjZ2DyVhDJo4e=s88-c-k-c0x00ffffff-no-rj")</f>
        <v>https://yt3.ggpht.com/ytc/AKedOLT09Wp9rUp1gJhENFk-oOXJzgWAjZ2DyVhDJo4e=s88-c-k-c0x00ffffff-no-rj</v>
      </c>
      <c r="G241" s="66"/>
      <c r="H241" s="70" t="s">
        <v>1643</v>
      </c>
      <c r="I241" s="71"/>
      <c r="J241" s="71" t="s">
        <v>159</v>
      </c>
      <c r="K241" s="70" t="s">
        <v>1643</v>
      </c>
      <c r="L241" s="74">
        <v>1</v>
      </c>
      <c r="M241" s="75">
        <v>3336.573486328125</v>
      </c>
      <c r="N241" s="75">
        <v>7579.2978515625</v>
      </c>
      <c r="O241" s="76"/>
      <c r="P241" s="77"/>
      <c r="Q241" s="77"/>
      <c r="R241" s="89"/>
      <c r="S241" s="49">
        <v>0</v>
      </c>
      <c r="T241" s="49">
        <v>1</v>
      </c>
      <c r="U241" s="50">
        <v>0</v>
      </c>
      <c r="V241" s="50">
        <v>0.478122</v>
      </c>
      <c r="W241" s="50">
        <v>0.03471</v>
      </c>
      <c r="X241" s="50">
        <v>0.001935</v>
      </c>
      <c r="Y241" s="50">
        <v>0</v>
      </c>
      <c r="Z241" s="50">
        <v>0</v>
      </c>
      <c r="AA241" s="72">
        <v>241</v>
      </c>
      <c r="AB241" s="72"/>
      <c r="AC241" s="73"/>
      <c r="AD241" s="80" t="s">
        <v>1643</v>
      </c>
      <c r="AE241" s="80" t="s">
        <v>2003</v>
      </c>
      <c r="AF241" s="80"/>
      <c r="AG241" s="80"/>
      <c r="AH241" s="80"/>
      <c r="AI241" s="80"/>
      <c r="AJ241" s="87">
        <v>38935.103634259256</v>
      </c>
      <c r="AK241" s="85" t="str">
        <f>HYPERLINK("https://yt3.ggpht.com/ytc/AKedOLT09Wp9rUp1gJhENFk-oOXJzgWAjZ2DyVhDJo4e=s88-c-k-c0x00ffffff-no-rj")</f>
        <v>https://yt3.ggpht.com/ytc/AKedOLT09Wp9rUp1gJhENFk-oOXJzgWAjZ2DyVhDJo4e=s88-c-k-c0x00ffffff-no-rj</v>
      </c>
      <c r="AL241" s="80">
        <v>0</v>
      </c>
      <c r="AM241" s="80">
        <v>0</v>
      </c>
      <c r="AN241" s="80">
        <v>65</v>
      </c>
      <c r="AO241" s="80" t="b">
        <v>0</v>
      </c>
      <c r="AP241" s="80">
        <v>0</v>
      </c>
      <c r="AQ241" s="80"/>
      <c r="AR241" s="80"/>
      <c r="AS241" s="80" t="s">
        <v>2085</v>
      </c>
      <c r="AT241" s="85" t="str">
        <f>HYPERLINK("https://www.youtube.com/channel/UCv4sWFVMoj-lIuAx_kN2W3w")</f>
        <v>https://www.youtube.com/channel/UCv4sWFVMoj-lIuAx_kN2W3w</v>
      </c>
      <c r="AU241" s="80" t="str">
        <f>REPLACE(INDEX(GroupVertices[Group],MATCH(Vertices[[#This Row],[Vertex]],GroupVertices[Vertex],0)),1,1,"")</f>
        <v>1</v>
      </c>
      <c r="AV241" s="49">
        <v>0</v>
      </c>
      <c r="AW241" s="50">
        <v>0</v>
      </c>
      <c r="AX241" s="49">
        <v>1</v>
      </c>
      <c r="AY241" s="50">
        <v>16.666666666666668</v>
      </c>
      <c r="AZ241" s="49">
        <v>0</v>
      </c>
      <c r="BA241" s="50">
        <v>0</v>
      </c>
      <c r="BB241" s="49">
        <v>5</v>
      </c>
      <c r="BC241" s="50">
        <v>83.33333333333333</v>
      </c>
      <c r="BD241" s="49">
        <v>6</v>
      </c>
      <c r="BE241" s="49"/>
      <c r="BF241" s="49"/>
      <c r="BG241" s="49"/>
      <c r="BH241" s="49"/>
      <c r="BI241" s="49"/>
      <c r="BJ241" s="49"/>
      <c r="BK241" s="111" t="s">
        <v>3620</v>
      </c>
      <c r="BL241" s="111" t="s">
        <v>3620</v>
      </c>
      <c r="BM241" s="111" t="s">
        <v>4068</v>
      </c>
      <c r="BN241" s="111" t="s">
        <v>4068</v>
      </c>
      <c r="BO241" s="2"/>
      <c r="BP241" s="3"/>
      <c r="BQ241" s="3"/>
      <c r="BR241" s="3"/>
      <c r="BS241" s="3"/>
    </row>
    <row r="242" spans="1:71" ht="15">
      <c r="A242" s="65" t="s">
        <v>576</v>
      </c>
      <c r="B242" s="66"/>
      <c r="C242" s="66"/>
      <c r="D242" s="67">
        <v>150</v>
      </c>
      <c r="E242" s="69"/>
      <c r="F242" s="103" t="str">
        <f>HYPERLINK("https://yt3.ggpht.com/ytc/AKedOLTTgN23UFeIS2XbmDmuiznn87HuJ5AFqWePzSy3zQ=s88-c-k-c0x00ffffff-no-rj")</f>
        <v>https://yt3.ggpht.com/ytc/AKedOLTTgN23UFeIS2XbmDmuiznn87HuJ5AFqWePzSy3zQ=s88-c-k-c0x00ffffff-no-rj</v>
      </c>
      <c r="G242" s="66"/>
      <c r="H242" s="70" t="s">
        <v>1644</v>
      </c>
      <c r="I242" s="71"/>
      <c r="J242" s="71" t="s">
        <v>159</v>
      </c>
      <c r="K242" s="70" t="s">
        <v>1644</v>
      </c>
      <c r="L242" s="74">
        <v>1</v>
      </c>
      <c r="M242" s="75">
        <v>1013.9717407226562</v>
      </c>
      <c r="N242" s="75">
        <v>6793.869140625</v>
      </c>
      <c r="O242" s="76"/>
      <c r="P242" s="77"/>
      <c r="Q242" s="77"/>
      <c r="R242" s="89"/>
      <c r="S242" s="49">
        <v>0</v>
      </c>
      <c r="T242" s="49">
        <v>1</v>
      </c>
      <c r="U242" s="50">
        <v>0</v>
      </c>
      <c r="V242" s="50">
        <v>0.478122</v>
      </c>
      <c r="W242" s="50">
        <v>0.03471</v>
      </c>
      <c r="X242" s="50">
        <v>0.001935</v>
      </c>
      <c r="Y242" s="50">
        <v>0</v>
      </c>
      <c r="Z242" s="50">
        <v>0</v>
      </c>
      <c r="AA242" s="72">
        <v>242</v>
      </c>
      <c r="AB242" s="72"/>
      <c r="AC242" s="73"/>
      <c r="AD242" s="80" t="s">
        <v>1644</v>
      </c>
      <c r="AE242" s="80"/>
      <c r="AF242" s="80"/>
      <c r="AG242" s="80"/>
      <c r="AH242" s="80"/>
      <c r="AI242" s="80"/>
      <c r="AJ242" s="87">
        <v>40030.748703703706</v>
      </c>
      <c r="AK242" s="85" t="str">
        <f>HYPERLINK("https://yt3.ggpht.com/ytc/AKedOLTTgN23UFeIS2XbmDmuiznn87HuJ5AFqWePzSy3zQ=s88-c-k-c0x00ffffff-no-rj")</f>
        <v>https://yt3.ggpht.com/ytc/AKedOLTTgN23UFeIS2XbmDmuiznn87HuJ5AFqWePzSy3zQ=s88-c-k-c0x00ffffff-no-rj</v>
      </c>
      <c r="AL242" s="80">
        <v>29</v>
      </c>
      <c r="AM242" s="80">
        <v>0</v>
      </c>
      <c r="AN242" s="80">
        <v>2</v>
      </c>
      <c r="AO242" s="80" t="b">
        <v>0</v>
      </c>
      <c r="AP242" s="80">
        <v>1</v>
      </c>
      <c r="AQ242" s="80"/>
      <c r="AR242" s="80"/>
      <c r="AS242" s="80" t="s">
        <v>2085</v>
      </c>
      <c r="AT242" s="85" t="str">
        <f>HYPERLINK("https://www.youtube.com/channel/UCVmYtYtQ_4jCFBZ0FlRti_A")</f>
        <v>https://www.youtube.com/channel/UCVmYtYtQ_4jCFBZ0FlRti_A</v>
      </c>
      <c r="AU242" s="80" t="str">
        <f>REPLACE(INDEX(GroupVertices[Group],MATCH(Vertices[[#This Row],[Vertex]],GroupVertices[Vertex],0)),1,1,"")</f>
        <v>1</v>
      </c>
      <c r="AV242" s="49">
        <v>3</v>
      </c>
      <c r="AW242" s="50">
        <v>9.375</v>
      </c>
      <c r="AX242" s="49">
        <v>0</v>
      </c>
      <c r="AY242" s="50">
        <v>0</v>
      </c>
      <c r="AZ242" s="49">
        <v>0</v>
      </c>
      <c r="BA242" s="50">
        <v>0</v>
      </c>
      <c r="BB242" s="49">
        <v>29</v>
      </c>
      <c r="BC242" s="50">
        <v>90.625</v>
      </c>
      <c r="BD242" s="49">
        <v>32</v>
      </c>
      <c r="BE242" s="49"/>
      <c r="BF242" s="49"/>
      <c r="BG242" s="49"/>
      <c r="BH242" s="49"/>
      <c r="BI242" s="49"/>
      <c r="BJ242" s="49"/>
      <c r="BK242" s="111" t="s">
        <v>3621</v>
      </c>
      <c r="BL242" s="111" t="s">
        <v>3621</v>
      </c>
      <c r="BM242" s="111" t="s">
        <v>4069</v>
      </c>
      <c r="BN242" s="111" t="s">
        <v>4069</v>
      </c>
      <c r="BO242" s="2"/>
      <c r="BP242" s="3"/>
      <c r="BQ242" s="3"/>
      <c r="BR242" s="3"/>
      <c r="BS242" s="3"/>
    </row>
    <row r="243" spans="1:71" ht="15">
      <c r="A243" s="65" t="s">
        <v>577</v>
      </c>
      <c r="B243" s="66"/>
      <c r="C243" s="66"/>
      <c r="D243" s="67">
        <v>150</v>
      </c>
      <c r="E243" s="69"/>
      <c r="F243" s="103" t="str">
        <f>HYPERLINK("https://yt3.ggpht.com/ytc/AKedOLS8W6rFbE91-n6Px-KD05TinPXptWv6WC3pv7BV=s88-c-k-c0x00ffffff-no-rj")</f>
        <v>https://yt3.ggpht.com/ytc/AKedOLS8W6rFbE91-n6Px-KD05TinPXptWv6WC3pv7BV=s88-c-k-c0x00ffffff-no-rj</v>
      </c>
      <c r="G243" s="66"/>
      <c r="H243" s="70" t="s">
        <v>1645</v>
      </c>
      <c r="I243" s="71"/>
      <c r="J243" s="71" t="s">
        <v>159</v>
      </c>
      <c r="K243" s="70" t="s">
        <v>1645</v>
      </c>
      <c r="L243" s="74">
        <v>1</v>
      </c>
      <c r="M243" s="75">
        <v>8037.46142578125</v>
      </c>
      <c r="N243" s="75">
        <v>5260.79833984375</v>
      </c>
      <c r="O243" s="76"/>
      <c r="P243" s="77"/>
      <c r="Q243" s="77"/>
      <c r="R243" s="89"/>
      <c r="S243" s="49">
        <v>0</v>
      </c>
      <c r="T243" s="49">
        <v>1</v>
      </c>
      <c r="U243" s="50">
        <v>0</v>
      </c>
      <c r="V243" s="50">
        <v>0.478122</v>
      </c>
      <c r="W243" s="50">
        <v>0.03471</v>
      </c>
      <c r="X243" s="50">
        <v>0.001935</v>
      </c>
      <c r="Y243" s="50">
        <v>0</v>
      </c>
      <c r="Z243" s="50">
        <v>0</v>
      </c>
      <c r="AA243" s="72">
        <v>243</v>
      </c>
      <c r="AB243" s="72"/>
      <c r="AC243" s="73"/>
      <c r="AD243" s="80" t="s">
        <v>1645</v>
      </c>
      <c r="AE243" s="80"/>
      <c r="AF243" s="80"/>
      <c r="AG243" s="80"/>
      <c r="AH243" s="80"/>
      <c r="AI243" s="80"/>
      <c r="AJ243" s="87">
        <v>40023.66270833334</v>
      </c>
      <c r="AK243" s="85" t="str">
        <f>HYPERLINK("https://yt3.ggpht.com/ytc/AKedOLS8W6rFbE91-n6Px-KD05TinPXptWv6WC3pv7BV=s88-c-k-c0x00ffffff-no-rj")</f>
        <v>https://yt3.ggpht.com/ytc/AKedOLS8W6rFbE91-n6Px-KD05TinPXptWv6WC3pv7BV=s88-c-k-c0x00ffffff-no-rj</v>
      </c>
      <c r="AL243" s="80">
        <v>0</v>
      </c>
      <c r="AM243" s="80">
        <v>0</v>
      </c>
      <c r="AN243" s="80">
        <v>6</v>
      </c>
      <c r="AO243" s="80" t="b">
        <v>0</v>
      </c>
      <c r="AP243" s="80">
        <v>0</v>
      </c>
      <c r="AQ243" s="80"/>
      <c r="AR243" s="80"/>
      <c r="AS243" s="80" t="s">
        <v>2085</v>
      </c>
      <c r="AT243" s="85" t="str">
        <f>HYPERLINK("https://www.youtube.com/channel/UCbn031xMt0D4fYqcgOvcJhQ")</f>
        <v>https://www.youtube.com/channel/UCbn031xMt0D4fYqcgOvcJhQ</v>
      </c>
      <c r="AU243" s="80" t="str">
        <f>REPLACE(INDEX(GroupVertices[Group],MATCH(Vertices[[#This Row],[Vertex]],GroupVertices[Vertex],0)),1,1,"")</f>
        <v>1</v>
      </c>
      <c r="AV243" s="49">
        <v>0</v>
      </c>
      <c r="AW243" s="50">
        <v>0</v>
      </c>
      <c r="AX243" s="49">
        <v>1</v>
      </c>
      <c r="AY243" s="50">
        <v>2.7777777777777777</v>
      </c>
      <c r="AZ243" s="49">
        <v>0</v>
      </c>
      <c r="BA243" s="50">
        <v>0</v>
      </c>
      <c r="BB243" s="49">
        <v>35</v>
      </c>
      <c r="BC243" s="50">
        <v>97.22222222222223</v>
      </c>
      <c r="BD243" s="49">
        <v>36</v>
      </c>
      <c r="BE243" s="49" t="s">
        <v>3383</v>
      </c>
      <c r="BF243" s="49" t="s">
        <v>3383</v>
      </c>
      <c r="BG243" s="49" t="s">
        <v>1922</v>
      </c>
      <c r="BH243" s="49" t="s">
        <v>1922</v>
      </c>
      <c r="BI243" s="49"/>
      <c r="BJ243" s="49"/>
      <c r="BK243" s="111" t="s">
        <v>3622</v>
      </c>
      <c r="BL243" s="111" t="s">
        <v>3622</v>
      </c>
      <c r="BM243" s="111" t="s">
        <v>4070</v>
      </c>
      <c r="BN243" s="111" t="s">
        <v>4070</v>
      </c>
      <c r="BO243" s="2"/>
      <c r="BP243" s="3"/>
      <c r="BQ243" s="3"/>
      <c r="BR243" s="3"/>
      <c r="BS243" s="3"/>
    </row>
    <row r="244" spans="1:71" ht="15">
      <c r="A244" s="65" t="s">
        <v>578</v>
      </c>
      <c r="B244" s="66"/>
      <c r="C244" s="66"/>
      <c r="D244" s="67">
        <v>150.4392146209132</v>
      </c>
      <c r="E244" s="69"/>
      <c r="F244" s="103" t="str">
        <f>HYPERLINK("https://yt3.ggpht.com/ytc/AKedOLTvHguIa-kqgxQOF2WaLWlZEvrSYsVQSHSJJQFS=s88-c-k-c0x00ffffff-no-rj")</f>
        <v>https://yt3.ggpht.com/ytc/AKedOLTvHguIa-kqgxQOF2WaLWlZEvrSYsVQSHSJJQFS=s88-c-k-c0x00ffffff-no-rj</v>
      </c>
      <c r="G244" s="66"/>
      <c r="H244" s="70" t="s">
        <v>1646</v>
      </c>
      <c r="I244" s="71"/>
      <c r="J244" s="71" t="s">
        <v>75</v>
      </c>
      <c r="K244" s="70" t="s">
        <v>1646</v>
      </c>
      <c r="L244" s="74">
        <v>1.1833466452908417</v>
      </c>
      <c r="M244" s="75">
        <v>9299.205078125</v>
      </c>
      <c r="N244" s="75">
        <v>9477.9541015625</v>
      </c>
      <c r="O244" s="76"/>
      <c r="P244" s="77"/>
      <c r="Q244" s="77"/>
      <c r="R244" s="89"/>
      <c r="S244" s="49">
        <v>0</v>
      </c>
      <c r="T244" s="49">
        <v>2</v>
      </c>
      <c r="U244" s="50">
        <v>3.666667</v>
      </c>
      <c r="V244" s="50">
        <v>0.326293</v>
      </c>
      <c r="W244" s="50">
        <v>0.003526</v>
      </c>
      <c r="X244" s="50">
        <v>0.002078</v>
      </c>
      <c r="Y244" s="50">
        <v>0</v>
      </c>
      <c r="Z244" s="50">
        <v>0</v>
      </c>
      <c r="AA244" s="72">
        <v>244</v>
      </c>
      <c r="AB244" s="72"/>
      <c r="AC244" s="73"/>
      <c r="AD244" s="80" t="s">
        <v>1646</v>
      </c>
      <c r="AE244" s="80" t="s">
        <v>2004</v>
      </c>
      <c r="AF244" s="80"/>
      <c r="AG244" s="80"/>
      <c r="AH244" s="80"/>
      <c r="AI244" s="80"/>
      <c r="AJ244" s="87">
        <v>38872.93361111111</v>
      </c>
      <c r="AK244" s="85" t="str">
        <f>HYPERLINK("https://yt3.ggpht.com/ytc/AKedOLTvHguIa-kqgxQOF2WaLWlZEvrSYsVQSHSJJQFS=s88-c-k-c0x00ffffff-no-rj")</f>
        <v>https://yt3.ggpht.com/ytc/AKedOLTvHguIa-kqgxQOF2WaLWlZEvrSYsVQSHSJJQFS=s88-c-k-c0x00ffffff-no-rj</v>
      </c>
      <c r="AL244" s="80">
        <v>0</v>
      </c>
      <c r="AM244" s="80">
        <v>0</v>
      </c>
      <c r="AN244" s="80">
        <v>18</v>
      </c>
      <c r="AO244" s="80" t="b">
        <v>0</v>
      </c>
      <c r="AP244" s="80">
        <v>0</v>
      </c>
      <c r="AQ244" s="80"/>
      <c r="AR244" s="80"/>
      <c r="AS244" s="80" t="s">
        <v>2085</v>
      </c>
      <c r="AT244" s="85" t="str">
        <f>HYPERLINK("https://www.youtube.com/channel/UC6nw5WxAUuhh1Cb45G0_k6A")</f>
        <v>https://www.youtube.com/channel/UC6nw5WxAUuhh1Cb45G0_k6A</v>
      </c>
      <c r="AU244" s="80" t="str">
        <f>REPLACE(INDEX(GroupVertices[Group],MATCH(Vertices[[#This Row],[Vertex]],GroupVertices[Vertex],0)),1,1,"")</f>
        <v>2</v>
      </c>
      <c r="AV244" s="49">
        <v>3</v>
      </c>
      <c r="AW244" s="50">
        <v>9.090909090909092</v>
      </c>
      <c r="AX244" s="49">
        <v>1</v>
      </c>
      <c r="AY244" s="50">
        <v>3.0303030303030303</v>
      </c>
      <c r="AZ244" s="49">
        <v>0</v>
      </c>
      <c r="BA244" s="50">
        <v>0</v>
      </c>
      <c r="BB244" s="49">
        <v>29</v>
      </c>
      <c r="BC244" s="50">
        <v>87.87878787878788</v>
      </c>
      <c r="BD244" s="49">
        <v>33</v>
      </c>
      <c r="BE244" s="49"/>
      <c r="BF244" s="49"/>
      <c r="BG244" s="49"/>
      <c r="BH244" s="49"/>
      <c r="BI244" s="49"/>
      <c r="BJ244" s="49"/>
      <c r="BK244" s="111" t="s">
        <v>3623</v>
      </c>
      <c r="BL244" s="111" t="s">
        <v>3623</v>
      </c>
      <c r="BM244" s="111" t="s">
        <v>4071</v>
      </c>
      <c r="BN244" s="111" t="s">
        <v>4071</v>
      </c>
      <c r="BO244" s="2"/>
      <c r="BP244" s="3"/>
      <c r="BQ244" s="3"/>
      <c r="BR244" s="3"/>
      <c r="BS244" s="3"/>
    </row>
    <row r="245" spans="1:71" ht="15">
      <c r="A245" s="65" t="s">
        <v>580</v>
      </c>
      <c r="B245" s="66"/>
      <c r="C245" s="66"/>
      <c r="D245" s="67">
        <v>202.98524986612176</v>
      </c>
      <c r="E245" s="69"/>
      <c r="F245" s="103" t="str">
        <f>HYPERLINK("https://yt3.ggpht.com/xRArPRizi3ZD0ZvBNZhC06S7xfufuHpfQzd19r1ZGcnUV1XTRMpoGnKnWPZVoNj0utAxK0Dd9A=s88-c-k-c0x00ffffff-no-rj")</f>
        <v>https://yt3.ggpht.com/xRArPRizi3ZD0ZvBNZhC06S7xfufuHpfQzd19r1ZGcnUV1XTRMpoGnKnWPZVoNj0utAxK0Dd9A=s88-c-k-c0x00ffffff-no-rj</v>
      </c>
      <c r="G245" s="66"/>
      <c r="H245" s="70" t="s">
        <v>1648</v>
      </c>
      <c r="I245" s="71"/>
      <c r="J245" s="71" t="s">
        <v>75</v>
      </c>
      <c r="K245" s="70" t="s">
        <v>1648</v>
      </c>
      <c r="L245" s="74">
        <v>23.11827054539362</v>
      </c>
      <c r="M245" s="75">
        <v>9611.2294921875</v>
      </c>
      <c r="N245" s="75">
        <v>9660.642578125</v>
      </c>
      <c r="O245" s="76"/>
      <c r="P245" s="77"/>
      <c r="Q245" s="77"/>
      <c r="R245" s="89"/>
      <c r="S245" s="49">
        <v>2</v>
      </c>
      <c r="T245" s="49">
        <v>1</v>
      </c>
      <c r="U245" s="50">
        <v>442.333333</v>
      </c>
      <c r="V245" s="50">
        <v>0.479657</v>
      </c>
      <c r="W245" s="50">
        <v>0.036628</v>
      </c>
      <c r="X245" s="50">
        <v>0.002245</v>
      </c>
      <c r="Y245" s="50">
        <v>0.16666666666666666</v>
      </c>
      <c r="Z245" s="50">
        <v>0</v>
      </c>
      <c r="AA245" s="72">
        <v>245</v>
      </c>
      <c r="AB245" s="72"/>
      <c r="AC245" s="73"/>
      <c r="AD245" s="80" t="s">
        <v>1648</v>
      </c>
      <c r="AE245" s="80" t="s">
        <v>2005</v>
      </c>
      <c r="AF245" s="80"/>
      <c r="AG245" s="80"/>
      <c r="AH245" s="80"/>
      <c r="AI245" s="80" t="s">
        <v>1648</v>
      </c>
      <c r="AJ245" s="87">
        <v>39562.07769675926</v>
      </c>
      <c r="AK245" s="85" t="str">
        <f>HYPERLINK("https://yt3.ggpht.com/xRArPRizi3ZD0ZvBNZhC06S7xfufuHpfQzd19r1ZGcnUV1XTRMpoGnKnWPZVoNj0utAxK0Dd9A=s88-c-k-c0x00ffffff-no-rj")</f>
        <v>https://yt3.ggpht.com/xRArPRizi3ZD0ZvBNZhC06S7xfufuHpfQzd19r1ZGcnUV1XTRMpoGnKnWPZVoNj0utAxK0Dd9A=s88-c-k-c0x00ffffff-no-rj</v>
      </c>
      <c r="AL245" s="80">
        <v>380687</v>
      </c>
      <c r="AM245" s="80">
        <v>0</v>
      </c>
      <c r="AN245" s="80">
        <v>326</v>
      </c>
      <c r="AO245" s="80" t="b">
        <v>0</v>
      </c>
      <c r="AP245" s="80">
        <v>113</v>
      </c>
      <c r="AQ245" s="80"/>
      <c r="AR245" s="80"/>
      <c r="AS245" s="80" t="s">
        <v>2085</v>
      </c>
      <c r="AT245" s="85" t="str">
        <f>HYPERLINK("https://www.youtube.com/channel/UCBw-qDr64vSqguezFJKPORQ")</f>
        <v>https://www.youtube.com/channel/UCBw-qDr64vSqguezFJKPORQ</v>
      </c>
      <c r="AU245" s="80" t="str">
        <f>REPLACE(INDEX(GroupVertices[Group],MATCH(Vertices[[#This Row],[Vertex]],GroupVertices[Vertex],0)),1,1,"")</f>
        <v>2</v>
      </c>
      <c r="AV245" s="49">
        <v>2</v>
      </c>
      <c r="AW245" s="50">
        <v>5.714285714285714</v>
      </c>
      <c r="AX245" s="49">
        <v>1</v>
      </c>
      <c r="AY245" s="50">
        <v>2.857142857142857</v>
      </c>
      <c r="AZ245" s="49">
        <v>0</v>
      </c>
      <c r="BA245" s="50">
        <v>0</v>
      </c>
      <c r="BB245" s="49">
        <v>32</v>
      </c>
      <c r="BC245" s="50">
        <v>91.42857142857143</v>
      </c>
      <c r="BD245" s="49">
        <v>35</v>
      </c>
      <c r="BE245" s="49"/>
      <c r="BF245" s="49"/>
      <c r="BG245" s="49"/>
      <c r="BH245" s="49"/>
      <c r="BI245" s="49"/>
      <c r="BJ245" s="49"/>
      <c r="BK245" s="111" t="s">
        <v>3624</v>
      </c>
      <c r="BL245" s="111" t="s">
        <v>3624</v>
      </c>
      <c r="BM245" s="111" t="s">
        <v>4072</v>
      </c>
      <c r="BN245" s="111" t="s">
        <v>4072</v>
      </c>
      <c r="BO245" s="2"/>
      <c r="BP245" s="3"/>
      <c r="BQ245" s="3"/>
      <c r="BR245" s="3"/>
      <c r="BS245" s="3"/>
    </row>
    <row r="246" spans="1:71" ht="15">
      <c r="A246" s="65" t="s">
        <v>579</v>
      </c>
      <c r="B246" s="66"/>
      <c r="C246" s="66"/>
      <c r="D246" s="67">
        <v>150</v>
      </c>
      <c r="E246" s="69"/>
      <c r="F246" s="103" t="str">
        <f>HYPERLINK("https://yt3.ggpht.com/ytc/AKedOLTxvxei329G71OYM7BSvDKjXqoB2v2tYMq2ZNtc=s88-c-k-c0x00ffffff-no-rj")</f>
        <v>https://yt3.ggpht.com/ytc/AKedOLTxvxei329G71OYM7BSvDKjXqoB2v2tYMq2ZNtc=s88-c-k-c0x00ffffff-no-rj</v>
      </c>
      <c r="G246" s="66"/>
      <c r="H246" s="70" t="s">
        <v>1647</v>
      </c>
      <c r="I246" s="71"/>
      <c r="J246" s="71" t="s">
        <v>159</v>
      </c>
      <c r="K246" s="70" t="s">
        <v>1647</v>
      </c>
      <c r="L246" s="74">
        <v>1</v>
      </c>
      <c r="M246" s="75">
        <v>9892.853515625</v>
      </c>
      <c r="N246" s="75">
        <v>9851.9560546875</v>
      </c>
      <c r="O246" s="76"/>
      <c r="P246" s="77"/>
      <c r="Q246" s="77"/>
      <c r="R246" s="89"/>
      <c r="S246" s="49">
        <v>0</v>
      </c>
      <c r="T246" s="49">
        <v>2</v>
      </c>
      <c r="U246" s="50">
        <v>0</v>
      </c>
      <c r="V246" s="50">
        <v>0.479144</v>
      </c>
      <c r="W246" s="50">
        <v>0.036464</v>
      </c>
      <c r="X246" s="50">
        <v>0.002047</v>
      </c>
      <c r="Y246" s="50">
        <v>0.5</v>
      </c>
      <c r="Z246" s="50">
        <v>0</v>
      </c>
      <c r="AA246" s="72">
        <v>246</v>
      </c>
      <c r="AB246" s="72"/>
      <c r="AC246" s="73"/>
      <c r="AD246" s="80" t="s">
        <v>1647</v>
      </c>
      <c r="AE246" s="80"/>
      <c r="AF246" s="80"/>
      <c r="AG246" s="80"/>
      <c r="AH246" s="80"/>
      <c r="AI246" s="80"/>
      <c r="AJ246" s="87">
        <v>39286.911944444444</v>
      </c>
      <c r="AK246" s="85" t="str">
        <f>HYPERLINK("https://yt3.ggpht.com/ytc/AKedOLTxvxei329G71OYM7BSvDKjXqoB2v2tYMq2ZNtc=s88-c-k-c0x00ffffff-no-rj")</f>
        <v>https://yt3.ggpht.com/ytc/AKedOLTxvxei329G71OYM7BSvDKjXqoB2v2tYMq2ZNtc=s88-c-k-c0x00ffffff-no-rj</v>
      </c>
      <c r="AL246" s="80">
        <v>11902</v>
      </c>
      <c r="AM246" s="80">
        <v>0</v>
      </c>
      <c r="AN246" s="80">
        <v>11</v>
      </c>
      <c r="AO246" s="80" t="b">
        <v>0</v>
      </c>
      <c r="AP246" s="80">
        <v>93</v>
      </c>
      <c r="AQ246" s="80"/>
      <c r="AR246" s="80"/>
      <c r="AS246" s="80" t="s">
        <v>2085</v>
      </c>
      <c r="AT246" s="85" t="str">
        <f>HYPERLINK("https://www.youtube.com/channel/UCwkEMAb2hKoyywsozegFGMQ")</f>
        <v>https://www.youtube.com/channel/UCwkEMAb2hKoyywsozegFGMQ</v>
      </c>
      <c r="AU246" s="80" t="str">
        <f>REPLACE(INDEX(GroupVertices[Group],MATCH(Vertices[[#This Row],[Vertex]],GroupVertices[Vertex],0)),1,1,"")</f>
        <v>2</v>
      </c>
      <c r="AV246" s="49">
        <v>3</v>
      </c>
      <c r="AW246" s="50">
        <v>9.67741935483871</v>
      </c>
      <c r="AX246" s="49">
        <v>0</v>
      </c>
      <c r="AY246" s="50">
        <v>0</v>
      </c>
      <c r="AZ246" s="49">
        <v>0</v>
      </c>
      <c r="BA246" s="50">
        <v>0</v>
      </c>
      <c r="BB246" s="49">
        <v>28</v>
      </c>
      <c r="BC246" s="50">
        <v>90.3225806451613</v>
      </c>
      <c r="BD246" s="49">
        <v>31</v>
      </c>
      <c r="BE246" s="49"/>
      <c r="BF246" s="49"/>
      <c r="BG246" s="49"/>
      <c r="BH246" s="49"/>
      <c r="BI246" s="49"/>
      <c r="BJ246" s="49"/>
      <c r="BK246" s="111" t="s">
        <v>3625</v>
      </c>
      <c r="BL246" s="111" t="s">
        <v>3837</v>
      </c>
      <c r="BM246" s="111" t="s">
        <v>4073</v>
      </c>
      <c r="BN246" s="111" t="s">
        <v>4073</v>
      </c>
      <c r="BO246" s="2"/>
      <c r="BP246" s="3"/>
      <c r="BQ246" s="3"/>
      <c r="BR246" s="3"/>
      <c r="BS246" s="3"/>
    </row>
    <row r="247" spans="1:71" ht="15">
      <c r="A247" s="65" t="s">
        <v>581</v>
      </c>
      <c r="B247" s="66"/>
      <c r="C247" s="66"/>
      <c r="D247" s="67">
        <v>150.119785794814</v>
      </c>
      <c r="E247" s="69"/>
      <c r="F247" s="103" t="str">
        <f>HYPERLINK("https://yt3.ggpht.com/ytc/AKedOLQIs0gnVvN4EERqUT_QnSQuQovckYwQxgyazYdIIw=s88-c-k-c0x00ffffff-no-rj")</f>
        <v>https://yt3.ggpht.com/ytc/AKedOLQIs0gnVvN4EERqUT_QnSQuQovckYwQxgyazYdIIw=s88-c-k-c0x00ffffff-no-rj</v>
      </c>
      <c r="G247" s="66"/>
      <c r="H247" s="70" t="s">
        <v>1649</v>
      </c>
      <c r="I247" s="71"/>
      <c r="J247" s="71" t="s">
        <v>75</v>
      </c>
      <c r="K247" s="70" t="s">
        <v>1649</v>
      </c>
      <c r="L247" s="74">
        <v>1.0500036259880818</v>
      </c>
      <c r="M247" s="75">
        <v>8523.5634765625</v>
      </c>
      <c r="N247" s="75">
        <v>3121.011474609375</v>
      </c>
      <c r="O247" s="76"/>
      <c r="P247" s="77"/>
      <c r="Q247" s="77"/>
      <c r="R247" s="89"/>
      <c r="S247" s="49">
        <v>0</v>
      </c>
      <c r="T247" s="49">
        <v>2</v>
      </c>
      <c r="U247" s="50">
        <v>1</v>
      </c>
      <c r="V247" s="50">
        <v>0.324638</v>
      </c>
      <c r="W247" s="50">
        <v>0.003424</v>
      </c>
      <c r="X247" s="50">
        <v>0.002161</v>
      </c>
      <c r="Y247" s="50">
        <v>0</v>
      </c>
      <c r="Z247" s="50">
        <v>0</v>
      </c>
      <c r="AA247" s="72">
        <v>247</v>
      </c>
      <c r="AB247" s="72"/>
      <c r="AC247" s="73"/>
      <c r="AD247" s="80" t="s">
        <v>1649</v>
      </c>
      <c r="AE247" s="80"/>
      <c r="AF247" s="80"/>
      <c r="AG247" s="80"/>
      <c r="AH247" s="80"/>
      <c r="AI247" s="80"/>
      <c r="AJ247" s="87">
        <v>39697.25984953704</v>
      </c>
      <c r="AK247" s="85" t="str">
        <f>HYPERLINK("https://yt3.ggpht.com/ytc/AKedOLQIs0gnVvN4EERqUT_QnSQuQovckYwQxgyazYdIIw=s88-c-k-c0x00ffffff-no-rj")</f>
        <v>https://yt3.ggpht.com/ytc/AKedOLQIs0gnVvN4EERqUT_QnSQuQovckYwQxgyazYdIIw=s88-c-k-c0x00ffffff-no-rj</v>
      </c>
      <c r="AL247" s="80">
        <v>2685</v>
      </c>
      <c r="AM247" s="80">
        <v>0</v>
      </c>
      <c r="AN247" s="80">
        <v>6</v>
      </c>
      <c r="AO247" s="80" t="b">
        <v>0</v>
      </c>
      <c r="AP247" s="80">
        <v>1</v>
      </c>
      <c r="AQ247" s="80"/>
      <c r="AR247" s="80"/>
      <c r="AS247" s="80" t="s">
        <v>2085</v>
      </c>
      <c r="AT247" s="85" t="str">
        <f>HYPERLINK("https://www.youtube.com/channel/UCpS3hbN61-1NW7Ey_ZclMGA")</f>
        <v>https://www.youtube.com/channel/UCpS3hbN61-1NW7Ey_ZclMGA</v>
      </c>
      <c r="AU247" s="80" t="str">
        <f>REPLACE(INDEX(GroupVertices[Group],MATCH(Vertices[[#This Row],[Vertex]],GroupVertices[Vertex],0)),1,1,"")</f>
        <v>12</v>
      </c>
      <c r="AV247" s="49">
        <v>2</v>
      </c>
      <c r="AW247" s="50">
        <v>4.878048780487805</v>
      </c>
      <c r="AX247" s="49">
        <v>1</v>
      </c>
      <c r="AY247" s="50">
        <v>2.4390243902439024</v>
      </c>
      <c r="AZ247" s="49">
        <v>0</v>
      </c>
      <c r="BA247" s="50">
        <v>0</v>
      </c>
      <c r="BB247" s="49">
        <v>38</v>
      </c>
      <c r="BC247" s="50">
        <v>92.6829268292683</v>
      </c>
      <c r="BD247" s="49">
        <v>41</v>
      </c>
      <c r="BE247" s="49"/>
      <c r="BF247" s="49"/>
      <c r="BG247" s="49"/>
      <c r="BH247" s="49"/>
      <c r="BI247" s="49"/>
      <c r="BJ247" s="49"/>
      <c r="BK247" s="111" t="s">
        <v>3626</v>
      </c>
      <c r="BL247" s="111" t="s">
        <v>3626</v>
      </c>
      <c r="BM247" s="111" t="s">
        <v>4074</v>
      </c>
      <c r="BN247" s="111" t="s">
        <v>4074</v>
      </c>
      <c r="BO247" s="2"/>
      <c r="BP247" s="3"/>
      <c r="BQ247" s="3"/>
      <c r="BR247" s="3"/>
      <c r="BS247" s="3"/>
    </row>
    <row r="248" spans="1:71" ht="15">
      <c r="A248" s="65" t="s">
        <v>582</v>
      </c>
      <c r="B248" s="66"/>
      <c r="C248" s="66"/>
      <c r="D248" s="67">
        <v>203.42446448703495</v>
      </c>
      <c r="E248" s="69"/>
      <c r="F248" s="103" t="str">
        <f>HYPERLINK("https://yt3.ggpht.com/ytc/AKedOLTEzaJ7Q5StQXl_hXV22qfVMX2la6FkXR_yGX1Ujw=s88-c-k-c0x00ffffff-no-rj")</f>
        <v>https://yt3.ggpht.com/ytc/AKedOLTEzaJ7Q5StQXl_hXV22qfVMX2la6FkXR_yGX1Ujw=s88-c-k-c0x00ffffff-no-rj</v>
      </c>
      <c r="G248" s="66"/>
      <c r="H248" s="70" t="s">
        <v>1650</v>
      </c>
      <c r="I248" s="71"/>
      <c r="J248" s="71" t="s">
        <v>75</v>
      </c>
      <c r="K248" s="70" t="s">
        <v>1650</v>
      </c>
      <c r="L248" s="74">
        <v>23.30161719068446</v>
      </c>
      <c r="M248" s="75">
        <v>8884.4619140625</v>
      </c>
      <c r="N248" s="75">
        <v>3121.011474609375</v>
      </c>
      <c r="O248" s="76"/>
      <c r="P248" s="77"/>
      <c r="Q248" s="77"/>
      <c r="R248" s="89"/>
      <c r="S248" s="49">
        <v>1</v>
      </c>
      <c r="T248" s="49">
        <v>1</v>
      </c>
      <c r="U248" s="50">
        <v>446</v>
      </c>
      <c r="V248" s="50">
        <v>0.479144</v>
      </c>
      <c r="W248" s="50">
        <v>0.034877</v>
      </c>
      <c r="X248" s="50">
        <v>0.002097</v>
      </c>
      <c r="Y248" s="50">
        <v>0</v>
      </c>
      <c r="Z248" s="50">
        <v>0</v>
      </c>
      <c r="AA248" s="72">
        <v>248</v>
      </c>
      <c r="AB248" s="72"/>
      <c r="AC248" s="73"/>
      <c r="AD248" s="80" t="s">
        <v>1650</v>
      </c>
      <c r="AE248" s="80"/>
      <c r="AF248" s="80"/>
      <c r="AG248" s="80"/>
      <c r="AH248" s="80"/>
      <c r="AI248" s="80"/>
      <c r="AJ248" s="87">
        <v>40400.22263888889</v>
      </c>
      <c r="AK248" s="85" t="str">
        <f>HYPERLINK("https://yt3.ggpht.com/ytc/AKedOLTEzaJ7Q5StQXl_hXV22qfVMX2la6FkXR_yGX1Ujw=s88-c-k-c0x00ffffff-no-rj")</f>
        <v>https://yt3.ggpht.com/ytc/AKedOLTEzaJ7Q5StQXl_hXV22qfVMX2la6FkXR_yGX1Ujw=s88-c-k-c0x00ffffff-no-rj</v>
      </c>
      <c r="AL248" s="80">
        <v>1152</v>
      </c>
      <c r="AM248" s="80">
        <v>0</v>
      </c>
      <c r="AN248" s="80">
        <v>3550</v>
      </c>
      <c r="AO248" s="80" t="b">
        <v>0</v>
      </c>
      <c r="AP248" s="80">
        <v>5</v>
      </c>
      <c r="AQ248" s="80"/>
      <c r="AR248" s="80"/>
      <c r="AS248" s="80" t="s">
        <v>2085</v>
      </c>
      <c r="AT248" s="85" t="str">
        <f>HYPERLINK("https://www.youtube.com/channel/UCLTrGhNFCcd-bxGMfo82ldA")</f>
        <v>https://www.youtube.com/channel/UCLTrGhNFCcd-bxGMfo82ldA</v>
      </c>
      <c r="AU248" s="80" t="str">
        <f>REPLACE(INDEX(GroupVertices[Group],MATCH(Vertices[[#This Row],[Vertex]],GroupVertices[Vertex],0)),1,1,"")</f>
        <v>12</v>
      </c>
      <c r="AV248" s="49">
        <v>0</v>
      </c>
      <c r="AW248" s="50">
        <v>0</v>
      </c>
      <c r="AX248" s="49">
        <v>0</v>
      </c>
      <c r="AY248" s="50">
        <v>0</v>
      </c>
      <c r="AZ248" s="49">
        <v>0</v>
      </c>
      <c r="BA248" s="50">
        <v>0</v>
      </c>
      <c r="BB248" s="49">
        <v>19</v>
      </c>
      <c r="BC248" s="50">
        <v>100</v>
      </c>
      <c r="BD248" s="49">
        <v>19</v>
      </c>
      <c r="BE248" s="49" t="s">
        <v>3264</v>
      </c>
      <c r="BF248" s="49" t="s">
        <v>3264</v>
      </c>
      <c r="BG248" s="49" t="s">
        <v>1922</v>
      </c>
      <c r="BH248" s="49" t="s">
        <v>1922</v>
      </c>
      <c r="BI248" s="49"/>
      <c r="BJ248" s="49"/>
      <c r="BK248" s="111" t="s">
        <v>3627</v>
      </c>
      <c r="BL248" s="111" t="s">
        <v>3627</v>
      </c>
      <c r="BM248" s="111" t="s">
        <v>4075</v>
      </c>
      <c r="BN248" s="111" t="s">
        <v>4075</v>
      </c>
      <c r="BO248" s="2"/>
      <c r="BP248" s="3"/>
      <c r="BQ248" s="3"/>
      <c r="BR248" s="3"/>
      <c r="BS248" s="3"/>
    </row>
    <row r="249" spans="1:71" ht="15">
      <c r="A249" s="65" t="s">
        <v>583</v>
      </c>
      <c r="B249" s="66"/>
      <c r="C249" s="66"/>
      <c r="D249" s="67">
        <v>203.42446448703495</v>
      </c>
      <c r="E249" s="69"/>
      <c r="F249" s="103" t="str">
        <f>HYPERLINK("https://yt3.ggpht.com/ytc/AKedOLRJFNZ6Gm3FPZh2anV-9Obr7B3vC0P9zioKXOyszg=s88-c-k-c0x00ffffff-no-rj")</f>
        <v>https://yt3.ggpht.com/ytc/AKedOLRJFNZ6Gm3FPZh2anV-9Obr7B3vC0P9zioKXOyszg=s88-c-k-c0x00ffffff-no-rj</v>
      </c>
      <c r="G249" s="66"/>
      <c r="H249" s="70" t="s">
        <v>1651</v>
      </c>
      <c r="I249" s="71"/>
      <c r="J249" s="71" t="s">
        <v>75</v>
      </c>
      <c r="K249" s="70" t="s">
        <v>1651</v>
      </c>
      <c r="L249" s="74">
        <v>23.30161719068446</v>
      </c>
      <c r="M249" s="75">
        <v>8523.5634765625</v>
      </c>
      <c r="N249" s="75">
        <v>2804.866455078125</v>
      </c>
      <c r="O249" s="76"/>
      <c r="P249" s="77"/>
      <c r="Q249" s="77"/>
      <c r="R249" s="89"/>
      <c r="S249" s="49">
        <v>2</v>
      </c>
      <c r="T249" s="49">
        <v>2</v>
      </c>
      <c r="U249" s="50">
        <v>446</v>
      </c>
      <c r="V249" s="50">
        <v>0.479144</v>
      </c>
      <c r="W249" s="50">
        <v>0.036631</v>
      </c>
      <c r="X249" s="50">
        <v>0.002208</v>
      </c>
      <c r="Y249" s="50">
        <v>0</v>
      </c>
      <c r="Z249" s="50">
        <v>0</v>
      </c>
      <c r="AA249" s="72">
        <v>249</v>
      </c>
      <c r="AB249" s="72"/>
      <c r="AC249" s="73"/>
      <c r="AD249" s="80" t="s">
        <v>1651</v>
      </c>
      <c r="AE249" s="80" t="s">
        <v>2006</v>
      </c>
      <c r="AF249" s="80"/>
      <c r="AG249" s="80"/>
      <c r="AH249" s="80"/>
      <c r="AI249" s="80"/>
      <c r="AJ249" s="87">
        <v>40222.00204861111</v>
      </c>
      <c r="AK249" s="85" t="str">
        <f>HYPERLINK("https://yt3.ggpht.com/ytc/AKedOLRJFNZ6Gm3FPZh2anV-9Obr7B3vC0P9zioKXOyszg=s88-c-k-c0x00ffffff-no-rj")</f>
        <v>https://yt3.ggpht.com/ytc/AKedOLRJFNZ6Gm3FPZh2anV-9Obr7B3vC0P9zioKXOyszg=s88-c-k-c0x00ffffff-no-rj</v>
      </c>
      <c r="AL249" s="80">
        <v>0</v>
      </c>
      <c r="AM249" s="80">
        <v>0</v>
      </c>
      <c r="AN249" s="80">
        <v>3</v>
      </c>
      <c r="AO249" s="80" t="b">
        <v>0</v>
      </c>
      <c r="AP249" s="80">
        <v>0</v>
      </c>
      <c r="AQ249" s="80"/>
      <c r="AR249" s="80"/>
      <c r="AS249" s="80" t="s">
        <v>2085</v>
      </c>
      <c r="AT249" s="85" t="str">
        <f>HYPERLINK("https://www.youtube.com/channel/UCO5IoBzpZ2jyd_Iw2GVgnig")</f>
        <v>https://www.youtube.com/channel/UCO5IoBzpZ2jyd_Iw2GVgnig</v>
      </c>
      <c r="AU249" s="80" t="str">
        <f>REPLACE(INDEX(GroupVertices[Group],MATCH(Vertices[[#This Row],[Vertex]],GroupVertices[Vertex],0)),1,1,"")</f>
        <v>12</v>
      </c>
      <c r="AV249" s="49">
        <v>12</v>
      </c>
      <c r="AW249" s="50">
        <v>13.043478260869565</v>
      </c>
      <c r="AX249" s="49">
        <v>2</v>
      </c>
      <c r="AY249" s="50">
        <v>2.1739130434782608</v>
      </c>
      <c r="AZ249" s="49">
        <v>0</v>
      </c>
      <c r="BA249" s="50">
        <v>0</v>
      </c>
      <c r="BB249" s="49">
        <v>78</v>
      </c>
      <c r="BC249" s="50">
        <v>84.78260869565217</v>
      </c>
      <c r="BD249" s="49">
        <v>92</v>
      </c>
      <c r="BE249" s="49"/>
      <c r="BF249" s="49"/>
      <c r="BG249" s="49"/>
      <c r="BH249" s="49"/>
      <c r="BI249" s="49"/>
      <c r="BJ249" s="49"/>
      <c r="BK249" s="111" t="s">
        <v>3628</v>
      </c>
      <c r="BL249" s="111" t="s">
        <v>3838</v>
      </c>
      <c r="BM249" s="111" t="s">
        <v>4076</v>
      </c>
      <c r="BN249" s="111" t="s">
        <v>4076</v>
      </c>
      <c r="BO249" s="2"/>
      <c r="BP249" s="3"/>
      <c r="BQ249" s="3"/>
      <c r="BR249" s="3"/>
      <c r="BS249" s="3"/>
    </row>
    <row r="250" spans="1:71" ht="15">
      <c r="A250" s="65" t="s">
        <v>584</v>
      </c>
      <c r="B250" s="66"/>
      <c r="C250" s="66"/>
      <c r="D250" s="67">
        <v>150</v>
      </c>
      <c r="E250" s="69"/>
      <c r="F250" s="103" t="str">
        <f>HYPERLINK("https://yt3.ggpht.com/ytc/AKedOLTrO7gknY4t9de6D1QZb2ifE694eNEJ7iWEzhc6Sg=s88-c-k-c0x00ffffff-no-rj")</f>
        <v>https://yt3.ggpht.com/ytc/AKedOLTrO7gknY4t9de6D1QZb2ifE694eNEJ7iWEzhc6Sg=s88-c-k-c0x00ffffff-no-rj</v>
      </c>
      <c r="G250" s="66"/>
      <c r="H250" s="70" t="s">
        <v>1652</v>
      </c>
      <c r="I250" s="71"/>
      <c r="J250" s="71" t="s">
        <v>159</v>
      </c>
      <c r="K250" s="70" t="s">
        <v>1652</v>
      </c>
      <c r="L250" s="74">
        <v>1</v>
      </c>
      <c r="M250" s="75">
        <v>381.49127197265625</v>
      </c>
      <c r="N250" s="75">
        <v>3594.9111328125</v>
      </c>
      <c r="O250" s="76"/>
      <c r="P250" s="77"/>
      <c r="Q250" s="77"/>
      <c r="R250" s="89"/>
      <c r="S250" s="49">
        <v>0</v>
      </c>
      <c r="T250" s="49">
        <v>1</v>
      </c>
      <c r="U250" s="50">
        <v>0</v>
      </c>
      <c r="V250" s="50">
        <v>0.478122</v>
      </c>
      <c r="W250" s="50">
        <v>0.03471</v>
      </c>
      <c r="X250" s="50">
        <v>0.001935</v>
      </c>
      <c r="Y250" s="50">
        <v>0</v>
      </c>
      <c r="Z250" s="50">
        <v>0</v>
      </c>
      <c r="AA250" s="72">
        <v>250</v>
      </c>
      <c r="AB250" s="72"/>
      <c r="AC250" s="73"/>
      <c r="AD250" s="80" t="s">
        <v>1652</v>
      </c>
      <c r="AE250" s="80" t="s">
        <v>2007</v>
      </c>
      <c r="AF250" s="80"/>
      <c r="AG250" s="80"/>
      <c r="AH250" s="80"/>
      <c r="AI250" s="80"/>
      <c r="AJ250" s="87">
        <v>39941.63560185185</v>
      </c>
      <c r="AK250" s="85" t="str">
        <f>HYPERLINK("https://yt3.ggpht.com/ytc/AKedOLTrO7gknY4t9de6D1QZb2ifE694eNEJ7iWEzhc6Sg=s88-c-k-c0x00ffffff-no-rj")</f>
        <v>https://yt3.ggpht.com/ytc/AKedOLTrO7gknY4t9de6D1QZb2ifE694eNEJ7iWEzhc6Sg=s88-c-k-c0x00ffffff-no-rj</v>
      </c>
      <c r="AL250" s="80">
        <v>24</v>
      </c>
      <c r="AM250" s="80">
        <v>0</v>
      </c>
      <c r="AN250" s="80">
        <v>6</v>
      </c>
      <c r="AO250" s="80" t="b">
        <v>0</v>
      </c>
      <c r="AP250" s="80">
        <v>1</v>
      </c>
      <c r="AQ250" s="80"/>
      <c r="AR250" s="80"/>
      <c r="AS250" s="80" t="s">
        <v>2085</v>
      </c>
      <c r="AT250" s="85" t="str">
        <f>HYPERLINK("https://www.youtube.com/channel/UCupd9jNzWenTOu81RsEgcsQ")</f>
        <v>https://www.youtube.com/channel/UCupd9jNzWenTOu81RsEgcsQ</v>
      </c>
      <c r="AU250" s="80" t="str">
        <f>REPLACE(INDEX(GroupVertices[Group],MATCH(Vertices[[#This Row],[Vertex]],GroupVertices[Vertex],0)),1,1,"")</f>
        <v>1</v>
      </c>
      <c r="AV250" s="49">
        <v>0</v>
      </c>
      <c r="AW250" s="50">
        <v>0</v>
      </c>
      <c r="AX250" s="49">
        <v>0</v>
      </c>
      <c r="AY250" s="50">
        <v>0</v>
      </c>
      <c r="AZ250" s="49">
        <v>0</v>
      </c>
      <c r="BA250" s="50">
        <v>0</v>
      </c>
      <c r="BB250" s="49">
        <v>8</v>
      </c>
      <c r="BC250" s="50">
        <v>100</v>
      </c>
      <c r="BD250" s="49">
        <v>8</v>
      </c>
      <c r="BE250" s="49"/>
      <c r="BF250" s="49"/>
      <c r="BG250" s="49"/>
      <c r="BH250" s="49"/>
      <c r="BI250" s="49"/>
      <c r="BJ250" s="49"/>
      <c r="BK250" s="111" t="s">
        <v>3629</v>
      </c>
      <c r="BL250" s="111" t="s">
        <v>3629</v>
      </c>
      <c r="BM250" s="111" t="s">
        <v>4077</v>
      </c>
      <c r="BN250" s="111" t="s">
        <v>4077</v>
      </c>
      <c r="BO250" s="2"/>
      <c r="BP250" s="3"/>
      <c r="BQ250" s="3"/>
      <c r="BR250" s="3"/>
      <c r="BS250" s="3"/>
    </row>
    <row r="251" spans="1:71" ht="15">
      <c r="A251" s="65" t="s">
        <v>585</v>
      </c>
      <c r="B251" s="66"/>
      <c r="C251" s="66"/>
      <c r="D251" s="67">
        <v>150</v>
      </c>
      <c r="E251" s="69"/>
      <c r="F251" s="103" t="str">
        <f>HYPERLINK("https://yt3.ggpht.com/ytc/AKedOLTHK9h1PO8XzIZMs2lJYUp1mjfGV80OTDQKPsvWhA=s88-c-k-c0x00ffffff-no-rj")</f>
        <v>https://yt3.ggpht.com/ytc/AKedOLTHK9h1PO8XzIZMs2lJYUp1mjfGV80OTDQKPsvWhA=s88-c-k-c0x00ffffff-no-rj</v>
      </c>
      <c r="G251" s="66"/>
      <c r="H251" s="70" t="s">
        <v>1653</v>
      </c>
      <c r="I251" s="71"/>
      <c r="J251" s="71" t="s">
        <v>159</v>
      </c>
      <c r="K251" s="70" t="s">
        <v>1653</v>
      </c>
      <c r="L251" s="74">
        <v>1</v>
      </c>
      <c r="M251" s="75">
        <v>160.29519653320312</v>
      </c>
      <c r="N251" s="75">
        <v>4047.8720703125</v>
      </c>
      <c r="O251" s="76"/>
      <c r="P251" s="77"/>
      <c r="Q251" s="77"/>
      <c r="R251" s="89"/>
      <c r="S251" s="49">
        <v>0</v>
      </c>
      <c r="T251" s="49">
        <v>1</v>
      </c>
      <c r="U251" s="50">
        <v>0</v>
      </c>
      <c r="V251" s="50">
        <v>0.478122</v>
      </c>
      <c r="W251" s="50">
        <v>0.03471</v>
      </c>
      <c r="X251" s="50">
        <v>0.001935</v>
      </c>
      <c r="Y251" s="50">
        <v>0</v>
      </c>
      <c r="Z251" s="50">
        <v>0</v>
      </c>
      <c r="AA251" s="72">
        <v>251</v>
      </c>
      <c r="AB251" s="72"/>
      <c r="AC251" s="73"/>
      <c r="AD251" s="80" t="s">
        <v>1653</v>
      </c>
      <c r="AE251" s="80"/>
      <c r="AF251" s="80"/>
      <c r="AG251" s="80"/>
      <c r="AH251" s="80"/>
      <c r="AI251" s="80"/>
      <c r="AJ251" s="87">
        <v>40655.69354166667</v>
      </c>
      <c r="AK251" s="85" t="str">
        <f>HYPERLINK("https://yt3.ggpht.com/ytc/AKedOLTHK9h1PO8XzIZMs2lJYUp1mjfGV80OTDQKPsvWhA=s88-c-k-c0x00ffffff-no-rj")</f>
        <v>https://yt3.ggpht.com/ytc/AKedOLTHK9h1PO8XzIZMs2lJYUp1mjfGV80OTDQKPsvWhA=s88-c-k-c0x00ffffff-no-rj</v>
      </c>
      <c r="AL251" s="80">
        <v>0</v>
      </c>
      <c r="AM251" s="80">
        <v>0</v>
      </c>
      <c r="AN251" s="80">
        <v>1</v>
      </c>
      <c r="AO251" s="80" t="b">
        <v>0</v>
      </c>
      <c r="AP251" s="80">
        <v>0</v>
      </c>
      <c r="AQ251" s="80"/>
      <c r="AR251" s="80"/>
      <c r="AS251" s="80" t="s">
        <v>2085</v>
      </c>
      <c r="AT251" s="85" t="str">
        <f>HYPERLINK("https://www.youtube.com/channel/UCVh7SYDU1dpR9WyBJ89RQ3w")</f>
        <v>https://www.youtube.com/channel/UCVh7SYDU1dpR9WyBJ89RQ3w</v>
      </c>
      <c r="AU251" s="80" t="str">
        <f>REPLACE(INDEX(GroupVertices[Group],MATCH(Vertices[[#This Row],[Vertex]],GroupVertices[Vertex],0)),1,1,"")</f>
        <v>1</v>
      </c>
      <c r="AV251" s="49">
        <v>2</v>
      </c>
      <c r="AW251" s="50">
        <v>3.508771929824561</v>
      </c>
      <c r="AX251" s="49">
        <v>0</v>
      </c>
      <c r="AY251" s="50">
        <v>0</v>
      </c>
      <c r="AZ251" s="49">
        <v>0</v>
      </c>
      <c r="BA251" s="50">
        <v>0</v>
      </c>
      <c r="BB251" s="49">
        <v>55</v>
      </c>
      <c r="BC251" s="50">
        <v>96.49122807017544</v>
      </c>
      <c r="BD251" s="49">
        <v>57</v>
      </c>
      <c r="BE251" s="49"/>
      <c r="BF251" s="49"/>
      <c r="BG251" s="49"/>
      <c r="BH251" s="49"/>
      <c r="BI251" s="49"/>
      <c r="BJ251" s="49"/>
      <c r="BK251" s="111" t="s">
        <v>3630</v>
      </c>
      <c r="BL251" s="111" t="s">
        <v>3630</v>
      </c>
      <c r="BM251" s="111" t="s">
        <v>4078</v>
      </c>
      <c r="BN251" s="111" t="s">
        <v>4078</v>
      </c>
      <c r="BO251" s="2"/>
      <c r="BP251" s="3"/>
      <c r="BQ251" s="3"/>
      <c r="BR251" s="3"/>
      <c r="BS251" s="3"/>
    </row>
    <row r="252" spans="1:71" ht="15">
      <c r="A252" s="65" t="s">
        <v>586</v>
      </c>
      <c r="B252" s="66"/>
      <c r="C252" s="66"/>
      <c r="D252" s="67">
        <v>150</v>
      </c>
      <c r="E252" s="69"/>
      <c r="F252" s="103" t="str">
        <f>HYPERLINK("https://yt3.ggpht.com/ytc/AKedOLSp3sr7K2smoiWARSjxBsD_BqGyjhNY1MBEvMmv=s88-c-k-c0x00ffffff-no-rj")</f>
        <v>https://yt3.ggpht.com/ytc/AKedOLSp3sr7K2smoiWARSjxBsD_BqGyjhNY1MBEvMmv=s88-c-k-c0x00ffffff-no-rj</v>
      </c>
      <c r="G252" s="66"/>
      <c r="H252" s="70" t="s">
        <v>1654</v>
      </c>
      <c r="I252" s="71"/>
      <c r="J252" s="71" t="s">
        <v>159</v>
      </c>
      <c r="K252" s="70" t="s">
        <v>1654</v>
      </c>
      <c r="L252" s="74">
        <v>1</v>
      </c>
      <c r="M252" s="75">
        <v>1116.8218994140625</v>
      </c>
      <c r="N252" s="75">
        <v>2051.462890625</v>
      </c>
      <c r="O252" s="76"/>
      <c r="P252" s="77"/>
      <c r="Q252" s="77"/>
      <c r="R252" s="89"/>
      <c r="S252" s="49">
        <v>0</v>
      </c>
      <c r="T252" s="49">
        <v>1</v>
      </c>
      <c r="U252" s="50">
        <v>0</v>
      </c>
      <c r="V252" s="50">
        <v>0.478122</v>
      </c>
      <c r="W252" s="50">
        <v>0.03471</v>
      </c>
      <c r="X252" s="50">
        <v>0.001935</v>
      </c>
      <c r="Y252" s="50">
        <v>0</v>
      </c>
      <c r="Z252" s="50">
        <v>0</v>
      </c>
      <c r="AA252" s="72">
        <v>252</v>
      </c>
      <c r="AB252" s="72"/>
      <c r="AC252" s="73"/>
      <c r="AD252" s="80" t="s">
        <v>1654</v>
      </c>
      <c r="AE252" s="80"/>
      <c r="AF252" s="80"/>
      <c r="AG252" s="80"/>
      <c r="AH252" s="80"/>
      <c r="AI252" s="80"/>
      <c r="AJ252" s="87">
        <v>41682.30719907407</v>
      </c>
      <c r="AK252" s="85" t="str">
        <f>HYPERLINK("https://yt3.ggpht.com/ytc/AKedOLSp3sr7K2smoiWARSjxBsD_BqGyjhNY1MBEvMmv=s88-c-k-c0x00ffffff-no-rj")</f>
        <v>https://yt3.ggpht.com/ytc/AKedOLSp3sr7K2smoiWARSjxBsD_BqGyjhNY1MBEvMmv=s88-c-k-c0x00ffffff-no-rj</v>
      </c>
      <c r="AL252" s="80">
        <v>0</v>
      </c>
      <c r="AM252" s="80">
        <v>0</v>
      </c>
      <c r="AN252" s="80">
        <v>2</v>
      </c>
      <c r="AO252" s="80" t="b">
        <v>0</v>
      </c>
      <c r="AP252" s="80">
        <v>0</v>
      </c>
      <c r="AQ252" s="80"/>
      <c r="AR252" s="80"/>
      <c r="AS252" s="80" t="s">
        <v>2085</v>
      </c>
      <c r="AT252" s="85" t="str">
        <f>HYPERLINK("https://www.youtube.com/channel/UCxUstdY9AJBUwEgbZq2_LZA")</f>
        <v>https://www.youtube.com/channel/UCxUstdY9AJBUwEgbZq2_LZA</v>
      </c>
      <c r="AU252" s="80" t="str">
        <f>REPLACE(INDEX(GroupVertices[Group],MATCH(Vertices[[#This Row],[Vertex]],GroupVertices[Vertex],0)),1,1,"")</f>
        <v>1</v>
      </c>
      <c r="AV252" s="49">
        <v>0</v>
      </c>
      <c r="AW252" s="50">
        <v>0</v>
      </c>
      <c r="AX252" s="49">
        <v>0</v>
      </c>
      <c r="AY252" s="50">
        <v>0</v>
      </c>
      <c r="AZ252" s="49">
        <v>0</v>
      </c>
      <c r="BA252" s="50">
        <v>0</v>
      </c>
      <c r="BB252" s="49">
        <v>6</v>
      </c>
      <c r="BC252" s="50">
        <v>100</v>
      </c>
      <c r="BD252" s="49">
        <v>6</v>
      </c>
      <c r="BE252" s="49"/>
      <c r="BF252" s="49"/>
      <c r="BG252" s="49"/>
      <c r="BH252" s="49"/>
      <c r="BI252" s="49"/>
      <c r="BJ252" s="49"/>
      <c r="BK252" s="111" t="s">
        <v>3631</v>
      </c>
      <c r="BL252" s="111" t="s">
        <v>3631</v>
      </c>
      <c r="BM252" s="111" t="s">
        <v>1927</v>
      </c>
      <c r="BN252" s="111" t="s">
        <v>1927</v>
      </c>
      <c r="BO252" s="2"/>
      <c r="BP252" s="3"/>
      <c r="BQ252" s="3"/>
      <c r="BR252" s="3"/>
      <c r="BS252" s="3"/>
    </row>
    <row r="253" spans="1:71" ht="15">
      <c r="A253" s="65" t="s">
        <v>587</v>
      </c>
      <c r="B253" s="66"/>
      <c r="C253" s="66"/>
      <c r="D253" s="67">
        <v>150</v>
      </c>
      <c r="E253" s="69"/>
      <c r="F253" s="103" t="str">
        <f>HYPERLINK("https://yt3.ggpht.com/ytc/AKedOLRs5sDsTsoTcbiB2G-cKe5qnt1Tx7W3BLvd-A=s88-c-k-c0x00ffffff-no-rj")</f>
        <v>https://yt3.ggpht.com/ytc/AKedOLRs5sDsTsoTcbiB2G-cKe5qnt1Tx7W3BLvd-A=s88-c-k-c0x00ffffff-no-rj</v>
      </c>
      <c r="G253" s="66"/>
      <c r="H253" s="70" t="s">
        <v>1655</v>
      </c>
      <c r="I253" s="71"/>
      <c r="J253" s="71" t="s">
        <v>159</v>
      </c>
      <c r="K253" s="70" t="s">
        <v>1655</v>
      </c>
      <c r="L253" s="74">
        <v>1</v>
      </c>
      <c r="M253" s="75">
        <v>811.225830078125</v>
      </c>
      <c r="N253" s="75">
        <v>5169.50341796875</v>
      </c>
      <c r="O253" s="76"/>
      <c r="P253" s="77"/>
      <c r="Q253" s="77"/>
      <c r="R253" s="89"/>
      <c r="S253" s="49">
        <v>0</v>
      </c>
      <c r="T253" s="49">
        <v>1</v>
      </c>
      <c r="U253" s="50">
        <v>0</v>
      </c>
      <c r="V253" s="50">
        <v>0.478122</v>
      </c>
      <c r="W253" s="50">
        <v>0.03471</v>
      </c>
      <c r="X253" s="50">
        <v>0.001935</v>
      </c>
      <c r="Y253" s="50">
        <v>0</v>
      </c>
      <c r="Z253" s="50">
        <v>0</v>
      </c>
      <c r="AA253" s="72">
        <v>253</v>
      </c>
      <c r="AB253" s="72"/>
      <c r="AC253" s="73"/>
      <c r="AD253" s="80" t="s">
        <v>1655</v>
      </c>
      <c r="AE253" s="80"/>
      <c r="AF253" s="80"/>
      <c r="AG253" s="80"/>
      <c r="AH253" s="80"/>
      <c r="AI253" s="80"/>
      <c r="AJ253" s="87">
        <v>40062.316412037035</v>
      </c>
      <c r="AK253" s="85" t="str">
        <f>HYPERLINK("https://yt3.ggpht.com/ytc/AKedOLRs5sDsTsoTcbiB2G-cKe5qnt1Tx7W3BLvd-A=s88-c-k-c0x00ffffff-no-rj")</f>
        <v>https://yt3.ggpht.com/ytc/AKedOLRs5sDsTsoTcbiB2G-cKe5qnt1Tx7W3BLvd-A=s88-c-k-c0x00ffffff-no-rj</v>
      </c>
      <c r="AL253" s="80">
        <v>110</v>
      </c>
      <c r="AM253" s="80">
        <v>0</v>
      </c>
      <c r="AN253" s="80">
        <v>3</v>
      </c>
      <c r="AO253" s="80" t="b">
        <v>0</v>
      </c>
      <c r="AP253" s="80">
        <v>3</v>
      </c>
      <c r="AQ253" s="80"/>
      <c r="AR253" s="80"/>
      <c r="AS253" s="80" t="s">
        <v>2085</v>
      </c>
      <c r="AT253" s="85" t="str">
        <f>HYPERLINK("https://www.youtube.com/channel/UCikRXGtV-s_i21BTIeG35xw")</f>
        <v>https://www.youtube.com/channel/UCikRXGtV-s_i21BTIeG35xw</v>
      </c>
      <c r="AU253" s="80" t="str">
        <f>REPLACE(INDEX(GroupVertices[Group],MATCH(Vertices[[#This Row],[Vertex]],GroupVertices[Vertex],0)),1,1,"")</f>
        <v>1</v>
      </c>
      <c r="AV253" s="49">
        <v>0</v>
      </c>
      <c r="AW253" s="50">
        <v>0</v>
      </c>
      <c r="AX253" s="49">
        <v>0</v>
      </c>
      <c r="AY253" s="50">
        <v>0</v>
      </c>
      <c r="AZ253" s="49">
        <v>0</v>
      </c>
      <c r="BA253" s="50">
        <v>0</v>
      </c>
      <c r="BB253" s="49">
        <v>65</v>
      </c>
      <c r="BC253" s="50">
        <v>100</v>
      </c>
      <c r="BD253" s="49">
        <v>65</v>
      </c>
      <c r="BE253" s="49"/>
      <c r="BF253" s="49"/>
      <c r="BG253" s="49"/>
      <c r="BH253" s="49"/>
      <c r="BI253" s="49"/>
      <c r="BJ253" s="49"/>
      <c r="BK253" s="111" t="s">
        <v>3632</v>
      </c>
      <c r="BL253" s="111" t="s">
        <v>3632</v>
      </c>
      <c r="BM253" s="111" t="s">
        <v>4079</v>
      </c>
      <c r="BN253" s="111" t="s">
        <v>4079</v>
      </c>
      <c r="BO253" s="2"/>
      <c r="BP253" s="3"/>
      <c r="BQ253" s="3"/>
      <c r="BR253" s="3"/>
      <c r="BS253" s="3"/>
    </row>
    <row r="254" spans="1:71" ht="15">
      <c r="A254" s="65" t="s">
        <v>588</v>
      </c>
      <c r="B254" s="66"/>
      <c r="C254" s="66"/>
      <c r="D254" s="67">
        <v>150.119785794814</v>
      </c>
      <c r="E254" s="69"/>
      <c r="F254" s="103" t="str">
        <f>HYPERLINK("https://yt3.ggpht.com/ytc/AKedOLRqwiywchgFb32zcOXoC1to-xnajb-u4Dq12g=s88-c-k-c0x00ffffff-no-rj")</f>
        <v>https://yt3.ggpht.com/ytc/AKedOLRqwiywchgFb32zcOXoC1to-xnajb-u4Dq12g=s88-c-k-c0x00ffffff-no-rj</v>
      </c>
      <c r="G254" s="66"/>
      <c r="H254" s="70" t="s">
        <v>1656</v>
      </c>
      <c r="I254" s="71"/>
      <c r="J254" s="71" t="s">
        <v>75</v>
      </c>
      <c r="K254" s="70" t="s">
        <v>1656</v>
      </c>
      <c r="L254" s="74">
        <v>1.0500036259880818</v>
      </c>
      <c r="M254" s="75">
        <v>8475.7978515625</v>
      </c>
      <c r="N254" s="75">
        <v>1485.1456298828125</v>
      </c>
      <c r="O254" s="76"/>
      <c r="P254" s="77"/>
      <c r="Q254" s="77"/>
      <c r="R254" s="89"/>
      <c r="S254" s="49">
        <v>0</v>
      </c>
      <c r="T254" s="49">
        <v>2</v>
      </c>
      <c r="U254" s="50">
        <v>1</v>
      </c>
      <c r="V254" s="50">
        <v>0.324638</v>
      </c>
      <c r="W254" s="50">
        <v>0.003338</v>
      </c>
      <c r="X254" s="50">
        <v>0.002208</v>
      </c>
      <c r="Y254" s="50">
        <v>0</v>
      </c>
      <c r="Z254" s="50">
        <v>0</v>
      </c>
      <c r="AA254" s="72">
        <v>254</v>
      </c>
      <c r="AB254" s="72"/>
      <c r="AC254" s="73"/>
      <c r="AD254" s="80" t="s">
        <v>1656</v>
      </c>
      <c r="AE254" s="80"/>
      <c r="AF254" s="80"/>
      <c r="AG254" s="80"/>
      <c r="AH254" s="80"/>
      <c r="AI254" s="80"/>
      <c r="AJ254" s="87">
        <v>39727.07472222222</v>
      </c>
      <c r="AK254" s="85" t="str">
        <f>HYPERLINK("https://yt3.ggpht.com/ytc/AKedOLRqwiywchgFb32zcOXoC1to-xnajb-u4Dq12g=s88-c-k-c0x00ffffff-no-rj")</f>
        <v>https://yt3.ggpht.com/ytc/AKedOLRqwiywchgFb32zcOXoC1to-xnajb-u4Dq12g=s88-c-k-c0x00ffffff-no-rj</v>
      </c>
      <c r="AL254" s="80">
        <v>0</v>
      </c>
      <c r="AM254" s="80">
        <v>0</v>
      </c>
      <c r="AN254" s="80">
        <v>6</v>
      </c>
      <c r="AO254" s="80" t="b">
        <v>0</v>
      </c>
      <c r="AP254" s="80">
        <v>0</v>
      </c>
      <c r="AQ254" s="80"/>
      <c r="AR254" s="80"/>
      <c r="AS254" s="80" t="s">
        <v>2085</v>
      </c>
      <c r="AT254" s="85" t="str">
        <f>HYPERLINK("https://www.youtube.com/channel/UCgUhHwLepU37Cq-ragKIpNQ")</f>
        <v>https://www.youtube.com/channel/UCgUhHwLepU37Cq-ragKIpNQ</v>
      </c>
      <c r="AU254" s="80" t="str">
        <f>REPLACE(INDEX(GroupVertices[Group],MATCH(Vertices[[#This Row],[Vertex]],GroupVertices[Vertex],0)),1,1,"")</f>
        <v>10</v>
      </c>
      <c r="AV254" s="49">
        <v>2</v>
      </c>
      <c r="AW254" s="50">
        <v>2.5974025974025974</v>
      </c>
      <c r="AX254" s="49">
        <v>3</v>
      </c>
      <c r="AY254" s="50">
        <v>3.896103896103896</v>
      </c>
      <c r="AZ254" s="49">
        <v>0</v>
      </c>
      <c r="BA254" s="50">
        <v>0</v>
      </c>
      <c r="BB254" s="49">
        <v>72</v>
      </c>
      <c r="BC254" s="50">
        <v>93.50649350649351</v>
      </c>
      <c r="BD254" s="49">
        <v>77</v>
      </c>
      <c r="BE254" s="49"/>
      <c r="BF254" s="49"/>
      <c r="BG254" s="49"/>
      <c r="BH254" s="49"/>
      <c r="BI254" s="49"/>
      <c r="BJ254" s="49"/>
      <c r="BK254" s="111" t="s">
        <v>3633</v>
      </c>
      <c r="BL254" s="111" t="s">
        <v>3633</v>
      </c>
      <c r="BM254" s="111" t="s">
        <v>4080</v>
      </c>
      <c r="BN254" s="111" t="s">
        <v>4080</v>
      </c>
      <c r="BO254" s="2"/>
      <c r="BP254" s="3"/>
      <c r="BQ254" s="3"/>
      <c r="BR254" s="3"/>
      <c r="BS254" s="3"/>
    </row>
    <row r="255" spans="1:71" ht="15">
      <c r="A255" s="65" t="s">
        <v>589</v>
      </c>
      <c r="B255" s="66"/>
      <c r="C255" s="66"/>
      <c r="D255" s="67">
        <v>203.42446448703495</v>
      </c>
      <c r="E255" s="69"/>
      <c r="F255" s="103" t="str">
        <f>HYPERLINK("https://yt3.ggpht.com/ytc/AKedOLRVI8hnlJazdbwSdPh61sEW0qpm12OKByTbHl4Eqg=s88-c-k-c0x00ffffff-no-rj")</f>
        <v>https://yt3.ggpht.com/ytc/AKedOLRVI8hnlJazdbwSdPh61sEW0qpm12OKByTbHl4Eqg=s88-c-k-c0x00ffffff-no-rj</v>
      </c>
      <c r="G255" s="66"/>
      <c r="H255" s="70" t="s">
        <v>1657</v>
      </c>
      <c r="I255" s="71"/>
      <c r="J255" s="71" t="s">
        <v>75</v>
      </c>
      <c r="K255" s="70" t="s">
        <v>1657</v>
      </c>
      <c r="L255" s="74">
        <v>23.30161719068446</v>
      </c>
      <c r="M255" s="75">
        <v>8741.1640625</v>
      </c>
      <c r="N255" s="75">
        <v>1485.1456298828125</v>
      </c>
      <c r="O255" s="76"/>
      <c r="P255" s="77"/>
      <c r="Q255" s="77"/>
      <c r="R255" s="89"/>
      <c r="S255" s="49">
        <v>1</v>
      </c>
      <c r="T255" s="49">
        <v>1</v>
      </c>
      <c r="U255" s="50">
        <v>446</v>
      </c>
      <c r="V255" s="50">
        <v>0.479144</v>
      </c>
      <c r="W255" s="50">
        <v>0.034873</v>
      </c>
      <c r="X255" s="50">
        <v>0.002101</v>
      </c>
      <c r="Y255" s="50">
        <v>0</v>
      </c>
      <c r="Z255" s="50">
        <v>0</v>
      </c>
      <c r="AA255" s="72">
        <v>255</v>
      </c>
      <c r="AB255" s="72"/>
      <c r="AC255" s="73"/>
      <c r="AD255" s="80" t="s">
        <v>1657</v>
      </c>
      <c r="AE255" s="80"/>
      <c r="AF255" s="80"/>
      <c r="AG255" s="80"/>
      <c r="AH255" s="80"/>
      <c r="AI255" s="80"/>
      <c r="AJ255" s="87">
        <v>41528.61844907407</v>
      </c>
      <c r="AK255" s="85" t="str">
        <f>HYPERLINK("https://yt3.ggpht.com/ytc/AKedOLRVI8hnlJazdbwSdPh61sEW0qpm12OKByTbHl4Eqg=s88-c-k-c0x00ffffff-no-rj")</f>
        <v>https://yt3.ggpht.com/ytc/AKedOLRVI8hnlJazdbwSdPh61sEW0qpm12OKByTbHl4Eqg=s88-c-k-c0x00ffffff-no-rj</v>
      </c>
      <c r="AL255" s="80">
        <v>69</v>
      </c>
      <c r="AM255" s="80">
        <v>0</v>
      </c>
      <c r="AN255" s="80">
        <v>9</v>
      </c>
      <c r="AO255" s="80" t="b">
        <v>0</v>
      </c>
      <c r="AP255" s="80">
        <v>4</v>
      </c>
      <c r="AQ255" s="80"/>
      <c r="AR255" s="80"/>
      <c r="AS255" s="80" t="s">
        <v>2085</v>
      </c>
      <c r="AT255" s="85" t="str">
        <f>HYPERLINK("https://www.youtube.com/channel/UCyiHi26uybfcmq0--6DbWqQ")</f>
        <v>https://www.youtube.com/channel/UCyiHi26uybfcmq0--6DbWqQ</v>
      </c>
      <c r="AU255" s="80" t="str">
        <f>REPLACE(INDEX(GroupVertices[Group],MATCH(Vertices[[#This Row],[Vertex]],GroupVertices[Vertex],0)),1,1,"")</f>
        <v>10</v>
      </c>
      <c r="AV255" s="49">
        <v>1</v>
      </c>
      <c r="AW255" s="50">
        <v>1.492537313432836</v>
      </c>
      <c r="AX255" s="49">
        <v>2</v>
      </c>
      <c r="AY255" s="50">
        <v>2.985074626865672</v>
      </c>
      <c r="AZ255" s="49">
        <v>0</v>
      </c>
      <c r="BA255" s="50">
        <v>0</v>
      </c>
      <c r="BB255" s="49">
        <v>64</v>
      </c>
      <c r="BC255" s="50">
        <v>95.5223880597015</v>
      </c>
      <c r="BD255" s="49">
        <v>67</v>
      </c>
      <c r="BE255" s="49"/>
      <c r="BF255" s="49"/>
      <c r="BG255" s="49"/>
      <c r="BH255" s="49"/>
      <c r="BI255" s="49"/>
      <c r="BJ255" s="49"/>
      <c r="BK255" s="111" t="s">
        <v>3634</v>
      </c>
      <c r="BL255" s="111" t="s">
        <v>3634</v>
      </c>
      <c r="BM255" s="111" t="s">
        <v>4081</v>
      </c>
      <c r="BN255" s="111" t="s">
        <v>4081</v>
      </c>
      <c r="BO255" s="2"/>
      <c r="BP255" s="3"/>
      <c r="BQ255" s="3"/>
      <c r="BR255" s="3"/>
      <c r="BS255" s="3"/>
    </row>
    <row r="256" spans="1:71" ht="15">
      <c r="A256" s="65" t="s">
        <v>590</v>
      </c>
      <c r="B256" s="66"/>
      <c r="C256" s="66"/>
      <c r="D256" s="67">
        <v>150</v>
      </c>
      <c r="E256" s="69"/>
      <c r="F256" s="103" t="str">
        <f>HYPERLINK("https://yt3.ggpht.com/ytc/AKedOLRB4O5WfiWi2DTiB7iS9AF2jfYI70w-8SK9Rw=s88-c-k-c0x00ffffff-no-rj")</f>
        <v>https://yt3.ggpht.com/ytc/AKedOLRB4O5WfiWi2DTiB7iS9AF2jfYI70w-8SK9Rw=s88-c-k-c0x00ffffff-no-rj</v>
      </c>
      <c r="G256" s="66"/>
      <c r="H256" s="70" t="s">
        <v>1658</v>
      </c>
      <c r="I256" s="71"/>
      <c r="J256" s="71" t="s">
        <v>159</v>
      </c>
      <c r="K256" s="70" t="s">
        <v>1658</v>
      </c>
      <c r="L256" s="74">
        <v>1</v>
      </c>
      <c r="M256" s="75">
        <v>4215.041015625</v>
      </c>
      <c r="N256" s="75">
        <v>5160.8251953125</v>
      </c>
      <c r="O256" s="76"/>
      <c r="P256" s="77"/>
      <c r="Q256" s="77"/>
      <c r="R256" s="89"/>
      <c r="S256" s="49">
        <v>0</v>
      </c>
      <c r="T256" s="49">
        <v>1</v>
      </c>
      <c r="U256" s="50">
        <v>0</v>
      </c>
      <c r="V256" s="50">
        <v>0.478122</v>
      </c>
      <c r="W256" s="50">
        <v>0.03471</v>
      </c>
      <c r="X256" s="50">
        <v>0.001935</v>
      </c>
      <c r="Y256" s="50">
        <v>0</v>
      </c>
      <c r="Z256" s="50">
        <v>0</v>
      </c>
      <c r="AA256" s="72">
        <v>256</v>
      </c>
      <c r="AB256" s="72"/>
      <c r="AC256" s="73"/>
      <c r="AD256" s="80" t="s">
        <v>1658</v>
      </c>
      <c r="AE256" s="80"/>
      <c r="AF256" s="80"/>
      <c r="AG256" s="80"/>
      <c r="AH256" s="80"/>
      <c r="AI256" s="80"/>
      <c r="AJ256" s="87">
        <v>41220.417858796296</v>
      </c>
      <c r="AK256" s="85" t="str">
        <f>HYPERLINK("https://yt3.ggpht.com/ytc/AKedOLRB4O5WfiWi2DTiB7iS9AF2jfYI70w-8SK9Rw=s88-c-k-c0x00ffffff-no-rj")</f>
        <v>https://yt3.ggpht.com/ytc/AKedOLRB4O5WfiWi2DTiB7iS9AF2jfYI70w-8SK9Rw=s88-c-k-c0x00ffffff-no-rj</v>
      </c>
      <c r="AL256" s="80">
        <v>31164</v>
      </c>
      <c r="AM256" s="80">
        <v>0</v>
      </c>
      <c r="AN256" s="80">
        <v>30</v>
      </c>
      <c r="AO256" s="80" t="b">
        <v>0</v>
      </c>
      <c r="AP256" s="80">
        <v>3</v>
      </c>
      <c r="AQ256" s="80"/>
      <c r="AR256" s="80"/>
      <c r="AS256" s="80" t="s">
        <v>2085</v>
      </c>
      <c r="AT256" s="85" t="str">
        <f>HYPERLINK("https://www.youtube.com/channel/UCw0xhJL77u6VehiAEOKq6kg")</f>
        <v>https://www.youtube.com/channel/UCw0xhJL77u6VehiAEOKq6kg</v>
      </c>
      <c r="AU256" s="80" t="str">
        <f>REPLACE(INDEX(GroupVertices[Group],MATCH(Vertices[[#This Row],[Vertex]],GroupVertices[Vertex],0)),1,1,"")</f>
        <v>1</v>
      </c>
      <c r="AV256" s="49">
        <v>19</v>
      </c>
      <c r="AW256" s="50">
        <v>2.878787878787879</v>
      </c>
      <c r="AX256" s="49">
        <v>33</v>
      </c>
      <c r="AY256" s="50">
        <v>5</v>
      </c>
      <c r="AZ256" s="49">
        <v>0</v>
      </c>
      <c r="BA256" s="50">
        <v>0</v>
      </c>
      <c r="BB256" s="49">
        <v>608</v>
      </c>
      <c r="BC256" s="50">
        <v>92.12121212121212</v>
      </c>
      <c r="BD256" s="49">
        <v>660</v>
      </c>
      <c r="BE256" s="49" t="s">
        <v>3384</v>
      </c>
      <c r="BF256" s="49" t="s">
        <v>3384</v>
      </c>
      <c r="BG256" s="49" t="s">
        <v>1922</v>
      </c>
      <c r="BH256" s="49" t="s">
        <v>1922</v>
      </c>
      <c r="BI256" s="49"/>
      <c r="BJ256" s="49"/>
      <c r="BK256" s="111" t="s">
        <v>3635</v>
      </c>
      <c r="BL256" s="111" t="s">
        <v>3635</v>
      </c>
      <c r="BM256" s="111" t="s">
        <v>4082</v>
      </c>
      <c r="BN256" s="111" t="s">
        <v>4082</v>
      </c>
      <c r="BO256" s="2"/>
      <c r="BP256" s="3"/>
      <c r="BQ256" s="3"/>
      <c r="BR256" s="3"/>
      <c r="BS256" s="3"/>
    </row>
    <row r="257" spans="1:71" ht="15">
      <c r="A257" s="65" t="s">
        <v>591</v>
      </c>
      <c r="B257" s="66"/>
      <c r="C257" s="66"/>
      <c r="D257" s="67">
        <v>150</v>
      </c>
      <c r="E257" s="69"/>
      <c r="F257" s="103" t="str">
        <f>HYPERLINK("https://yt3.ggpht.com/ytc/AKedOLSp7fCgkxS2xaa9C94Gb_oHEnNEKPeGRUc0jg=s88-c-k-c0x00ffffff-no-rj")</f>
        <v>https://yt3.ggpht.com/ytc/AKedOLSp7fCgkxS2xaa9C94Gb_oHEnNEKPeGRUc0jg=s88-c-k-c0x00ffffff-no-rj</v>
      </c>
      <c r="G257" s="66"/>
      <c r="H257" s="70" t="s">
        <v>1631</v>
      </c>
      <c r="I257" s="71"/>
      <c r="J257" s="71" t="s">
        <v>159</v>
      </c>
      <c r="K257" s="70" t="s">
        <v>1631</v>
      </c>
      <c r="L257" s="74">
        <v>1</v>
      </c>
      <c r="M257" s="75">
        <v>2604.031005859375</v>
      </c>
      <c r="N257" s="75">
        <v>613.6767578125</v>
      </c>
      <c r="O257" s="76"/>
      <c r="P257" s="77"/>
      <c r="Q257" s="77"/>
      <c r="R257" s="89"/>
      <c r="S257" s="49">
        <v>0</v>
      </c>
      <c r="T257" s="49">
        <v>1</v>
      </c>
      <c r="U257" s="50">
        <v>0</v>
      </c>
      <c r="V257" s="50">
        <v>0.478122</v>
      </c>
      <c r="W257" s="50">
        <v>0.03471</v>
      </c>
      <c r="X257" s="50">
        <v>0.001935</v>
      </c>
      <c r="Y257" s="50">
        <v>0</v>
      </c>
      <c r="Z257" s="50">
        <v>0</v>
      </c>
      <c r="AA257" s="72">
        <v>257</v>
      </c>
      <c r="AB257" s="72"/>
      <c r="AC257" s="73"/>
      <c r="AD257" s="80" t="s">
        <v>1631</v>
      </c>
      <c r="AE257" s="80"/>
      <c r="AF257" s="80"/>
      <c r="AG257" s="80"/>
      <c r="AH257" s="80"/>
      <c r="AI257" s="80"/>
      <c r="AJ257" s="87">
        <v>41832.96907407408</v>
      </c>
      <c r="AK257" s="85" t="str">
        <f>HYPERLINK("https://yt3.ggpht.com/ytc/AKedOLSp7fCgkxS2xaa9C94Gb_oHEnNEKPeGRUc0jg=s88-c-k-c0x00ffffff-no-rj")</f>
        <v>https://yt3.ggpht.com/ytc/AKedOLSp7fCgkxS2xaa9C94Gb_oHEnNEKPeGRUc0jg=s88-c-k-c0x00ffffff-no-rj</v>
      </c>
      <c r="AL257" s="80">
        <v>0</v>
      </c>
      <c r="AM257" s="80">
        <v>0</v>
      </c>
      <c r="AN257" s="80">
        <v>0</v>
      </c>
      <c r="AO257" s="80" t="b">
        <v>0</v>
      </c>
      <c r="AP257" s="80">
        <v>0</v>
      </c>
      <c r="AQ257" s="80"/>
      <c r="AR257" s="80"/>
      <c r="AS257" s="80" t="s">
        <v>2085</v>
      </c>
      <c r="AT257" s="85" t="str">
        <f>HYPERLINK("https://www.youtube.com/channel/UCv2Nf0LggXxUtPqmYWGjF2Q")</f>
        <v>https://www.youtube.com/channel/UCv2Nf0LggXxUtPqmYWGjF2Q</v>
      </c>
      <c r="AU257" s="80" t="str">
        <f>REPLACE(INDEX(GroupVertices[Group],MATCH(Vertices[[#This Row],[Vertex]],GroupVertices[Vertex],0)),1,1,"")</f>
        <v>1</v>
      </c>
      <c r="AV257" s="49">
        <v>2</v>
      </c>
      <c r="AW257" s="50">
        <v>3.5714285714285716</v>
      </c>
      <c r="AX257" s="49">
        <v>0</v>
      </c>
      <c r="AY257" s="50">
        <v>0</v>
      </c>
      <c r="AZ257" s="49">
        <v>0</v>
      </c>
      <c r="BA257" s="50">
        <v>0</v>
      </c>
      <c r="BB257" s="49">
        <v>54</v>
      </c>
      <c r="BC257" s="50">
        <v>96.42857142857143</v>
      </c>
      <c r="BD257" s="49">
        <v>56</v>
      </c>
      <c r="BE257" s="49"/>
      <c r="BF257" s="49"/>
      <c r="BG257" s="49"/>
      <c r="BH257" s="49"/>
      <c r="BI257" s="49"/>
      <c r="BJ257" s="49"/>
      <c r="BK257" s="111" t="s">
        <v>3636</v>
      </c>
      <c r="BL257" s="111" t="s">
        <v>3636</v>
      </c>
      <c r="BM257" s="111" t="s">
        <v>4083</v>
      </c>
      <c r="BN257" s="111" t="s">
        <v>4083</v>
      </c>
      <c r="BO257" s="2"/>
      <c r="BP257" s="3"/>
      <c r="BQ257" s="3"/>
      <c r="BR257" s="3"/>
      <c r="BS257" s="3"/>
    </row>
    <row r="258" spans="1:71" ht="15">
      <c r="A258" s="65" t="s">
        <v>592</v>
      </c>
      <c r="B258" s="66"/>
      <c r="C258" s="66"/>
      <c r="D258" s="67">
        <v>185.89580988585118</v>
      </c>
      <c r="E258" s="69"/>
      <c r="F258" s="103" t="str">
        <f>HYPERLINK("https://yt3.ggpht.com/ytc/AKedOLSyJzVpvQh2tJETpUzacPymxnGShyg5Ks7naFiUsA=s88-c-k-c0x00ffffff-no-rj")</f>
        <v>https://yt3.ggpht.com/ytc/AKedOLSyJzVpvQh2tJETpUzacPymxnGShyg5Ks7naFiUsA=s88-c-k-c0x00ffffff-no-rj</v>
      </c>
      <c r="G258" s="66"/>
      <c r="H258" s="70" t="s">
        <v>1659</v>
      </c>
      <c r="I258" s="71"/>
      <c r="J258" s="71" t="s">
        <v>75</v>
      </c>
      <c r="K258" s="70" t="s">
        <v>1659</v>
      </c>
      <c r="L258" s="74">
        <v>15.984419937763041</v>
      </c>
      <c r="M258" s="75">
        <v>9113.388671875</v>
      </c>
      <c r="N258" s="75">
        <v>7514.9638671875</v>
      </c>
      <c r="O258" s="76"/>
      <c r="P258" s="77"/>
      <c r="Q258" s="77"/>
      <c r="R258" s="89"/>
      <c r="S258" s="49">
        <v>2</v>
      </c>
      <c r="T258" s="49">
        <v>1</v>
      </c>
      <c r="U258" s="50">
        <v>299.666667</v>
      </c>
      <c r="V258" s="50">
        <v>0.480687</v>
      </c>
      <c r="W258" s="50">
        <v>0.036804</v>
      </c>
      <c r="X258" s="50">
        <v>0.002129</v>
      </c>
      <c r="Y258" s="50">
        <v>0.16666666666666666</v>
      </c>
      <c r="Z258" s="50">
        <v>0</v>
      </c>
      <c r="AA258" s="72">
        <v>258</v>
      </c>
      <c r="AB258" s="72"/>
      <c r="AC258" s="73"/>
      <c r="AD258" s="80" t="s">
        <v>1659</v>
      </c>
      <c r="AE258" s="80" t="s">
        <v>2008</v>
      </c>
      <c r="AF258" s="80"/>
      <c r="AG258" s="80"/>
      <c r="AH258" s="80"/>
      <c r="AI258" s="80"/>
      <c r="AJ258" s="87">
        <v>40878.83628472222</v>
      </c>
      <c r="AK258" s="85" t="str">
        <f>HYPERLINK("https://yt3.ggpht.com/ytc/AKedOLSyJzVpvQh2tJETpUzacPymxnGShyg5Ks7naFiUsA=s88-c-k-c0x00ffffff-no-rj")</f>
        <v>https://yt3.ggpht.com/ytc/AKedOLSyJzVpvQh2tJETpUzacPymxnGShyg5Ks7naFiUsA=s88-c-k-c0x00ffffff-no-rj</v>
      </c>
      <c r="AL258" s="80">
        <v>17563</v>
      </c>
      <c r="AM258" s="80">
        <v>0</v>
      </c>
      <c r="AN258" s="80">
        <v>120</v>
      </c>
      <c r="AO258" s="80" t="b">
        <v>0</v>
      </c>
      <c r="AP258" s="80">
        <v>2</v>
      </c>
      <c r="AQ258" s="80"/>
      <c r="AR258" s="80"/>
      <c r="AS258" s="80" t="s">
        <v>2085</v>
      </c>
      <c r="AT258" s="85" t="str">
        <f>HYPERLINK("https://www.youtube.com/channel/UCfvHLuZ-MqM2aQEFk0pwU5Q")</f>
        <v>https://www.youtube.com/channel/UCfvHLuZ-MqM2aQEFk0pwU5Q</v>
      </c>
      <c r="AU258" s="80" t="str">
        <f>REPLACE(INDEX(GroupVertices[Group],MATCH(Vertices[[#This Row],[Vertex]],GroupVertices[Vertex],0)),1,1,"")</f>
        <v>3</v>
      </c>
      <c r="AV258" s="49">
        <v>1</v>
      </c>
      <c r="AW258" s="50">
        <v>11.11111111111111</v>
      </c>
      <c r="AX258" s="49">
        <v>0</v>
      </c>
      <c r="AY258" s="50">
        <v>0</v>
      </c>
      <c r="AZ258" s="49">
        <v>0</v>
      </c>
      <c r="BA258" s="50">
        <v>0</v>
      </c>
      <c r="BB258" s="49">
        <v>8</v>
      </c>
      <c r="BC258" s="50">
        <v>88.88888888888889</v>
      </c>
      <c r="BD258" s="49">
        <v>9</v>
      </c>
      <c r="BE258" s="49"/>
      <c r="BF258" s="49"/>
      <c r="BG258" s="49"/>
      <c r="BH258" s="49"/>
      <c r="BI258" s="49"/>
      <c r="BJ258" s="49"/>
      <c r="BK258" s="111" t="s">
        <v>3637</v>
      </c>
      <c r="BL258" s="111" t="s">
        <v>3637</v>
      </c>
      <c r="BM258" s="111" t="s">
        <v>4084</v>
      </c>
      <c r="BN258" s="111" t="s">
        <v>4084</v>
      </c>
      <c r="BO258" s="2"/>
      <c r="BP258" s="3"/>
      <c r="BQ258" s="3"/>
      <c r="BR258" s="3"/>
      <c r="BS258" s="3"/>
    </row>
    <row r="259" spans="1:71" ht="15">
      <c r="A259" s="65" t="s">
        <v>593</v>
      </c>
      <c r="B259" s="66"/>
      <c r="C259" s="66"/>
      <c r="D259" s="67">
        <v>150</v>
      </c>
      <c r="E259" s="69"/>
      <c r="F259" s="103" t="str">
        <f>HYPERLINK("https://yt3.ggpht.com/ytc/AKedOLR3Mu1eHwWI2Pw4TGnvpJET_KiA4ePnqgx85oTL=s88-c-k-c0x00ffffff-no-rj")</f>
        <v>https://yt3.ggpht.com/ytc/AKedOLR3Mu1eHwWI2Pw4TGnvpJET_KiA4ePnqgx85oTL=s88-c-k-c0x00ffffff-no-rj</v>
      </c>
      <c r="G259" s="66"/>
      <c r="H259" s="70" t="s">
        <v>1660</v>
      </c>
      <c r="I259" s="71"/>
      <c r="J259" s="71" t="s">
        <v>159</v>
      </c>
      <c r="K259" s="70" t="s">
        <v>1660</v>
      </c>
      <c r="L259" s="74">
        <v>1</v>
      </c>
      <c r="M259" s="75">
        <v>4240.32568359375</v>
      </c>
      <c r="N259" s="75">
        <v>1477.8966064453125</v>
      </c>
      <c r="O259" s="76"/>
      <c r="P259" s="77"/>
      <c r="Q259" s="77"/>
      <c r="R259" s="89"/>
      <c r="S259" s="49">
        <v>0</v>
      </c>
      <c r="T259" s="49">
        <v>1</v>
      </c>
      <c r="U259" s="50">
        <v>0</v>
      </c>
      <c r="V259" s="50">
        <v>0.478122</v>
      </c>
      <c r="W259" s="50">
        <v>0.03471</v>
      </c>
      <c r="X259" s="50">
        <v>0.001935</v>
      </c>
      <c r="Y259" s="50">
        <v>0</v>
      </c>
      <c r="Z259" s="50">
        <v>0</v>
      </c>
      <c r="AA259" s="72">
        <v>259</v>
      </c>
      <c r="AB259" s="72"/>
      <c r="AC259" s="73"/>
      <c r="AD259" s="80" t="s">
        <v>1660</v>
      </c>
      <c r="AE259" s="80" t="s">
        <v>2009</v>
      </c>
      <c r="AF259" s="80"/>
      <c r="AG259" s="80"/>
      <c r="AH259" s="80"/>
      <c r="AI259" s="80"/>
      <c r="AJ259" s="87">
        <v>41398.375023148146</v>
      </c>
      <c r="AK259" s="85" t="str">
        <f>HYPERLINK("https://yt3.ggpht.com/ytc/AKedOLR3Mu1eHwWI2Pw4TGnvpJET_KiA4ePnqgx85oTL=s88-c-k-c0x00ffffff-no-rj")</f>
        <v>https://yt3.ggpht.com/ytc/AKedOLR3Mu1eHwWI2Pw4TGnvpJET_KiA4ePnqgx85oTL=s88-c-k-c0x00ffffff-no-rj</v>
      </c>
      <c r="AL259" s="80">
        <v>0</v>
      </c>
      <c r="AM259" s="80">
        <v>0</v>
      </c>
      <c r="AN259" s="80">
        <v>15</v>
      </c>
      <c r="AO259" s="80" t="b">
        <v>0</v>
      </c>
      <c r="AP259" s="80">
        <v>0</v>
      </c>
      <c r="AQ259" s="80"/>
      <c r="AR259" s="80"/>
      <c r="AS259" s="80" t="s">
        <v>2085</v>
      </c>
      <c r="AT259" s="85" t="str">
        <f>HYPERLINK("https://www.youtube.com/channel/UCvBIiV2A1cPQImosZ4OS3eA")</f>
        <v>https://www.youtube.com/channel/UCvBIiV2A1cPQImosZ4OS3eA</v>
      </c>
      <c r="AU259" s="80" t="str">
        <f>REPLACE(INDEX(GroupVertices[Group],MATCH(Vertices[[#This Row],[Vertex]],GroupVertices[Vertex],0)),1,1,"")</f>
        <v>1</v>
      </c>
      <c r="AV259" s="49">
        <v>3</v>
      </c>
      <c r="AW259" s="50">
        <v>3.658536585365854</v>
      </c>
      <c r="AX259" s="49">
        <v>0</v>
      </c>
      <c r="AY259" s="50">
        <v>0</v>
      </c>
      <c r="AZ259" s="49">
        <v>0</v>
      </c>
      <c r="BA259" s="50">
        <v>0</v>
      </c>
      <c r="BB259" s="49">
        <v>79</v>
      </c>
      <c r="BC259" s="50">
        <v>96.34146341463415</v>
      </c>
      <c r="BD259" s="49">
        <v>82</v>
      </c>
      <c r="BE259" s="49"/>
      <c r="BF259" s="49"/>
      <c r="BG259" s="49"/>
      <c r="BH259" s="49"/>
      <c r="BI259" s="49"/>
      <c r="BJ259" s="49"/>
      <c r="BK259" s="111" t="s">
        <v>3638</v>
      </c>
      <c r="BL259" s="111" t="s">
        <v>3638</v>
      </c>
      <c r="BM259" s="111" t="s">
        <v>4085</v>
      </c>
      <c r="BN259" s="111" t="s">
        <v>4085</v>
      </c>
      <c r="BO259" s="2"/>
      <c r="BP259" s="3"/>
      <c r="BQ259" s="3"/>
      <c r="BR259" s="3"/>
      <c r="BS259" s="3"/>
    </row>
    <row r="260" spans="1:71" ht="15">
      <c r="A260" s="65" t="s">
        <v>594</v>
      </c>
      <c r="B260" s="66"/>
      <c r="C260" s="66"/>
      <c r="D260" s="67">
        <v>150</v>
      </c>
      <c r="E260" s="69"/>
      <c r="F260" s="103" t="str">
        <f>HYPERLINK("https://yt3.ggpht.com/ytc/AKedOLQ94YL_nwFBkBFRkdIgRpP-6iKmNua1wtg6UKBR=s88-c-k-c0x00ffffff-no-rj")</f>
        <v>https://yt3.ggpht.com/ytc/AKedOLQ94YL_nwFBkBFRkdIgRpP-6iKmNua1wtg6UKBR=s88-c-k-c0x00ffffff-no-rj</v>
      </c>
      <c r="G260" s="66"/>
      <c r="H260" s="70" t="s">
        <v>1661</v>
      </c>
      <c r="I260" s="71"/>
      <c r="J260" s="71" t="s">
        <v>159</v>
      </c>
      <c r="K260" s="70" t="s">
        <v>1661</v>
      </c>
      <c r="L260" s="74">
        <v>1</v>
      </c>
      <c r="M260" s="75">
        <v>4162.28369140625</v>
      </c>
      <c r="N260" s="75">
        <v>3335.241943359375</v>
      </c>
      <c r="O260" s="76"/>
      <c r="P260" s="77"/>
      <c r="Q260" s="77"/>
      <c r="R260" s="89"/>
      <c r="S260" s="49">
        <v>0</v>
      </c>
      <c r="T260" s="49">
        <v>1</v>
      </c>
      <c r="U260" s="50">
        <v>0</v>
      </c>
      <c r="V260" s="50">
        <v>0.478122</v>
      </c>
      <c r="W260" s="50">
        <v>0.03471</v>
      </c>
      <c r="X260" s="50">
        <v>0.001935</v>
      </c>
      <c r="Y260" s="50">
        <v>0</v>
      </c>
      <c r="Z260" s="50">
        <v>0</v>
      </c>
      <c r="AA260" s="72">
        <v>260</v>
      </c>
      <c r="AB260" s="72"/>
      <c r="AC260" s="73"/>
      <c r="AD260" s="80" t="s">
        <v>1661</v>
      </c>
      <c r="AE260" s="80" t="s">
        <v>2010</v>
      </c>
      <c r="AF260" s="80"/>
      <c r="AG260" s="80"/>
      <c r="AH260" s="80"/>
      <c r="AI260" s="80"/>
      <c r="AJ260" s="87">
        <v>41884.36210648148</v>
      </c>
      <c r="AK260" s="85" t="str">
        <f>HYPERLINK("https://yt3.ggpht.com/ytc/AKedOLQ94YL_nwFBkBFRkdIgRpP-6iKmNua1wtg6UKBR=s88-c-k-c0x00ffffff-no-rj")</f>
        <v>https://yt3.ggpht.com/ytc/AKedOLQ94YL_nwFBkBFRkdIgRpP-6iKmNua1wtg6UKBR=s88-c-k-c0x00ffffff-no-rj</v>
      </c>
      <c r="AL260" s="80">
        <v>80</v>
      </c>
      <c r="AM260" s="80">
        <v>0</v>
      </c>
      <c r="AN260" s="80">
        <v>3</v>
      </c>
      <c r="AO260" s="80" t="b">
        <v>0</v>
      </c>
      <c r="AP260" s="80">
        <v>1</v>
      </c>
      <c r="AQ260" s="80"/>
      <c r="AR260" s="80"/>
      <c r="AS260" s="80" t="s">
        <v>2085</v>
      </c>
      <c r="AT260" s="85" t="str">
        <f>HYPERLINK("https://www.youtube.com/channel/UCsC1IN_InJGyZK8k0JWQpgQ")</f>
        <v>https://www.youtube.com/channel/UCsC1IN_InJGyZK8k0JWQpgQ</v>
      </c>
      <c r="AU260" s="80" t="str">
        <f>REPLACE(INDEX(GroupVertices[Group],MATCH(Vertices[[#This Row],[Vertex]],GroupVertices[Vertex],0)),1,1,"")</f>
        <v>1</v>
      </c>
      <c r="AV260" s="49">
        <v>0</v>
      </c>
      <c r="AW260" s="50">
        <v>0</v>
      </c>
      <c r="AX260" s="49">
        <v>2</v>
      </c>
      <c r="AY260" s="50">
        <v>5.405405405405405</v>
      </c>
      <c r="AZ260" s="49">
        <v>0</v>
      </c>
      <c r="BA260" s="50">
        <v>0</v>
      </c>
      <c r="BB260" s="49">
        <v>35</v>
      </c>
      <c r="BC260" s="50">
        <v>94.5945945945946</v>
      </c>
      <c r="BD260" s="49">
        <v>37</v>
      </c>
      <c r="BE260" s="49"/>
      <c r="BF260" s="49"/>
      <c r="BG260" s="49"/>
      <c r="BH260" s="49"/>
      <c r="BI260" s="49"/>
      <c r="BJ260" s="49"/>
      <c r="BK260" s="111" t="s">
        <v>3639</v>
      </c>
      <c r="BL260" s="111" t="s">
        <v>3639</v>
      </c>
      <c r="BM260" s="111" t="s">
        <v>4086</v>
      </c>
      <c r="BN260" s="111" t="s">
        <v>4086</v>
      </c>
      <c r="BO260" s="2"/>
      <c r="BP260" s="3"/>
      <c r="BQ260" s="3"/>
      <c r="BR260" s="3"/>
      <c r="BS260" s="3"/>
    </row>
    <row r="261" spans="1:71" ht="15">
      <c r="A261" s="65" t="s">
        <v>595</v>
      </c>
      <c r="B261" s="66"/>
      <c r="C261" s="66"/>
      <c r="D261" s="67">
        <v>150</v>
      </c>
      <c r="E261" s="69"/>
      <c r="F261" s="103" t="str">
        <f>HYPERLINK("https://yt3.ggpht.com/ytc/AKedOLT1fx9IpZs2wXyW4yrx8verufyQrETWLRPd=s88-c-k-c0x00ffffff-no-rj")</f>
        <v>https://yt3.ggpht.com/ytc/AKedOLT1fx9IpZs2wXyW4yrx8verufyQrETWLRPd=s88-c-k-c0x00ffffff-no-rj</v>
      </c>
      <c r="G261" s="66"/>
      <c r="H261" s="70" t="s">
        <v>1662</v>
      </c>
      <c r="I261" s="71"/>
      <c r="J261" s="71" t="s">
        <v>159</v>
      </c>
      <c r="K261" s="70" t="s">
        <v>1662</v>
      </c>
      <c r="L261" s="74">
        <v>1</v>
      </c>
      <c r="M261" s="75">
        <v>4314.1630859375</v>
      </c>
      <c r="N261" s="75">
        <v>9097.4658203125</v>
      </c>
      <c r="O261" s="76"/>
      <c r="P261" s="77"/>
      <c r="Q261" s="77"/>
      <c r="R261" s="89"/>
      <c r="S261" s="49">
        <v>0</v>
      </c>
      <c r="T261" s="49">
        <v>1</v>
      </c>
      <c r="U261" s="50">
        <v>0</v>
      </c>
      <c r="V261" s="50">
        <v>0.478122</v>
      </c>
      <c r="W261" s="50">
        <v>0.03471</v>
      </c>
      <c r="X261" s="50">
        <v>0.001935</v>
      </c>
      <c r="Y261" s="50">
        <v>0</v>
      </c>
      <c r="Z261" s="50">
        <v>0</v>
      </c>
      <c r="AA261" s="72">
        <v>261</v>
      </c>
      <c r="AB261" s="72"/>
      <c r="AC261" s="73"/>
      <c r="AD261" s="80" t="s">
        <v>1662</v>
      </c>
      <c r="AE261" s="80"/>
      <c r="AF261" s="80"/>
      <c r="AG261" s="80"/>
      <c r="AH261" s="80"/>
      <c r="AI261" s="80"/>
      <c r="AJ261" s="87">
        <v>41820.486550925925</v>
      </c>
      <c r="AK261" s="85" t="str">
        <f>HYPERLINK("https://yt3.ggpht.com/ytc/AKedOLT1fx9IpZs2wXyW4yrx8verufyQrETWLRPd=s88-c-k-c0x00ffffff-no-rj")</f>
        <v>https://yt3.ggpht.com/ytc/AKedOLT1fx9IpZs2wXyW4yrx8verufyQrETWLRPd=s88-c-k-c0x00ffffff-no-rj</v>
      </c>
      <c r="AL261" s="80">
        <v>0</v>
      </c>
      <c r="AM261" s="80">
        <v>0</v>
      </c>
      <c r="AN261" s="80">
        <v>1</v>
      </c>
      <c r="AO261" s="80" t="b">
        <v>0</v>
      </c>
      <c r="AP261" s="80">
        <v>0</v>
      </c>
      <c r="AQ261" s="80"/>
      <c r="AR261" s="80"/>
      <c r="AS261" s="80" t="s">
        <v>2085</v>
      </c>
      <c r="AT261" s="85" t="str">
        <f>HYPERLINK("https://www.youtube.com/channel/UC5qGdXO5DJnU6w-vU4hpOxQ")</f>
        <v>https://www.youtube.com/channel/UC5qGdXO5DJnU6w-vU4hpOxQ</v>
      </c>
      <c r="AU261" s="80" t="str">
        <f>REPLACE(INDEX(GroupVertices[Group],MATCH(Vertices[[#This Row],[Vertex]],GroupVertices[Vertex],0)),1,1,"")</f>
        <v>1</v>
      </c>
      <c r="AV261" s="49">
        <v>0</v>
      </c>
      <c r="AW261" s="50">
        <v>0</v>
      </c>
      <c r="AX261" s="49">
        <v>0</v>
      </c>
      <c r="AY261" s="50">
        <v>0</v>
      </c>
      <c r="AZ261" s="49">
        <v>0</v>
      </c>
      <c r="BA261" s="50">
        <v>0</v>
      </c>
      <c r="BB261" s="49">
        <v>13</v>
      </c>
      <c r="BC261" s="50">
        <v>100</v>
      </c>
      <c r="BD261" s="49">
        <v>13</v>
      </c>
      <c r="BE261" s="49"/>
      <c r="BF261" s="49"/>
      <c r="BG261" s="49"/>
      <c r="BH261" s="49"/>
      <c r="BI261" s="49"/>
      <c r="BJ261" s="49"/>
      <c r="BK261" s="111" t="s">
        <v>3640</v>
      </c>
      <c r="BL261" s="111" t="s">
        <v>3640</v>
      </c>
      <c r="BM261" s="111" t="s">
        <v>4087</v>
      </c>
      <c r="BN261" s="111" t="s">
        <v>4087</v>
      </c>
      <c r="BO261" s="2"/>
      <c r="BP261" s="3"/>
      <c r="BQ261" s="3"/>
      <c r="BR261" s="3"/>
      <c r="BS261" s="3"/>
    </row>
    <row r="262" spans="1:71" ht="15">
      <c r="A262" s="65" t="s">
        <v>596</v>
      </c>
      <c r="B262" s="66"/>
      <c r="C262" s="66"/>
      <c r="D262" s="67">
        <v>150</v>
      </c>
      <c r="E262" s="69"/>
      <c r="F262" s="103" t="str">
        <f>HYPERLINK("https://yt3.ggpht.com/ytc/AKedOLQ0DaRDhL7pt0HjiMaPl6GSyI0M0AQqJWJflXqxmw=s88-c-k-c0x00ffffff-no-rj")</f>
        <v>https://yt3.ggpht.com/ytc/AKedOLQ0DaRDhL7pt0HjiMaPl6GSyI0M0AQqJWJflXqxmw=s88-c-k-c0x00ffffff-no-rj</v>
      </c>
      <c r="G262" s="66"/>
      <c r="H262" s="70" t="s">
        <v>1663</v>
      </c>
      <c r="I262" s="71"/>
      <c r="J262" s="71" t="s">
        <v>159</v>
      </c>
      <c r="K262" s="70" t="s">
        <v>1663</v>
      </c>
      <c r="L262" s="74">
        <v>1</v>
      </c>
      <c r="M262" s="75">
        <v>9439.0771484375</v>
      </c>
      <c r="N262" s="75">
        <v>4010.62841796875</v>
      </c>
      <c r="O262" s="76"/>
      <c r="P262" s="77"/>
      <c r="Q262" s="77"/>
      <c r="R262" s="89"/>
      <c r="S262" s="49">
        <v>0</v>
      </c>
      <c r="T262" s="49">
        <v>1</v>
      </c>
      <c r="U262" s="50">
        <v>0</v>
      </c>
      <c r="V262" s="50">
        <v>0.324638</v>
      </c>
      <c r="W262" s="50">
        <v>0.001669</v>
      </c>
      <c r="X262" s="50">
        <v>0.00202</v>
      </c>
      <c r="Y262" s="50">
        <v>0</v>
      </c>
      <c r="Z262" s="50">
        <v>0</v>
      </c>
      <c r="AA262" s="72">
        <v>262</v>
      </c>
      <c r="AB262" s="72"/>
      <c r="AC262" s="73"/>
      <c r="AD262" s="80" t="s">
        <v>1663</v>
      </c>
      <c r="AE262" s="80"/>
      <c r="AF262" s="80"/>
      <c r="AG262" s="80"/>
      <c r="AH262" s="80"/>
      <c r="AI262" s="80"/>
      <c r="AJ262" s="87">
        <v>39333.78298611111</v>
      </c>
      <c r="AK262" s="85" t="str">
        <f>HYPERLINK("https://yt3.ggpht.com/ytc/AKedOLQ0DaRDhL7pt0HjiMaPl6GSyI0M0AQqJWJflXqxmw=s88-c-k-c0x00ffffff-no-rj")</f>
        <v>https://yt3.ggpht.com/ytc/AKedOLQ0DaRDhL7pt0HjiMaPl6GSyI0M0AQqJWJflXqxmw=s88-c-k-c0x00ffffff-no-rj</v>
      </c>
      <c r="AL262" s="80">
        <v>0</v>
      </c>
      <c r="AM262" s="80">
        <v>0</v>
      </c>
      <c r="AN262" s="80">
        <v>20</v>
      </c>
      <c r="AO262" s="80" t="b">
        <v>0</v>
      </c>
      <c r="AP262" s="80">
        <v>0</v>
      </c>
      <c r="AQ262" s="80"/>
      <c r="AR262" s="80"/>
      <c r="AS262" s="80" t="s">
        <v>2085</v>
      </c>
      <c r="AT262" s="85" t="str">
        <f>HYPERLINK("https://www.youtube.com/channel/UCsTFw-jeJdJDi20LmiK9Lnw")</f>
        <v>https://www.youtube.com/channel/UCsTFw-jeJdJDi20LmiK9Lnw</v>
      </c>
      <c r="AU262" s="80" t="str">
        <f>REPLACE(INDEX(GroupVertices[Group],MATCH(Vertices[[#This Row],[Vertex]],GroupVertices[Vertex],0)),1,1,"")</f>
        <v>11</v>
      </c>
      <c r="AV262" s="49">
        <v>1</v>
      </c>
      <c r="AW262" s="50">
        <v>6.25</v>
      </c>
      <c r="AX262" s="49">
        <v>2</v>
      </c>
      <c r="AY262" s="50">
        <v>12.5</v>
      </c>
      <c r="AZ262" s="49">
        <v>0</v>
      </c>
      <c r="BA262" s="50">
        <v>0</v>
      </c>
      <c r="BB262" s="49">
        <v>13</v>
      </c>
      <c r="BC262" s="50">
        <v>81.25</v>
      </c>
      <c r="BD262" s="49">
        <v>16</v>
      </c>
      <c r="BE262" s="49"/>
      <c r="BF262" s="49"/>
      <c r="BG262" s="49"/>
      <c r="BH262" s="49"/>
      <c r="BI262" s="49"/>
      <c r="BJ262" s="49"/>
      <c r="BK262" s="111" t="s">
        <v>3641</v>
      </c>
      <c r="BL262" s="111" t="s">
        <v>3641</v>
      </c>
      <c r="BM262" s="111" t="s">
        <v>4088</v>
      </c>
      <c r="BN262" s="111" t="s">
        <v>4088</v>
      </c>
      <c r="BO262" s="2"/>
      <c r="BP262" s="3"/>
      <c r="BQ262" s="3"/>
      <c r="BR262" s="3"/>
      <c r="BS262" s="3"/>
    </row>
    <row r="263" spans="1:71" ht="15">
      <c r="A263" s="65" t="s">
        <v>598</v>
      </c>
      <c r="B263" s="66"/>
      <c r="C263" s="66"/>
      <c r="D263" s="67">
        <v>363.9374295377678</v>
      </c>
      <c r="E263" s="69"/>
      <c r="F263" s="103" t="str">
        <f>HYPERLINK("https://yt3.ggpht.com/ytc/AKedOLTJpDyubdLagzYg8ZmcLpuQJ2mcOXiXP-wSd67Owg=s88-c-k-c0x00ffffff-no-rj")</f>
        <v>https://yt3.ggpht.com/ytc/AKedOLTJpDyubdLagzYg8ZmcLpuQJ2mcOXiXP-wSd67Owg=s88-c-k-c0x00ffffff-no-rj</v>
      </c>
      <c r="G263" s="66"/>
      <c r="H263" s="70" t="s">
        <v>1665</v>
      </c>
      <c r="I263" s="71"/>
      <c r="J263" s="71" t="s">
        <v>75</v>
      </c>
      <c r="K263" s="70" t="s">
        <v>1665</v>
      </c>
      <c r="L263" s="74">
        <v>90.30647601471401</v>
      </c>
      <c r="M263" s="75">
        <v>9439.0771484375</v>
      </c>
      <c r="N263" s="75">
        <v>3620.96142578125</v>
      </c>
      <c r="O263" s="76"/>
      <c r="P263" s="77"/>
      <c r="Q263" s="77"/>
      <c r="R263" s="89"/>
      <c r="S263" s="49">
        <v>2</v>
      </c>
      <c r="T263" s="49">
        <v>1</v>
      </c>
      <c r="U263" s="50">
        <v>1786</v>
      </c>
      <c r="V263" s="50">
        <v>0.480171</v>
      </c>
      <c r="W263" s="50">
        <v>0.034873</v>
      </c>
      <c r="X263" s="50">
        <v>0.002541</v>
      </c>
      <c r="Y263" s="50">
        <v>0</v>
      </c>
      <c r="Z263" s="50">
        <v>0</v>
      </c>
      <c r="AA263" s="72">
        <v>263</v>
      </c>
      <c r="AB263" s="72"/>
      <c r="AC263" s="73"/>
      <c r="AD263" s="80" t="s">
        <v>1665</v>
      </c>
      <c r="AE263" s="80"/>
      <c r="AF263" s="80"/>
      <c r="AG263" s="80"/>
      <c r="AH263" s="80"/>
      <c r="AI263" s="80"/>
      <c r="AJ263" s="87">
        <v>39431.597974537035</v>
      </c>
      <c r="AK263" s="85" t="str">
        <f>HYPERLINK("https://yt3.ggpht.com/ytc/AKedOLTJpDyubdLagzYg8ZmcLpuQJ2mcOXiXP-wSd67Owg=s88-c-k-c0x00ffffff-no-rj")</f>
        <v>https://yt3.ggpht.com/ytc/AKedOLTJpDyubdLagzYg8ZmcLpuQJ2mcOXiXP-wSd67Owg=s88-c-k-c0x00ffffff-no-rj</v>
      </c>
      <c r="AL263" s="80">
        <v>41898</v>
      </c>
      <c r="AM263" s="80">
        <v>0</v>
      </c>
      <c r="AN263" s="80">
        <v>54</v>
      </c>
      <c r="AO263" s="80" t="b">
        <v>0</v>
      </c>
      <c r="AP263" s="80">
        <v>3</v>
      </c>
      <c r="AQ263" s="80"/>
      <c r="AR263" s="80"/>
      <c r="AS263" s="80" t="s">
        <v>2085</v>
      </c>
      <c r="AT263" s="85" t="str">
        <f>HYPERLINK("https://www.youtube.com/channel/UCGJtAsDX_qIPZcsNufRV5ow")</f>
        <v>https://www.youtube.com/channel/UCGJtAsDX_qIPZcsNufRV5ow</v>
      </c>
      <c r="AU263" s="80" t="str">
        <f>REPLACE(INDEX(GroupVertices[Group],MATCH(Vertices[[#This Row],[Vertex]],GroupVertices[Vertex],0)),1,1,"")</f>
        <v>11</v>
      </c>
      <c r="AV263" s="49">
        <v>0</v>
      </c>
      <c r="AW263" s="50">
        <v>0</v>
      </c>
      <c r="AX263" s="49">
        <v>0</v>
      </c>
      <c r="AY263" s="50">
        <v>0</v>
      </c>
      <c r="AZ263" s="49">
        <v>0</v>
      </c>
      <c r="BA263" s="50">
        <v>0</v>
      </c>
      <c r="BB263" s="49">
        <v>9</v>
      </c>
      <c r="BC263" s="50">
        <v>100</v>
      </c>
      <c r="BD263" s="49">
        <v>9</v>
      </c>
      <c r="BE263" s="49"/>
      <c r="BF263" s="49"/>
      <c r="BG263" s="49"/>
      <c r="BH263" s="49"/>
      <c r="BI263" s="49"/>
      <c r="BJ263" s="49"/>
      <c r="BK263" s="111" t="s">
        <v>3642</v>
      </c>
      <c r="BL263" s="111" t="s">
        <v>3642</v>
      </c>
      <c r="BM263" s="111" t="s">
        <v>4089</v>
      </c>
      <c r="BN263" s="111" t="s">
        <v>4089</v>
      </c>
      <c r="BO263" s="2"/>
      <c r="BP263" s="3"/>
      <c r="BQ263" s="3"/>
      <c r="BR263" s="3"/>
      <c r="BS263" s="3"/>
    </row>
    <row r="264" spans="1:71" ht="15">
      <c r="A264" s="65" t="s">
        <v>597</v>
      </c>
      <c r="B264" s="66"/>
      <c r="C264" s="66"/>
      <c r="D264" s="67">
        <v>150</v>
      </c>
      <c r="E264" s="69"/>
      <c r="F264" s="103" t="str">
        <f>HYPERLINK("https://yt3.ggpht.com/ytc/AKedOLSGHUNKJhOWYHkYpB1K4_0YexUTThuuvpmA2jszqQ=s88-c-k-c0x00ffffff-no-rj")</f>
        <v>https://yt3.ggpht.com/ytc/AKedOLSGHUNKJhOWYHkYpB1K4_0YexUTThuuvpmA2jszqQ=s88-c-k-c0x00ffffff-no-rj</v>
      </c>
      <c r="G264" s="66"/>
      <c r="H264" s="70" t="s">
        <v>1664</v>
      </c>
      <c r="I264" s="71"/>
      <c r="J264" s="71" t="s">
        <v>159</v>
      </c>
      <c r="K264" s="70" t="s">
        <v>1664</v>
      </c>
      <c r="L264" s="74">
        <v>1</v>
      </c>
      <c r="M264" s="75">
        <v>9741.5947265625</v>
      </c>
      <c r="N264" s="75">
        <v>4010.62841796875</v>
      </c>
      <c r="O264" s="76"/>
      <c r="P264" s="77"/>
      <c r="Q264" s="77"/>
      <c r="R264" s="89"/>
      <c r="S264" s="49">
        <v>0</v>
      </c>
      <c r="T264" s="49">
        <v>1</v>
      </c>
      <c r="U264" s="50">
        <v>0</v>
      </c>
      <c r="V264" s="50">
        <v>0.324638</v>
      </c>
      <c r="W264" s="50">
        <v>0.001669</v>
      </c>
      <c r="X264" s="50">
        <v>0.00202</v>
      </c>
      <c r="Y264" s="50">
        <v>0</v>
      </c>
      <c r="Z264" s="50">
        <v>0</v>
      </c>
      <c r="AA264" s="72">
        <v>264</v>
      </c>
      <c r="AB264" s="72"/>
      <c r="AC264" s="73"/>
      <c r="AD264" s="80" t="s">
        <v>1664</v>
      </c>
      <c r="AE264" s="80" t="s">
        <v>2011</v>
      </c>
      <c r="AF264" s="80"/>
      <c r="AG264" s="80"/>
      <c r="AH264" s="80"/>
      <c r="AI264" s="80"/>
      <c r="AJ264" s="87">
        <v>40887.69541666667</v>
      </c>
      <c r="AK264" s="85" t="str">
        <f>HYPERLINK("https://yt3.ggpht.com/ytc/AKedOLSGHUNKJhOWYHkYpB1K4_0YexUTThuuvpmA2jszqQ=s88-c-k-c0x00ffffff-no-rj")</f>
        <v>https://yt3.ggpht.com/ytc/AKedOLSGHUNKJhOWYHkYpB1K4_0YexUTThuuvpmA2jszqQ=s88-c-k-c0x00ffffff-no-rj</v>
      </c>
      <c r="AL264" s="80">
        <v>1137783</v>
      </c>
      <c r="AM264" s="80">
        <v>0</v>
      </c>
      <c r="AN264" s="80">
        <v>3550</v>
      </c>
      <c r="AO264" s="80" t="b">
        <v>0</v>
      </c>
      <c r="AP264" s="80">
        <v>41</v>
      </c>
      <c r="AQ264" s="80"/>
      <c r="AR264" s="80"/>
      <c r="AS264" s="80" t="s">
        <v>2085</v>
      </c>
      <c r="AT264" s="85" t="str">
        <f>HYPERLINK("https://www.youtube.com/channel/UC8QwXSKYXkFbEP1uhMrOq4A")</f>
        <v>https://www.youtube.com/channel/UC8QwXSKYXkFbEP1uhMrOq4A</v>
      </c>
      <c r="AU264" s="80" t="str">
        <f>REPLACE(INDEX(GroupVertices[Group],MATCH(Vertices[[#This Row],[Vertex]],GroupVertices[Vertex],0)),1,1,"")</f>
        <v>11</v>
      </c>
      <c r="AV264" s="49">
        <v>0</v>
      </c>
      <c r="AW264" s="50">
        <v>0</v>
      </c>
      <c r="AX264" s="49">
        <v>0</v>
      </c>
      <c r="AY264" s="50">
        <v>0</v>
      </c>
      <c r="AZ264" s="49">
        <v>0</v>
      </c>
      <c r="BA264" s="50">
        <v>0</v>
      </c>
      <c r="BB264" s="49">
        <v>16</v>
      </c>
      <c r="BC264" s="50">
        <v>100</v>
      </c>
      <c r="BD264" s="49">
        <v>16</v>
      </c>
      <c r="BE264" s="49"/>
      <c r="BF264" s="49"/>
      <c r="BG264" s="49"/>
      <c r="BH264" s="49"/>
      <c r="BI264" s="49"/>
      <c r="BJ264" s="49"/>
      <c r="BK264" s="111" t="s">
        <v>3643</v>
      </c>
      <c r="BL264" s="111" t="s">
        <v>3643</v>
      </c>
      <c r="BM264" s="111" t="s">
        <v>4090</v>
      </c>
      <c r="BN264" s="111" t="s">
        <v>4090</v>
      </c>
      <c r="BO264" s="2"/>
      <c r="BP264" s="3"/>
      <c r="BQ264" s="3"/>
      <c r="BR264" s="3"/>
      <c r="BS264" s="3"/>
    </row>
    <row r="265" spans="1:71" ht="15">
      <c r="A265" s="65" t="s">
        <v>599</v>
      </c>
      <c r="B265" s="66"/>
      <c r="C265" s="66"/>
      <c r="D265" s="67">
        <v>150</v>
      </c>
      <c r="E265" s="69"/>
      <c r="F265" s="103" t="str">
        <f>HYPERLINK("https://yt3.ggpht.com/ytc/AKedOLQQjmIvv6ej6X5F13qb2WBWKz0h8OOHcI-WCJx4MhU=s88-c-k-c0x00ffffff-no-rj")</f>
        <v>https://yt3.ggpht.com/ytc/AKedOLQQjmIvv6ej6X5F13qb2WBWKz0h8OOHcI-WCJx4MhU=s88-c-k-c0x00ffffff-no-rj</v>
      </c>
      <c r="G265" s="66"/>
      <c r="H265" s="70" t="s">
        <v>1666</v>
      </c>
      <c r="I265" s="71"/>
      <c r="J265" s="71" t="s">
        <v>159</v>
      </c>
      <c r="K265" s="70" t="s">
        <v>1666</v>
      </c>
      <c r="L265" s="74">
        <v>1</v>
      </c>
      <c r="M265" s="75">
        <v>4558.083984375</v>
      </c>
      <c r="N265" s="75">
        <v>147.0441131591797</v>
      </c>
      <c r="O265" s="76"/>
      <c r="P265" s="77"/>
      <c r="Q265" s="77"/>
      <c r="R265" s="89"/>
      <c r="S265" s="49">
        <v>0</v>
      </c>
      <c r="T265" s="49">
        <v>1</v>
      </c>
      <c r="U265" s="50">
        <v>0</v>
      </c>
      <c r="V265" s="50">
        <v>0.478122</v>
      </c>
      <c r="W265" s="50">
        <v>0.03471</v>
      </c>
      <c r="X265" s="50">
        <v>0.001935</v>
      </c>
      <c r="Y265" s="50">
        <v>0</v>
      </c>
      <c r="Z265" s="50">
        <v>0</v>
      </c>
      <c r="AA265" s="72">
        <v>265</v>
      </c>
      <c r="AB265" s="72"/>
      <c r="AC265" s="73"/>
      <c r="AD265" s="80" t="s">
        <v>1666</v>
      </c>
      <c r="AE265" s="80"/>
      <c r="AF265" s="80"/>
      <c r="AG265" s="80"/>
      <c r="AH265" s="80"/>
      <c r="AI265" s="80" t="s">
        <v>2072</v>
      </c>
      <c r="AJ265" s="87">
        <v>39815.31456018519</v>
      </c>
      <c r="AK265" s="85" t="str">
        <f>HYPERLINK("https://yt3.ggpht.com/ytc/AKedOLQQjmIvv6ej6X5F13qb2WBWKz0h8OOHcI-WCJx4MhU=s88-c-k-c0x00ffffff-no-rj")</f>
        <v>https://yt3.ggpht.com/ytc/AKedOLQQjmIvv6ej6X5F13qb2WBWKz0h8OOHcI-WCJx4MhU=s88-c-k-c0x00ffffff-no-rj</v>
      </c>
      <c r="AL265" s="80">
        <v>23</v>
      </c>
      <c r="AM265" s="80">
        <v>0</v>
      </c>
      <c r="AN265" s="80">
        <v>12</v>
      </c>
      <c r="AO265" s="80" t="b">
        <v>0</v>
      </c>
      <c r="AP265" s="80">
        <v>2</v>
      </c>
      <c r="AQ265" s="80"/>
      <c r="AR265" s="80"/>
      <c r="AS265" s="80" t="s">
        <v>2085</v>
      </c>
      <c r="AT265" s="85" t="str">
        <f>HYPERLINK("https://www.youtube.com/channel/UCjASN7Tc7IhwB8O8Kup0ZMQ")</f>
        <v>https://www.youtube.com/channel/UCjASN7Tc7IhwB8O8Kup0ZMQ</v>
      </c>
      <c r="AU265" s="80" t="str">
        <f>REPLACE(INDEX(GroupVertices[Group],MATCH(Vertices[[#This Row],[Vertex]],GroupVertices[Vertex],0)),1,1,"")</f>
        <v>1</v>
      </c>
      <c r="AV265" s="49">
        <v>4</v>
      </c>
      <c r="AW265" s="50">
        <v>21.05263157894737</v>
      </c>
      <c r="AX265" s="49">
        <v>0</v>
      </c>
      <c r="AY265" s="50">
        <v>0</v>
      </c>
      <c r="AZ265" s="49">
        <v>0</v>
      </c>
      <c r="BA265" s="50">
        <v>0</v>
      </c>
      <c r="BB265" s="49">
        <v>15</v>
      </c>
      <c r="BC265" s="50">
        <v>78.94736842105263</v>
      </c>
      <c r="BD265" s="49">
        <v>19</v>
      </c>
      <c r="BE265" s="49"/>
      <c r="BF265" s="49"/>
      <c r="BG265" s="49"/>
      <c r="BH265" s="49"/>
      <c r="BI265" s="49"/>
      <c r="BJ265" s="49"/>
      <c r="BK265" s="111" t="s">
        <v>3644</v>
      </c>
      <c r="BL265" s="111" t="s">
        <v>3644</v>
      </c>
      <c r="BM265" s="111" t="s">
        <v>4091</v>
      </c>
      <c r="BN265" s="111" t="s">
        <v>4091</v>
      </c>
      <c r="BO265" s="2"/>
      <c r="BP265" s="3"/>
      <c r="BQ265" s="3"/>
      <c r="BR265" s="3"/>
      <c r="BS265" s="3"/>
    </row>
    <row r="266" spans="1:71" ht="15">
      <c r="A266" s="65" t="s">
        <v>600</v>
      </c>
      <c r="B266" s="66"/>
      <c r="C266" s="66"/>
      <c r="D266" s="67">
        <v>150</v>
      </c>
      <c r="E266" s="69"/>
      <c r="F266" s="103" t="str">
        <f>HYPERLINK("https://yt3.ggpht.com/ytc/AKedOLSolX6XT6TXXyZgJWJz1jZX0CZfbOQi8JfuWy-R=s88-c-k-c0x00ffffff-no-rj")</f>
        <v>https://yt3.ggpht.com/ytc/AKedOLSolX6XT6TXXyZgJWJz1jZX0CZfbOQi8JfuWy-R=s88-c-k-c0x00ffffff-no-rj</v>
      </c>
      <c r="G266" s="66"/>
      <c r="H266" s="70" t="s">
        <v>1667</v>
      </c>
      <c r="I266" s="71"/>
      <c r="J266" s="71" t="s">
        <v>159</v>
      </c>
      <c r="K266" s="70" t="s">
        <v>1667</v>
      </c>
      <c r="L266" s="74">
        <v>1</v>
      </c>
      <c r="M266" s="75">
        <v>8733.3369140625</v>
      </c>
      <c r="N266" s="75">
        <v>9592.84375</v>
      </c>
      <c r="O266" s="76"/>
      <c r="P266" s="77"/>
      <c r="Q266" s="77"/>
      <c r="R266" s="89"/>
      <c r="S266" s="49">
        <v>0</v>
      </c>
      <c r="T266" s="49">
        <v>1</v>
      </c>
      <c r="U266" s="50">
        <v>0</v>
      </c>
      <c r="V266" s="50">
        <v>0.325581</v>
      </c>
      <c r="W266" s="50">
        <v>0.001772</v>
      </c>
      <c r="X266" s="50">
        <v>0.001966</v>
      </c>
      <c r="Y266" s="50">
        <v>0</v>
      </c>
      <c r="Z266" s="50">
        <v>0</v>
      </c>
      <c r="AA266" s="72">
        <v>266</v>
      </c>
      <c r="AB266" s="72"/>
      <c r="AC266" s="73"/>
      <c r="AD266" s="80" t="s">
        <v>1667</v>
      </c>
      <c r="AE266" s="80"/>
      <c r="AF266" s="80"/>
      <c r="AG266" s="80"/>
      <c r="AH266" s="80"/>
      <c r="AI266" s="80"/>
      <c r="AJ266" s="87">
        <v>41385.8321875</v>
      </c>
      <c r="AK266" s="85" t="str">
        <f>HYPERLINK("https://yt3.ggpht.com/ytc/AKedOLSolX6XT6TXXyZgJWJz1jZX0CZfbOQi8JfuWy-R=s88-c-k-c0x00ffffff-no-rj")</f>
        <v>https://yt3.ggpht.com/ytc/AKedOLSolX6XT6TXXyZgJWJz1jZX0CZfbOQi8JfuWy-R=s88-c-k-c0x00ffffff-no-rj</v>
      </c>
      <c r="AL266" s="80">
        <v>0</v>
      </c>
      <c r="AM266" s="80">
        <v>0</v>
      </c>
      <c r="AN266" s="80">
        <v>0</v>
      </c>
      <c r="AO266" s="80" t="b">
        <v>0</v>
      </c>
      <c r="AP266" s="80">
        <v>0</v>
      </c>
      <c r="AQ266" s="80"/>
      <c r="AR266" s="80"/>
      <c r="AS266" s="80" t="s">
        <v>2085</v>
      </c>
      <c r="AT266" s="85" t="str">
        <f>HYPERLINK("https://www.youtube.com/channel/UCpr8GKAHg30fNzBtOVwjAnQ")</f>
        <v>https://www.youtube.com/channel/UCpr8GKAHg30fNzBtOVwjAnQ</v>
      </c>
      <c r="AU266" s="80" t="str">
        <f>REPLACE(INDEX(GroupVertices[Group],MATCH(Vertices[[#This Row],[Vertex]],GroupVertices[Vertex],0)),1,1,"")</f>
        <v>2</v>
      </c>
      <c r="AV266" s="49">
        <v>10</v>
      </c>
      <c r="AW266" s="50">
        <v>4.016064257028113</v>
      </c>
      <c r="AX266" s="49">
        <v>3</v>
      </c>
      <c r="AY266" s="50">
        <v>1.2048192771084338</v>
      </c>
      <c r="AZ266" s="49">
        <v>0</v>
      </c>
      <c r="BA266" s="50">
        <v>0</v>
      </c>
      <c r="BB266" s="49">
        <v>236</v>
      </c>
      <c r="BC266" s="50">
        <v>94.77911646586345</v>
      </c>
      <c r="BD266" s="49">
        <v>249</v>
      </c>
      <c r="BE266" s="49"/>
      <c r="BF266" s="49"/>
      <c r="BG266" s="49"/>
      <c r="BH266" s="49"/>
      <c r="BI266" s="49"/>
      <c r="BJ266" s="49"/>
      <c r="BK266" s="111" t="s">
        <v>3645</v>
      </c>
      <c r="BL266" s="111" t="s">
        <v>3839</v>
      </c>
      <c r="BM266" s="111" t="s">
        <v>4092</v>
      </c>
      <c r="BN266" s="111" t="s">
        <v>4092</v>
      </c>
      <c r="BO266" s="2"/>
      <c r="BP266" s="3"/>
      <c r="BQ266" s="3"/>
      <c r="BR266" s="3"/>
      <c r="BS266" s="3"/>
    </row>
    <row r="267" spans="1:71" ht="15">
      <c r="A267" s="65" t="s">
        <v>602</v>
      </c>
      <c r="B267" s="66"/>
      <c r="C267" s="66"/>
      <c r="D267" s="67">
        <v>469.9478579481398</v>
      </c>
      <c r="E267" s="69"/>
      <c r="F267" s="103" t="str">
        <f>HYPERLINK("https://yt3.ggpht.com/ytc/AKedOLSvuPQZL4QLdtpb2GMeBnkdQN7qttnLXmWc5Q=s88-c-k-c0x00ffffff-no-rj")</f>
        <v>https://yt3.ggpht.com/ytc/AKedOLSvuPQZL4QLdtpb2GMeBnkdQN7qttnLXmWc5Q=s88-c-k-c0x00ffffff-no-rj</v>
      </c>
      <c r="G267" s="66"/>
      <c r="H267" s="70" t="s">
        <v>1669</v>
      </c>
      <c r="I267" s="71"/>
      <c r="J267" s="71" t="s">
        <v>75</v>
      </c>
      <c r="K267" s="70" t="s">
        <v>1669</v>
      </c>
      <c r="L267" s="74">
        <v>134.55968501416635</v>
      </c>
      <c r="M267" s="75">
        <v>8915.42578125</v>
      </c>
      <c r="N267" s="75">
        <v>9324.150390625</v>
      </c>
      <c r="O267" s="76"/>
      <c r="P267" s="77"/>
      <c r="Q267" s="77"/>
      <c r="R267" s="89"/>
      <c r="S267" s="49">
        <v>5</v>
      </c>
      <c r="T267" s="49">
        <v>2</v>
      </c>
      <c r="U267" s="50">
        <v>2671</v>
      </c>
      <c r="V267" s="50">
        <v>0.482239</v>
      </c>
      <c r="W267" s="50">
        <v>0.036995</v>
      </c>
      <c r="X267" s="50">
        <v>0.002907</v>
      </c>
      <c r="Y267" s="50">
        <v>0</v>
      </c>
      <c r="Z267" s="50">
        <v>0</v>
      </c>
      <c r="AA267" s="72">
        <v>267</v>
      </c>
      <c r="AB267" s="72"/>
      <c r="AC267" s="73"/>
      <c r="AD267" s="80" t="s">
        <v>1669</v>
      </c>
      <c r="AE267" s="80"/>
      <c r="AF267" s="80"/>
      <c r="AG267" s="80"/>
      <c r="AH267" s="80"/>
      <c r="AI267" s="80"/>
      <c r="AJ267" s="87">
        <v>39037.70978009259</v>
      </c>
      <c r="AK267" s="85" t="str">
        <f>HYPERLINK("https://yt3.ggpht.com/ytc/AKedOLSvuPQZL4QLdtpb2GMeBnkdQN7qttnLXmWc5Q=s88-c-k-c0x00ffffff-no-rj")</f>
        <v>https://yt3.ggpht.com/ytc/AKedOLSvuPQZL4QLdtpb2GMeBnkdQN7qttnLXmWc5Q=s88-c-k-c0x00ffffff-no-rj</v>
      </c>
      <c r="AL267" s="80">
        <v>0</v>
      </c>
      <c r="AM267" s="80">
        <v>0</v>
      </c>
      <c r="AN267" s="80">
        <v>2</v>
      </c>
      <c r="AO267" s="80" t="b">
        <v>0</v>
      </c>
      <c r="AP267" s="80">
        <v>0</v>
      </c>
      <c r="AQ267" s="80"/>
      <c r="AR267" s="80"/>
      <c r="AS267" s="80" t="s">
        <v>2085</v>
      </c>
      <c r="AT267" s="85" t="str">
        <f>HYPERLINK("https://www.youtube.com/channel/UCWl8H-hlO4LEjFirQvOyY1A")</f>
        <v>https://www.youtube.com/channel/UCWl8H-hlO4LEjFirQvOyY1A</v>
      </c>
      <c r="AU267" s="80" t="str">
        <f>REPLACE(INDEX(GroupVertices[Group],MATCH(Vertices[[#This Row],[Vertex]],GroupVertices[Vertex],0)),1,1,"")</f>
        <v>2</v>
      </c>
      <c r="AV267" s="49">
        <v>7</v>
      </c>
      <c r="AW267" s="50">
        <v>2.0648967551622417</v>
      </c>
      <c r="AX267" s="49">
        <v>8</v>
      </c>
      <c r="AY267" s="50">
        <v>2.359882005899705</v>
      </c>
      <c r="AZ267" s="49">
        <v>0</v>
      </c>
      <c r="BA267" s="50">
        <v>0</v>
      </c>
      <c r="BB267" s="49">
        <v>324</v>
      </c>
      <c r="BC267" s="50">
        <v>95.57522123893806</v>
      </c>
      <c r="BD267" s="49">
        <v>339</v>
      </c>
      <c r="BE267" s="49"/>
      <c r="BF267" s="49"/>
      <c r="BG267" s="49"/>
      <c r="BH267" s="49"/>
      <c r="BI267" s="49"/>
      <c r="BJ267" s="49"/>
      <c r="BK267" s="111" t="s">
        <v>3646</v>
      </c>
      <c r="BL267" s="111" t="s">
        <v>3840</v>
      </c>
      <c r="BM267" s="111" t="s">
        <v>4093</v>
      </c>
      <c r="BN267" s="111" t="s">
        <v>4263</v>
      </c>
      <c r="BO267" s="2"/>
      <c r="BP267" s="3"/>
      <c r="BQ267" s="3"/>
      <c r="BR267" s="3"/>
      <c r="BS267" s="3"/>
    </row>
    <row r="268" spans="1:71" ht="15">
      <c r="A268" s="65" t="s">
        <v>601</v>
      </c>
      <c r="B268" s="66"/>
      <c r="C268" s="66"/>
      <c r="D268" s="67">
        <v>150</v>
      </c>
      <c r="E268" s="69"/>
      <c r="F268" s="103" t="str">
        <f>HYPERLINK("https://yt3.ggpht.com/ytc/AKedOLRHs3o4f1cGkAO-vxmAyWTWn2MA7u_8tOwpwfEBaQ=s88-c-k-c0x00ffffff-no-rj")</f>
        <v>https://yt3.ggpht.com/ytc/AKedOLRHs3o4f1cGkAO-vxmAyWTWn2MA7u_8tOwpwfEBaQ=s88-c-k-c0x00ffffff-no-rj</v>
      </c>
      <c r="G268" s="66"/>
      <c r="H268" s="70" t="s">
        <v>1668</v>
      </c>
      <c r="I268" s="71"/>
      <c r="J268" s="71" t="s">
        <v>159</v>
      </c>
      <c r="K268" s="70" t="s">
        <v>1668</v>
      </c>
      <c r="L268" s="74">
        <v>1</v>
      </c>
      <c r="M268" s="75">
        <v>8473.4384765625</v>
      </c>
      <c r="N268" s="75">
        <v>9455.986328125</v>
      </c>
      <c r="O268" s="76"/>
      <c r="P268" s="77"/>
      <c r="Q268" s="77"/>
      <c r="R268" s="89"/>
      <c r="S268" s="49">
        <v>0</v>
      </c>
      <c r="T268" s="49">
        <v>1</v>
      </c>
      <c r="U268" s="50">
        <v>0</v>
      </c>
      <c r="V268" s="50">
        <v>0.325581</v>
      </c>
      <c r="W268" s="50">
        <v>0.001772</v>
      </c>
      <c r="X268" s="50">
        <v>0.001966</v>
      </c>
      <c r="Y268" s="50">
        <v>0</v>
      </c>
      <c r="Z268" s="50">
        <v>0</v>
      </c>
      <c r="AA268" s="72">
        <v>268</v>
      </c>
      <c r="AB268" s="72"/>
      <c r="AC268" s="73"/>
      <c r="AD268" s="80" t="s">
        <v>1668</v>
      </c>
      <c r="AE268" s="80"/>
      <c r="AF268" s="80"/>
      <c r="AG268" s="80"/>
      <c r="AH268" s="80"/>
      <c r="AI268" s="80"/>
      <c r="AJ268" s="87">
        <v>40804.92238425926</v>
      </c>
      <c r="AK268" s="85" t="str">
        <f>HYPERLINK("https://yt3.ggpht.com/ytc/AKedOLRHs3o4f1cGkAO-vxmAyWTWn2MA7u_8tOwpwfEBaQ=s88-c-k-c0x00ffffff-no-rj")</f>
        <v>https://yt3.ggpht.com/ytc/AKedOLRHs3o4f1cGkAO-vxmAyWTWn2MA7u_8tOwpwfEBaQ=s88-c-k-c0x00ffffff-no-rj</v>
      </c>
      <c r="AL268" s="80">
        <v>0</v>
      </c>
      <c r="AM268" s="80">
        <v>0</v>
      </c>
      <c r="AN268" s="80">
        <v>0</v>
      </c>
      <c r="AO268" s="80" t="b">
        <v>0</v>
      </c>
      <c r="AP268" s="80">
        <v>0</v>
      </c>
      <c r="AQ268" s="80"/>
      <c r="AR268" s="80"/>
      <c r="AS268" s="80" t="s">
        <v>2085</v>
      </c>
      <c r="AT268" s="85" t="str">
        <f>HYPERLINK("https://www.youtube.com/channel/UCMqbg4VD080ce23L2g5S7Ng")</f>
        <v>https://www.youtube.com/channel/UCMqbg4VD080ce23L2g5S7Ng</v>
      </c>
      <c r="AU268" s="80" t="str">
        <f>REPLACE(INDEX(GroupVertices[Group],MATCH(Vertices[[#This Row],[Vertex]],GroupVertices[Vertex],0)),1,1,"")</f>
        <v>2</v>
      </c>
      <c r="AV268" s="49">
        <v>3</v>
      </c>
      <c r="AW268" s="50">
        <v>7.5</v>
      </c>
      <c r="AX268" s="49">
        <v>0</v>
      </c>
      <c r="AY268" s="50">
        <v>0</v>
      </c>
      <c r="AZ268" s="49">
        <v>0</v>
      </c>
      <c r="BA268" s="50">
        <v>0</v>
      </c>
      <c r="BB268" s="49">
        <v>37</v>
      </c>
      <c r="BC268" s="50">
        <v>92.5</v>
      </c>
      <c r="BD268" s="49">
        <v>40</v>
      </c>
      <c r="BE268" s="49"/>
      <c r="BF268" s="49"/>
      <c r="BG268" s="49"/>
      <c r="BH268" s="49"/>
      <c r="BI268" s="49"/>
      <c r="BJ268" s="49"/>
      <c r="BK268" s="111" t="s">
        <v>3647</v>
      </c>
      <c r="BL268" s="111" t="s">
        <v>3647</v>
      </c>
      <c r="BM268" s="111" t="s">
        <v>4094</v>
      </c>
      <c r="BN268" s="111" t="s">
        <v>4094</v>
      </c>
      <c r="BO268" s="2"/>
      <c r="BP268" s="3"/>
      <c r="BQ268" s="3"/>
      <c r="BR268" s="3"/>
      <c r="BS268" s="3"/>
    </row>
    <row r="269" spans="1:71" ht="15">
      <c r="A269" s="65" t="s">
        <v>603</v>
      </c>
      <c r="B269" s="66"/>
      <c r="C269" s="66"/>
      <c r="D269" s="67">
        <v>152.19607286499436</v>
      </c>
      <c r="E269" s="69"/>
      <c r="F269" s="103" t="str">
        <f>HYPERLINK("https://yt3.ggpht.com/ytc/AKedOLRPd6tENmEL0EykypyaqNsGtiniwX6dfXGnb_3CNA=s88-c-k-c0x00ffffff-no-rj")</f>
        <v>https://yt3.ggpht.com/ytc/AKedOLRPd6tENmEL0EykypyaqNsGtiniwX6dfXGnb_3CNA=s88-c-k-c0x00ffffff-no-rj</v>
      </c>
      <c r="G269" s="66"/>
      <c r="H269" s="70" t="s">
        <v>1670</v>
      </c>
      <c r="I269" s="71"/>
      <c r="J269" s="71" t="s">
        <v>75</v>
      </c>
      <c r="K269" s="70" t="s">
        <v>1670</v>
      </c>
      <c r="L269" s="74">
        <v>1.9167331264469567</v>
      </c>
      <c r="M269" s="75">
        <v>8889.0810546875</v>
      </c>
      <c r="N269" s="75">
        <v>9017.3798828125</v>
      </c>
      <c r="O269" s="76"/>
      <c r="P269" s="77"/>
      <c r="Q269" s="77"/>
      <c r="R269" s="89"/>
      <c r="S269" s="49">
        <v>0</v>
      </c>
      <c r="T269" s="49">
        <v>2</v>
      </c>
      <c r="U269" s="50">
        <v>18.333333</v>
      </c>
      <c r="V269" s="50">
        <v>0.327965</v>
      </c>
      <c r="W269" s="50">
        <v>0.003457</v>
      </c>
      <c r="X269" s="50">
        <v>0.002048</v>
      </c>
      <c r="Y269" s="50">
        <v>0</v>
      </c>
      <c r="Z269" s="50">
        <v>0</v>
      </c>
      <c r="AA269" s="72">
        <v>269</v>
      </c>
      <c r="AB269" s="72"/>
      <c r="AC269" s="73"/>
      <c r="AD269" s="80" t="s">
        <v>1670</v>
      </c>
      <c r="AE269" s="80"/>
      <c r="AF269" s="80"/>
      <c r="AG269" s="80"/>
      <c r="AH269" s="80"/>
      <c r="AI269" s="80"/>
      <c r="AJ269" s="87">
        <v>41537.25849537037</v>
      </c>
      <c r="AK269" s="85" t="str">
        <f>HYPERLINK("https://yt3.ggpht.com/ytc/AKedOLRPd6tENmEL0EykypyaqNsGtiniwX6dfXGnb_3CNA=s88-c-k-c0x00ffffff-no-rj")</f>
        <v>https://yt3.ggpht.com/ytc/AKedOLRPd6tENmEL0EykypyaqNsGtiniwX6dfXGnb_3CNA=s88-c-k-c0x00ffffff-no-rj</v>
      </c>
      <c r="AL269" s="80">
        <v>3622</v>
      </c>
      <c r="AM269" s="80">
        <v>0</v>
      </c>
      <c r="AN269" s="80">
        <v>55</v>
      </c>
      <c r="AO269" s="80" t="b">
        <v>0</v>
      </c>
      <c r="AP269" s="80">
        <v>20</v>
      </c>
      <c r="AQ269" s="80"/>
      <c r="AR269" s="80"/>
      <c r="AS269" s="80" t="s">
        <v>2085</v>
      </c>
      <c r="AT269" s="85" t="str">
        <f>HYPERLINK("https://www.youtube.com/channel/UCRkgxOcNAD-ttZMxrrN5GYQ")</f>
        <v>https://www.youtube.com/channel/UCRkgxOcNAD-ttZMxrrN5GYQ</v>
      </c>
      <c r="AU269" s="80" t="str">
        <f>REPLACE(INDEX(GroupVertices[Group],MATCH(Vertices[[#This Row],[Vertex]],GroupVertices[Vertex],0)),1,1,"")</f>
        <v>2</v>
      </c>
      <c r="AV269" s="49">
        <v>0</v>
      </c>
      <c r="AW269" s="50">
        <v>0</v>
      </c>
      <c r="AX269" s="49">
        <v>2</v>
      </c>
      <c r="AY269" s="50">
        <v>4.444444444444445</v>
      </c>
      <c r="AZ269" s="49">
        <v>0</v>
      </c>
      <c r="BA269" s="50">
        <v>0</v>
      </c>
      <c r="BB269" s="49">
        <v>43</v>
      </c>
      <c r="BC269" s="50">
        <v>95.55555555555556</v>
      </c>
      <c r="BD269" s="49">
        <v>45</v>
      </c>
      <c r="BE269" s="49"/>
      <c r="BF269" s="49"/>
      <c r="BG269" s="49"/>
      <c r="BH269" s="49"/>
      <c r="BI269" s="49"/>
      <c r="BJ269" s="49"/>
      <c r="BK269" s="111" t="s">
        <v>3648</v>
      </c>
      <c r="BL269" s="111" t="s">
        <v>3841</v>
      </c>
      <c r="BM269" s="111" t="s">
        <v>4095</v>
      </c>
      <c r="BN269" s="111" t="s">
        <v>4095</v>
      </c>
      <c r="BO269" s="2"/>
      <c r="BP269" s="3"/>
      <c r="BQ269" s="3"/>
      <c r="BR269" s="3"/>
      <c r="BS269" s="3"/>
    </row>
    <row r="270" spans="1:71" ht="15">
      <c r="A270" s="65" t="s">
        <v>604</v>
      </c>
      <c r="B270" s="66"/>
      <c r="C270" s="66"/>
      <c r="D270" s="67">
        <v>150</v>
      </c>
      <c r="E270" s="69"/>
      <c r="F270" s="103" t="str">
        <f>HYPERLINK("https://yt3.ggpht.com/ytc/AKedOLTd3ERCNEj-zVP-BayIju0-N1gbOhcQ_yrX3g=s88-c-k-c0x00ffffff-no-rj")</f>
        <v>https://yt3.ggpht.com/ytc/AKedOLTd3ERCNEj-zVP-BayIju0-N1gbOhcQ_yrX3g=s88-c-k-c0x00ffffff-no-rj</v>
      </c>
      <c r="G270" s="66"/>
      <c r="H270" s="70" t="s">
        <v>1671</v>
      </c>
      <c r="I270" s="71"/>
      <c r="J270" s="71" t="s">
        <v>159</v>
      </c>
      <c r="K270" s="70" t="s">
        <v>1671</v>
      </c>
      <c r="L270" s="74">
        <v>1</v>
      </c>
      <c r="M270" s="75">
        <v>8343.1142578125</v>
      </c>
      <c r="N270" s="75">
        <v>4352.505859375</v>
      </c>
      <c r="O270" s="76"/>
      <c r="P270" s="77"/>
      <c r="Q270" s="77"/>
      <c r="R270" s="89"/>
      <c r="S270" s="49">
        <v>0</v>
      </c>
      <c r="T270" s="49">
        <v>1</v>
      </c>
      <c r="U270" s="50">
        <v>0</v>
      </c>
      <c r="V270" s="50">
        <v>0.325581</v>
      </c>
      <c r="W270" s="50">
        <v>0.001677</v>
      </c>
      <c r="X270" s="50">
        <v>0.001987</v>
      </c>
      <c r="Y270" s="50">
        <v>0</v>
      </c>
      <c r="Z270" s="50">
        <v>0</v>
      </c>
      <c r="AA270" s="72">
        <v>270</v>
      </c>
      <c r="AB270" s="72"/>
      <c r="AC270" s="73"/>
      <c r="AD270" s="80" t="s">
        <v>1671</v>
      </c>
      <c r="AE270" s="80"/>
      <c r="AF270" s="80"/>
      <c r="AG270" s="80"/>
      <c r="AH270" s="80"/>
      <c r="AI270" s="80"/>
      <c r="AJ270" s="87">
        <v>40824.157326388886</v>
      </c>
      <c r="AK270" s="85" t="str">
        <f>HYPERLINK("https://yt3.ggpht.com/ytc/AKedOLTd3ERCNEj-zVP-BayIju0-N1gbOhcQ_yrX3g=s88-c-k-c0x00ffffff-no-rj")</f>
        <v>https://yt3.ggpht.com/ytc/AKedOLTd3ERCNEj-zVP-BayIju0-N1gbOhcQ_yrX3g=s88-c-k-c0x00ffffff-no-rj</v>
      </c>
      <c r="AL270" s="80">
        <v>0</v>
      </c>
      <c r="AM270" s="80">
        <v>0</v>
      </c>
      <c r="AN270" s="80">
        <v>0</v>
      </c>
      <c r="AO270" s="80" t="b">
        <v>0</v>
      </c>
      <c r="AP270" s="80">
        <v>0</v>
      </c>
      <c r="AQ270" s="80"/>
      <c r="AR270" s="80"/>
      <c r="AS270" s="80" t="s">
        <v>2085</v>
      </c>
      <c r="AT270" s="85" t="str">
        <f>HYPERLINK("https://www.youtube.com/channel/UCjqFKcsJGF-eg_BLtUIDweg")</f>
        <v>https://www.youtube.com/channel/UCjqFKcsJGF-eg_BLtUIDweg</v>
      </c>
      <c r="AU270" s="80" t="str">
        <f>REPLACE(INDEX(GroupVertices[Group],MATCH(Vertices[[#This Row],[Vertex]],GroupVertices[Vertex],0)),1,1,"")</f>
        <v>6</v>
      </c>
      <c r="AV270" s="49">
        <v>4</v>
      </c>
      <c r="AW270" s="50">
        <v>5.797101449275362</v>
      </c>
      <c r="AX270" s="49">
        <v>3</v>
      </c>
      <c r="AY270" s="50">
        <v>4.3478260869565215</v>
      </c>
      <c r="AZ270" s="49">
        <v>0</v>
      </c>
      <c r="BA270" s="50">
        <v>0</v>
      </c>
      <c r="BB270" s="49">
        <v>62</v>
      </c>
      <c r="BC270" s="50">
        <v>89.85507246376811</v>
      </c>
      <c r="BD270" s="49">
        <v>69</v>
      </c>
      <c r="BE270" s="49"/>
      <c r="BF270" s="49"/>
      <c r="BG270" s="49"/>
      <c r="BH270" s="49"/>
      <c r="BI270" s="49"/>
      <c r="BJ270" s="49"/>
      <c r="BK270" s="111" t="s">
        <v>3649</v>
      </c>
      <c r="BL270" s="111" t="s">
        <v>3649</v>
      </c>
      <c r="BM270" s="111" t="s">
        <v>4096</v>
      </c>
      <c r="BN270" s="111" t="s">
        <v>4096</v>
      </c>
      <c r="BO270" s="2"/>
      <c r="BP270" s="3"/>
      <c r="BQ270" s="3"/>
      <c r="BR270" s="3"/>
      <c r="BS270" s="3"/>
    </row>
    <row r="271" spans="1:71" ht="15">
      <c r="A271" s="65" t="s">
        <v>608</v>
      </c>
      <c r="B271" s="66"/>
      <c r="C271" s="66"/>
      <c r="D271" s="67">
        <v>576.9165727170237</v>
      </c>
      <c r="E271" s="69"/>
      <c r="F271" s="103" t="str">
        <f>HYPERLINK("https://yt3.ggpht.com/ytc/AKedOLQM67QC6xdqLDJeBwZGNB6CNBltHoXejlO5JZ-Q-g=s88-c-k-c0x00ffffff-no-rj")</f>
        <v>https://yt3.ggpht.com/ytc/AKedOLQM67QC6xdqLDJeBwZGNB6CNBltHoXejlO5JZ-Q-g=s88-c-k-c0x00ffffff-no-rj</v>
      </c>
      <c r="G271" s="66"/>
      <c r="H271" s="70" t="s">
        <v>1675</v>
      </c>
      <c r="I271" s="71"/>
      <c r="J271" s="71" t="s">
        <v>75</v>
      </c>
      <c r="K271" s="70" t="s">
        <v>1675</v>
      </c>
      <c r="L271" s="74">
        <v>179.21292302152335</v>
      </c>
      <c r="M271" s="75">
        <v>8794.2412109375</v>
      </c>
      <c r="N271" s="75">
        <v>5078.4189453125</v>
      </c>
      <c r="O271" s="76"/>
      <c r="P271" s="77"/>
      <c r="Q271" s="77"/>
      <c r="R271" s="89"/>
      <c r="S271" s="49">
        <v>4</v>
      </c>
      <c r="T271" s="49">
        <v>1</v>
      </c>
      <c r="U271" s="50">
        <v>3564</v>
      </c>
      <c r="V271" s="50">
        <v>0.482239</v>
      </c>
      <c r="W271" s="50">
        <v>0.035037</v>
      </c>
      <c r="X271" s="50">
        <v>0.003127</v>
      </c>
      <c r="Y271" s="50">
        <v>0</v>
      </c>
      <c r="Z271" s="50">
        <v>0</v>
      </c>
      <c r="AA271" s="72">
        <v>271</v>
      </c>
      <c r="AB271" s="72"/>
      <c r="AC271" s="73"/>
      <c r="AD271" s="80" t="s">
        <v>1675</v>
      </c>
      <c r="AE271" s="80"/>
      <c r="AF271" s="80"/>
      <c r="AG271" s="80"/>
      <c r="AH271" s="80"/>
      <c r="AI271" s="80"/>
      <c r="AJ271" s="87">
        <v>41851.831666666665</v>
      </c>
      <c r="AK271" s="85" t="str">
        <f>HYPERLINK("https://yt3.ggpht.com/ytc/AKedOLQM67QC6xdqLDJeBwZGNB6CNBltHoXejlO5JZ-Q-g=s88-c-k-c0x00ffffff-no-rj")</f>
        <v>https://yt3.ggpht.com/ytc/AKedOLQM67QC6xdqLDJeBwZGNB6CNBltHoXejlO5JZ-Q-g=s88-c-k-c0x00ffffff-no-rj</v>
      </c>
      <c r="AL271" s="80">
        <v>0</v>
      </c>
      <c r="AM271" s="80">
        <v>0</v>
      </c>
      <c r="AN271" s="80">
        <v>8</v>
      </c>
      <c r="AO271" s="80" t="b">
        <v>0</v>
      </c>
      <c r="AP271" s="80">
        <v>0</v>
      </c>
      <c r="AQ271" s="80"/>
      <c r="AR271" s="80"/>
      <c r="AS271" s="80" t="s">
        <v>2085</v>
      </c>
      <c r="AT271" s="85" t="str">
        <f>HYPERLINK("https://www.youtube.com/channel/UCzXy1TbnogkjVRHMjQr3_GA")</f>
        <v>https://www.youtube.com/channel/UCzXy1TbnogkjVRHMjQr3_GA</v>
      </c>
      <c r="AU271" s="80" t="str">
        <f>REPLACE(INDEX(GroupVertices[Group],MATCH(Vertices[[#This Row],[Vertex]],GroupVertices[Vertex],0)),1,1,"")</f>
        <v>6</v>
      </c>
      <c r="AV271" s="49">
        <v>5</v>
      </c>
      <c r="AW271" s="50">
        <v>6.756756756756757</v>
      </c>
      <c r="AX271" s="49">
        <v>3</v>
      </c>
      <c r="AY271" s="50">
        <v>4.054054054054054</v>
      </c>
      <c r="AZ271" s="49">
        <v>0</v>
      </c>
      <c r="BA271" s="50">
        <v>0</v>
      </c>
      <c r="BB271" s="49">
        <v>66</v>
      </c>
      <c r="BC271" s="50">
        <v>89.1891891891892</v>
      </c>
      <c r="BD271" s="49">
        <v>74</v>
      </c>
      <c r="BE271" s="49"/>
      <c r="BF271" s="49"/>
      <c r="BG271" s="49"/>
      <c r="BH271" s="49"/>
      <c r="BI271" s="49"/>
      <c r="BJ271" s="49"/>
      <c r="BK271" s="111" t="s">
        <v>3650</v>
      </c>
      <c r="BL271" s="111" t="s">
        <v>3650</v>
      </c>
      <c r="BM271" s="111" t="s">
        <v>4097</v>
      </c>
      <c r="BN271" s="111" t="s">
        <v>4097</v>
      </c>
      <c r="BO271" s="2"/>
      <c r="BP271" s="3"/>
      <c r="BQ271" s="3"/>
      <c r="BR271" s="3"/>
      <c r="BS271" s="3"/>
    </row>
    <row r="272" spans="1:71" ht="15">
      <c r="A272" s="65" t="s">
        <v>605</v>
      </c>
      <c r="B272" s="66"/>
      <c r="C272" s="66"/>
      <c r="D272" s="67">
        <v>150</v>
      </c>
      <c r="E272" s="69"/>
      <c r="F272" s="103" t="str">
        <f>HYPERLINK("https://yt3.ggpht.com/ytc/AKedOLTmzKanqH6GbSVWPPNHwg1vt3g4szZzTyCzTxYEPA=s88-c-k-c0x00ffffff-no-rj")</f>
        <v>https://yt3.ggpht.com/ytc/AKedOLTmzKanqH6GbSVWPPNHwg1vt3g4szZzTyCzTxYEPA=s88-c-k-c0x00ffffff-no-rj</v>
      </c>
      <c r="G272" s="66"/>
      <c r="H272" s="70" t="s">
        <v>1672</v>
      </c>
      <c r="I272" s="71"/>
      <c r="J272" s="71" t="s">
        <v>159</v>
      </c>
      <c r="K272" s="70" t="s">
        <v>1672</v>
      </c>
      <c r="L272" s="74">
        <v>1</v>
      </c>
      <c r="M272" s="75">
        <v>8704.015625</v>
      </c>
      <c r="N272" s="75">
        <v>4933.2529296875</v>
      </c>
      <c r="O272" s="76"/>
      <c r="P272" s="77"/>
      <c r="Q272" s="77"/>
      <c r="R272" s="89"/>
      <c r="S272" s="49">
        <v>0</v>
      </c>
      <c r="T272" s="49">
        <v>1</v>
      </c>
      <c r="U272" s="50">
        <v>0</v>
      </c>
      <c r="V272" s="50">
        <v>0.325581</v>
      </c>
      <c r="W272" s="50">
        <v>0.001677</v>
      </c>
      <c r="X272" s="50">
        <v>0.001987</v>
      </c>
      <c r="Y272" s="50">
        <v>0</v>
      </c>
      <c r="Z272" s="50">
        <v>0</v>
      </c>
      <c r="AA272" s="72">
        <v>272</v>
      </c>
      <c r="AB272" s="72"/>
      <c r="AC272" s="73"/>
      <c r="AD272" s="80" t="s">
        <v>1672</v>
      </c>
      <c r="AE272" s="80"/>
      <c r="AF272" s="80"/>
      <c r="AG272" s="80"/>
      <c r="AH272" s="80"/>
      <c r="AI272" s="80"/>
      <c r="AJ272" s="87">
        <v>41332.822488425925</v>
      </c>
      <c r="AK272" s="85" t="str">
        <f>HYPERLINK("https://yt3.ggpht.com/ytc/AKedOLTmzKanqH6GbSVWPPNHwg1vt3g4szZzTyCzTxYEPA=s88-c-k-c0x00ffffff-no-rj")</f>
        <v>https://yt3.ggpht.com/ytc/AKedOLTmzKanqH6GbSVWPPNHwg1vt3g4szZzTyCzTxYEPA=s88-c-k-c0x00ffffff-no-rj</v>
      </c>
      <c r="AL272" s="80">
        <v>0</v>
      </c>
      <c r="AM272" s="80">
        <v>0</v>
      </c>
      <c r="AN272" s="80">
        <v>0</v>
      </c>
      <c r="AO272" s="80" t="b">
        <v>0</v>
      </c>
      <c r="AP272" s="80">
        <v>0</v>
      </c>
      <c r="AQ272" s="80"/>
      <c r="AR272" s="80"/>
      <c r="AS272" s="80" t="s">
        <v>2085</v>
      </c>
      <c r="AT272" s="85" t="str">
        <f>HYPERLINK("https://www.youtube.com/channel/UCXniDDq1ZnKNti-tVqJWCyg")</f>
        <v>https://www.youtube.com/channel/UCXniDDq1ZnKNti-tVqJWCyg</v>
      </c>
      <c r="AU272" s="80" t="str">
        <f>REPLACE(INDEX(GroupVertices[Group],MATCH(Vertices[[#This Row],[Vertex]],GroupVertices[Vertex],0)),1,1,"")</f>
        <v>6</v>
      </c>
      <c r="AV272" s="49">
        <v>4</v>
      </c>
      <c r="AW272" s="50">
        <v>4.395604395604396</v>
      </c>
      <c r="AX272" s="49">
        <v>1</v>
      </c>
      <c r="AY272" s="50">
        <v>1.098901098901099</v>
      </c>
      <c r="AZ272" s="49">
        <v>0</v>
      </c>
      <c r="BA272" s="50">
        <v>0</v>
      </c>
      <c r="BB272" s="49">
        <v>86</v>
      </c>
      <c r="BC272" s="50">
        <v>94.50549450549451</v>
      </c>
      <c r="BD272" s="49">
        <v>91</v>
      </c>
      <c r="BE272" s="49"/>
      <c r="BF272" s="49"/>
      <c r="BG272" s="49"/>
      <c r="BH272" s="49"/>
      <c r="BI272" s="49"/>
      <c r="BJ272" s="49"/>
      <c r="BK272" s="111" t="s">
        <v>3651</v>
      </c>
      <c r="BL272" s="111" t="s">
        <v>3651</v>
      </c>
      <c r="BM272" s="111" t="s">
        <v>4098</v>
      </c>
      <c r="BN272" s="111" t="s">
        <v>4098</v>
      </c>
      <c r="BO272" s="2"/>
      <c r="BP272" s="3"/>
      <c r="BQ272" s="3"/>
      <c r="BR272" s="3"/>
      <c r="BS272" s="3"/>
    </row>
    <row r="273" spans="1:71" ht="15">
      <c r="A273" s="65" t="s">
        <v>606</v>
      </c>
      <c r="B273" s="66"/>
      <c r="C273" s="66"/>
      <c r="D273" s="67">
        <v>150</v>
      </c>
      <c r="E273" s="69"/>
      <c r="F273" s="103" t="str">
        <f>HYPERLINK("https://yt3.ggpht.com/ytc/AKedOLQpT7OZYLalsCvUcnkX4v00ZMg1fk28iECu_wnquw=s88-c-k-c0x00ffffff-no-rj")</f>
        <v>https://yt3.ggpht.com/ytc/AKedOLQpT7OZYLalsCvUcnkX4v00ZMg1fk28iECu_wnquw=s88-c-k-c0x00ffffff-no-rj</v>
      </c>
      <c r="G273" s="66"/>
      <c r="H273" s="70" t="s">
        <v>1673</v>
      </c>
      <c r="I273" s="71"/>
      <c r="J273" s="71" t="s">
        <v>159</v>
      </c>
      <c r="K273" s="70" t="s">
        <v>1673</v>
      </c>
      <c r="L273" s="74">
        <v>1</v>
      </c>
      <c r="M273" s="75">
        <v>8523.5654296875</v>
      </c>
      <c r="N273" s="75">
        <v>4642.8818359375</v>
      </c>
      <c r="O273" s="76"/>
      <c r="P273" s="77"/>
      <c r="Q273" s="77"/>
      <c r="R273" s="89"/>
      <c r="S273" s="49">
        <v>0</v>
      </c>
      <c r="T273" s="49">
        <v>1</v>
      </c>
      <c r="U273" s="50">
        <v>0</v>
      </c>
      <c r="V273" s="50">
        <v>0.325581</v>
      </c>
      <c r="W273" s="50">
        <v>0.001677</v>
      </c>
      <c r="X273" s="50">
        <v>0.001987</v>
      </c>
      <c r="Y273" s="50">
        <v>0</v>
      </c>
      <c r="Z273" s="50">
        <v>0</v>
      </c>
      <c r="AA273" s="72">
        <v>273</v>
      </c>
      <c r="AB273" s="72"/>
      <c r="AC273" s="73"/>
      <c r="AD273" s="80" t="s">
        <v>1673</v>
      </c>
      <c r="AE273" s="80"/>
      <c r="AF273" s="80"/>
      <c r="AG273" s="80"/>
      <c r="AH273" s="80"/>
      <c r="AI273" s="80"/>
      <c r="AJ273" s="87">
        <v>41239.50146990741</v>
      </c>
      <c r="AK273" s="85" t="str">
        <f>HYPERLINK("https://yt3.ggpht.com/ytc/AKedOLQpT7OZYLalsCvUcnkX4v00ZMg1fk28iECu_wnquw=s88-c-k-c0x00ffffff-no-rj")</f>
        <v>https://yt3.ggpht.com/ytc/AKedOLQpT7OZYLalsCvUcnkX4v00ZMg1fk28iECu_wnquw=s88-c-k-c0x00ffffff-no-rj</v>
      </c>
      <c r="AL273" s="80">
        <v>0</v>
      </c>
      <c r="AM273" s="80">
        <v>0</v>
      </c>
      <c r="AN273" s="80">
        <v>35</v>
      </c>
      <c r="AO273" s="80" t="b">
        <v>0</v>
      </c>
      <c r="AP273" s="80">
        <v>0</v>
      </c>
      <c r="AQ273" s="80"/>
      <c r="AR273" s="80"/>
      <c r="AS273" s="80" t="s">
        <v>2085</v>
      </c>
      <c r="AT273" s="85" t="str">
        <f>HYPERLINK("https://www.youtube.com/channel/UCPgF4J1NC2JsZObxxoPvTAA")</f>
        <v>https://www.youtube.com/channel/UCPgF4J1NC2JsZObxxoPvTAA</v>
      </c>
      <c r="AU273" s="80" t="str">
        <f>REPLACE(INDEX(GroupVertices[Group],MATCH(Vertices[[#This Row],[Vertex]],GroupVertices[Vertex],0)),1,1,"")</f>
        <v>6</v>
      </c>
      <c r="AV273" s="49">
        <v>0</v>
      </c>
      <c r="AW273" s="50">
        <v>0</v>
      </c>
      <c r="AX273" s="49">
        <v>0</v>
      </c>
      <c r="AY273" s="50">
        <v>0</v>
      </c>
      <c r="AZ273" s="49">
        <v>0</v>
      </c>
      <c r="BA273" s="50">
        <v>0</v>
      </c>
      <c r="BB273" s="49">
        <v>5</v>
      </c>
      <c r="BC273" s="50">
        <v>100</v>
      </c>
      <c r="BD273" s="49">
        <v>5</v>
      </c>
      <c r="BE273" s="49"/>
      <c r="BF273" s="49"/>
      <c r="BG273" s="49"/>
      <c r="BH273" s="49"/>
      <c r="BI273" s="49"/>
      <c r="BJ273" s="49"/>
      <c r="BK273" s="111" t="s">
        <v>3652</v>
      </c>
      <c r="BL273" s="111" t="s">
        <v>3652</v>
      </c>
      <c r="BM273" s="111" t="s">
        <v>1927</v>
      </c>
      <c r="BN273" s="111" t="s">
        <v>1927</v>
      </c>
      <c r="BO273" s="2"/>
      <c r="BP273" s="3"/>
      <c r="BQ273" s="3"/>
      <c r="BR273" s="3"/>
      <c r="BS273" s="3"/>
    </row>
    <row r="274" spans="1:71" ht="15">
      <c r="A274" s="65" t="s">
        <v>607</v>
      </c>
      <c r="B274" s="66"/>
      <c r="C274" s="66"/>
      <c r="D274" s="67">
        <v>150</v>
      </c>
      <c r="E274" s="69"/>
      <c r="F274" s="103" t="str">
        <f>HYPERLINK("https://yt3.ggpht.com/ytc/AKedOLSbPW34iaixMAuix6DD64p8I6oltSgupzjMYpocXQ=s88-c-k-c0x00ffffff-no-rj")</f>
        <v>https://yt3.ggpht.com/ytc/AKedOLSbPW34iaixMAuix6DD64p8I6oltSgupzjMYpocXQ=s88-c-k-c0x00ffffff-no-rj</v>
      </c>
      <c r="G274" s="66"/>
      <c r="H274" s="70" t="s">
        <v>1674</v>
      </c>
      <c r="I274" s="71"/>
      <c r="J274" s="71" t="s">
        <v>159</v>
      </c>
      <c r="K274" s="70" t="s">
        <v>1674</v>
      </c>
      <c r="L274" s="74">
        <v>1</v>
      </c>
      <c r="M274" s="75">
        <v>9064.9111328125</v>
      </c>
      <c r="N274" s="75">
        <v>5514.154296875</v>
      </c>
      <c r="O274" s="76"/>
      <c r="P274" s="77"/>
      <c r="Q274" s="77"/>
      <c r="R274" s="89"/>
      <c r="S274" s="49">
        <v>0</v>
      </c>
      <c r="T274" s="49">
        <v>1</v>
      </c>
      <c r="U274" s="50">
        <v>0</v>
      </c>
      <c r="V274" s="50">
        <v>0.325581</v>
      </c>
      <c r="W274" s="50">
        <v>0.001677</v>
      </c>
      <c r="X274" s="50">
        <v>0.001987</v>
      </c>
      <c r="Y274" s="50">
        <v>0</v>
      </c>
      <c r="Z274" s="50">
        <v>0</v>
      </c>
      <c r="AA274" s="72">
        <v>274</v>
      </c>
      <c r="AB274" s="72"/>
      <c r="AC274" s="73"/>
      <c r="AD274" s="80" t="s">
        <v>1674</v>
      </c>
      <c r="AE274" s="80"/>
      <c r="AF274" s="80"/>
      <c r="AG274" s="80"/>
      <c r="AH274" s="80"/>
      <c r="AI274" s="80"/>
      <c r="AJ274" s="87">
        <v>42640.9106712963</v>
      </c>
      <c r="AK274" s="85" t="str">
        <f>HYPERLINK("https://yt3.ggpht.com/ytc/AKedOLSbPW34iaixMAuix6DD64p8I6oltSgupzjMYpocXQ=s88-c-k-c0x00ffffff-no-rj")</f>
        <v>https://yt3.ggpht.com/ytc/AKedOLSbPW34iaixMAuix6DD64p8I6oltSgupzjMYpocXQ=s88-c-k-c0x00ffffff-no-rj</v>
      </c>
      <c r="AL274" s="80">
        <v>9003</v>
      </c>
      <c r="AM274" s="80">
        <v>0</v>
      </c>
      <c r="AN274" s="80">
        <v>91</v>
      </c>
      <c r="AO274" s="80" t="b">
        <v>0</v>
      </c>
      <c r="AP274" s="80">
        <v>13</v>
      </c>
      <c r="AQ274" s="80"/>
      <c r="AR274" s="80"/>
      <c r="AS274" s="80" t="s">
        <v>2085</v>
      </c>
      <c r="AT274" s="85" t="str">
        <f>HYPERLINK("https://www.youtube.com/channel/UCGV97-KkEM1mOk2s-iDCXtw")</f>
        <v>https://www.youtube.com/channel/UCGV97-KkEM1mOk2s-iDCXtw</v>
      </c>
      <c r="AU274" s="80" t="str">
        <f>REPLACE(INDEX(GroupVertices[Group],MATCH(Vertices[[#This Row],[Vertex]],GroupVertices[Vertex],0)),1,1,"")</f>
        <v>6</v>
      </c>
      <c r="AV274" s="49">
        <v>1</v>
      </c>
      <c r="AW274" s="50">
        <v>4.761904761904762</v>
      </c>
      <c r="AX274" s="49">
        <v>2</v>
      </c>
      <c r="AY274" s="50">
        <v>9.523809523809524</v>
      </c>
      <c r="AZ274" s="49">
        <v>0</v>
      </c>
      <c r="BA274" s="50">
        <v>0</v>
      </c>
      <c r="BB274" s="49">
        <v>18</v>
      </c>
      <c r="BC274" s="50">
        <v>85.71428571428571</v>
      </c>
      <c r="BD274" s="49">
        <v>21</v>
      </c>
      <c r="BE274" s="49"/>
      <c r="BF274" s="49"/>
      <c r="BG274" s="49"/>
      <c r="BH274" s="49"/>
      <c r="BI274" s="49"/>
      <c r="BJ274" s="49"/>
      <c r="BK274" s="111" t="s">
        <v>3653</v>
      </c>
      <c r="BL274" s="111" t="s">
        <v>3653</v>
      </c>
      <c r="BM274" s="111" t="s">
        <v>4099</v>
      </c>
      <c r="BN274" s="111" t="s">
        <v>4099</v>
      </c>
      <c r="BO274" s="2"/>
      <c r="BP274" s="3"/>
      <c r="BQ274" s="3"/>
      <c r="BR274" s="3"/>
      <c r="BS274" s="3"/>
    </row>
    <row r="275" spans="1:71" ht="15">
      <c r="A275" s="65" t="s">
        <v>609</v>
      </c>
      <c r="B275" s="66"/>
      <c r="C275" s="66"/>
      <c r="D275" s="67">
        <v>150</v>
      </c>
      <c r="E275" s="69"/>
      <c r="F275" s="103" t="str">
        <f>HYPERLINK("https://yt3.ggpht.com/ytc/AKedOLSawjqtQGUgXjI6m_uL7cGtpQ2m9tSJlv3H3IVHEg=s88-c-k-c0x00ffffff-no-rj")</f>
        <v>https://yt3.ggpht.com/ytc/AKedOLSawjqtQGUgXjI6m_uL7cGtpQ2m9tSJlv3H3IVHEg=s88-c-k-c0x00ffffff-no-rj</v>
      </c>
      <c r="G275" s="66"/>
      <c r="H275" s="70" t="s">
        <v>1676</v>
      </c>
      <c r="I275" s="71"/>
      <c r="J275" s="71" t="s">
        <v>159</v>
      </c>
      <c r="K275" s="70" t="s">
        <v>1676</v>
      </c>
      <c r="L275" s="74">
        <v>1</v>
      </c>
      <c r="M275" s="75">
        <v>8597.7431640625</v>
      </c>
      <c r="N275" s="75">
        <v>8278.583984375</v>
      </c>
      <c r="O275" s="76"/>
      <c r="P275" s="77"/>
      <c r="Q275" s="77"/>
      <c r="R275" s="89"/>
      <c r="S275" s="49">
        <v>0</v>
      </c>
      <c r="T275" s="49">
        <v>1</v>
      </c>
      <c r="U275" s="50">
        <v>0</v>
      </c>
      <c r="V275" s="50">
        <v>0.324638</v>
      </c>
      <c r="W275" s="50">
        <v>0.001677</v>
      </c>
      <c r="X275" s="50">
        <v>0.002011</v>
      </c>
      <c r="Y275" s="50">
        <v>0</v>
      </c>
      <c r="Z275" s="50">
        <v>0</v>
      </c>
      <c r="AA275" s="72">
        <v>275</v>
      </c>
      <c r="AB275" s="72"/>
      <c r="AC275" s="73"/>
      <c r="AD275" s="80" t="s">
        <v>1676</v>
      </c>
      <c r="AE275" s="80"/>
      <c r="AF275" s="80"/>
      <c r="AG275" s="80"/>
      <c r="AH275" s="80"/>
      <c r="AI275" s="80"/>
      <c r="AJ275" s="87">
        <v>40504.909525462965</v>
      </c>
      <c r="AK275" s="85" t="str">
        <f>HYPERLINK("https://yt3.ggpht.com/ytc/AKedOLSawjqtQGUgXjI6m_uL7cGtpQ2m9tSJlv3H3IVHEg=s88-c-k-c0x00ffffff-no-rj")</f>
        <v>https://yt3.ggpht.com/ytc/AKedOLSawjqtQGUgXjI6m_uL7cGtpQ2m9tSJlv3H3IVHEg=s88-c-k-c0x00ffffff-no-rj</v>
      </c>
      <c r="AL275" s="80">
        <v>0</v>
      </c>
      <c r="AM275" s="80">
        <v>0</v>
      </c>
      <c r="AN275" s="80">
        <v>5</v>
      </c>
      <c r="AO275" s="80" t="b">
        <v>0</v>
      </c>
      <c r="AP275" s="80">
        <v>0</v>
      </c>
      <c r="AQ275" s="80"/>
      <c r="AR275" s="80"/>
      <c r="AS275" s="80" t="s">
        <v>2085</v>
      </c>
      <c r="AT275" s="85" t="str">
        <f>HYPERLINK("https://www.youtube.com/channel/UCH8JhGysUFU4lt7FcATVRWg")</f>
        <v>https://www.youtube.com/channel/UCH8JhGysUFU4lt7FcATVRWg</v>
      </c>
      <c r="AU275" s="80" t="str">
        <f>REPLACE(INDEX(GroupVertices[Group],MATCH(Vertices[[#This Row],[Vertex]],GroupVertices[Vertex],0)),1,1,"")</f>
        <v>3</v>
      </c>
      <c r="AV275" s="49">
        <v>0</v>
      </c>
      <c r="AW275" s="50">
        <v>0</v>
      </c>
      <c r="AX275" s="49">
        <v>0</v>
      </c>
      <c r="AY275" s="50">
        <v>0</v>
      </c>
      <c r="AZ275" s="49">
        <v>0</v>
      </c>
      <c r="BA275" s="50">
        <v>0</v>
      </c>
      <c r="BB275" s="49">
        <v>14</v>
      </c>
      <c r="BC275" s="50">
        <v>100</v>
      </c>
      <c r="BD275" s="49">
        <v>14</v>
      </c>
      <c r="BE275" s="49"/>
      <c r="BF275" s="49"/>
      <c r="BG275" s="49"/>
      <c r="BH275" s="49"/>
      <c r="BI275" s="49"/>
      <c r="BJ275" s="49"/>
      <c r="BK275" s="111" t="s">
        <v>3654</v>
      </c>
      <c r="BL275" s="111" t="s">
        <v>3654</v>
      </c>
      <c r="BM275" s="111" t="s">
        <v>4100</v>
      </c>
      <c r="BN275" s="111" t="s">
        <v>4100</v>
      </c>
      <c r="BO275" s="2"/>
      <c r="BP275" s="3"/>
      <c r="BQ275" s="3"/>
      <c r="BR275" s="3"/>
      <c r="BS275" s="3"/>
    </row>
    <row r="276" spans="1:71" ht="15">
      <c r="A276" s="65" t="s">
        <v>610</v>
      </c>
      <c r="B276" s="66"/>
      <c r="C276" s="66"/>
      <c r="D276" s="67">
        <v>292.2057027832582</v>
      </c>
      <c r="E276" s="69"/>
      <c r="F276" s="103" t="str">
        <f>HYPERLINK("https://yt3.ggpht.com/B2vx7kNc-zT7AFE9-BopORRcwM7OHDeI5FnOqmbkIIslbJL3dIri-3ggV7Kd2WNuIB8Amy5z1g=s88-c-k-c0x00ffffff-no-rj")</f>
        <v>https://yt3.ggpht.com/B2vx7kNc-zT7AFE9-BopORRcwM7OHDeI5FnOqmbkIIslbJL3dIri-3ggV7Kd2WNuIB8Amy5z1g=s88-c-k-c0x00ffffff-no-rj</v>
      </c>
      <c r="G276" s="66"/>
      <c r="H276" s="70" t="s">
        <v>1677</v>
      </c>
      <c r="I276" s="71"/>
      <c r="J276" s="71" t="s">
        <v>75</v>
      </c>
      <c r="K276" s="70" t="s">
        <v>1677</v>
      </c>
      <c r="L276" s="74">
        <v>60.36263800218559</v>
      </c>
      <c r="M276" s="75">
        <v>8724.95703125</v>
      </c>
      <c r="N276" s="75">
        <v>7968.1630859375</v>
      </c>
      <c r="O276" s="76"/>
      <c r="P276" s="77"/>
      <c r="Q276" s="77"/>
      <c r="R276" s="89"/>
      <c r="S276" s="49">
        <v>2</v>
      </c>
      <c r="T276" s="49">
        <v>1</v>
      </c>
      <c r="U276" s="50">
        <v>1187.166667</v>
      </c>
      <c r="V276" s="50">
        <v>0.480171</v>
      </c>
      <c r="W276" s="50">
        <v>0.035041</v>
      </c>
      <c r="X276" s="50">
        <v>0.002348</v>
      </c>
      <c r="Y276" s="50">
        <v>0</v>
      </c>
      <c r="Z276" s="50">
        <v>0</v>
      </c>
      <c r="AA276" s="72">
        <v>276</v>
      </c>
      <c r="AB276" s="72"/>
      <c r="AC276" s="73"/>
      <c r="AD276" s="80" t="s">
        <v>1677</v>
      </c>
      <c r="AE276" s="80"/>
      <c r="AF276" s="80"/>
      <c r="AG276" s="80"/>
      <c r="AH276" s="80"/>
      <c r="AI276" s="80"/>
      <c r="AJ276" s="87">
        <v>41304.96885416667</v>
      </c>
      <c r="AK276" s="85" t="str">
        <f>HYPERLINK("https://yt3.ggpht.com/B2vx7kNc-zT7AFE9-BopORRcwM7OHDeI5FnOqmbkIIslbJL3dIri-3ggV7Kd2WNuIB8Amy5z1g=s88-c-k-c0x00ffffff-no-rj")</f>
        <v>https://yt3.ggpht.com/B2vx7kNc-zT7AFE9-BopORRcwM7OHDeI5FnOqmbkIIslbJL3dIri-3ggV7Kd2WNuIB8Amy5z1g=s88-c-k-c0x00ffffff-no-rj</v>
      </c>
      <c r="AL276" s="80">
        <v>0</v>
      </c>
      <c r="AM276" s="80">
        <v>0</v>
      </c>
      <c r="AN276" s="80">
        <v>121</v>
      </c>
      <c r="AO276" s="80" t="b">
        <v>0</v>
      </c>
      <c r="AP276" s="80">
        <v>0</v>
      </c>
      <c r="AQ276" s="80"/>
      <c r="AR276" s="80"/>
      <c r="AS276" s="80" t="s">
        <v>2085</v>
      </c>
      <c r="AT276" s="85" t="str">
        <f>HYPERLINK("https://www.youtube.com/channel/UCY2CDTmdxQXgPITxr3JcrRA")</f>
        <v>https://www.youtube.com/channel/UCY2CDTmdxQXgPITxr3JcrRA</v>
      </c>
      <c r="AU276" s="80" t="str">
        <f>REPLACE(INDEX(GroupVertices[Group],MATCH(Vertices[[#This Row],[Vertex]],GroupVertices[Vertex],0)),1,1,"")</f>
        <v>3</v>
      </c>
      <c r="AV276" s="49">
        <v>2</v>
      </c>
      <c r="AW276" s="50">
        <v>3.5714285714285716</v>
      </c>
      <c r="AX276" s="49">
        <v>1</v>
      </c>
      <c r="AY276" s="50">
        <v>1.7857142857142858</v>
      </c>
      <c r="AZ276" s="49">
        <v>0</v>
      </c>
      <c r="BA276" s="50">
        <v>0</v>
      </c>
      <c r="BB276" s="49">
        <v>53</v>
      </c>
      <c r="BC276" s="50">
        <v>94.64285714285714</v>
      </c>
      <c r="BD276" s="49">
        <v>56</v>
      </c>
      <c r="BE276" s="49"/>
      <c r="BF276" s="49"/>
      <c r="BG276" s="49"/>
      <c r="BH276" s="49"/>
      <c r="BI276" s="49"/>
      <c r="BJ276" s="49"/>
      <c r="BK276" s="111" t="s">
        <v>3655</v>
      </c>
      <c r="BL276" s="111" t="s">
        <v>3655</v>
      </c>
      <c r="BM276" s="111" t="s">
        <v>4101</v>
      </c>
      <c r="BN276" s="111" t="s">
        <v>4101</v>
      </c>
      <c r="BO276" s="2"/>
      <c r="BP276" s="3"/>
      <c r="BQ276" s="3"/>
      <c r="BR276" s="3"/>
      <c r="BS276" s="3"/>
    </row>
    <row r="277" spans="1:71" ht="15">
      <c r="A277" s="65" t="s">
        <v>611</v>
      </c>
      <c r="B277" s="66"/>
      <c r="C277" s="66"/>
      <c r="D277" s="67">
        <v>150</v>
      </c>
      <c r="E277" s="69"/>
      <c r="F277" s="103" t="str">
        <f>HYPERLINK("https://yt3.ggpht.com/ytc/AKedOLTIAV0S1Es6IxOIpjBjV9IOjg13ZxGpFr89y9skbQ=s88-c-k-c0x00ffffff-no-rj")</f>
        <v>https://yt3.ggpht.com/ytc/AKedOLTIAV0S1Es6IxOIpjBjV9IOjg13ZxGpFr89y9skbQ=s88-c-k-c0x00ffffff-no-rj</v>
      </c>
      <c r="G277" s="66"/>
      <c r="H277" s="70" t="s">
        <v>1678</v>
      </c>
      <c r="I277" s="71"/>
      <c r="J277" s="71" t="s">
        <v>159</v>
      </c>
      <c r="K277" s="70" t="s">
        <v>1678</v>
      </c>
      <c r="L277" s="74">
        <v>1</v>
      </c>
      <c r="M277" s="75">
        <v>9865.5224609375</v>
      </c>
      <c r="N277" s="75">
        <v>6011.546875</v>
      </c>
      <c r="O277" s="76"/>
      <c r="P277" s="77"/>
      <c r="Q277" s="77"/>
      <c r="R277" s="89"/>
      <c r="S277" s="49">
        <v>0</v>
      </c>
      <c r="T277" s="49">
        <v>1</v>
      </c>
      <c r="U277" s="50">
        <v>0</v>
      </c>
      <c r="V277" s="50">
        <v>0.327725</v>
      </c>
      <c r="W277" s="50">
        <v>0.001779</v>
      </c>
      <c r="X277" s="50">
        <v>0.00196</v>
      </c>
      <c r="Y277" s="50">
        <v>0</v>
      </c>
      <c r="Z277" s="50">
        <v>0</v>
      </c>
      <c r="AA277" s="72">
        <v>277</v>
      </c>
      <c r="AB277" s="72"/>
      <c r="AC277" s="73"/>
      <c r="AD277" s="80" t="s">
        <v>1678</v>
      </c>
      <c r="AE277" s="80"/>
      <c r="AF277" s="80"/>
      <c r="AG277" s="80"/>
      <c r="AH277" s="80"/>
      <c r="AI277" s="80"/>
      <c r="AJ277" s="87">
        <v>40071.30008101852</v>
      </c>
      <c r="AK277" s="85" t="str">
        <f>HYPERLINK("https://yt3.ggpht.com/ytc/AKedOLTIAV0S1Es6IxOIpjBjV9IOjg13ZxGpFr89y9skbQ=s88-c-k-c0x00ffffff-no-rj")</f>
        <v>https://yt3.ggpht.com/ytc/AKedOLTIAV0S1Es6IxOIpjBjV9IOjg13ZxGpFr89y9skbQ=s88-c-k-c0x00ffffff-no-rj</v>
      </c>
      <c r="AL277" s="80">
        <v>0</v>
      </c>
      <c r="AM277" s="80">
        <v>0</v>
      </c>
      <c r="AN277" s="80">
        <v>89</v>
      </c>
      <c r="AO277" s="80" t="b">
        <v>0</v>
      </c>
      <c r="AP277" s="80">
        <v>0</v>
      </c>
      <c r="AQ277" s="80"/>
      <c r="AR277" s="80"/>
      <c r="AS277" s="80" t="s">
        <v>2085</v>
      </c>
      <c r="AT277" s="85" t="str">
        <f>HYPERLINK("https://www.youtube.com/channel/UC45Xsn4MOqKUCE56OEMtqGw")</f>
        <v>https://www.youtube.com/channel/UC45Xsn4MOqKUCE56OEMtqGw</v>
      </c>
      <c r="AU277" s="80" t="str">
        <f>REPLACE(INDEX(GroupVertices[Group],MATCH(Vertices[[#This Row],[Vertex]],GroupVertices[Vertex],0)),1,1,"")</f>
        <v>4</v>
      </c>
      <c r="AV277" s="49">
        <v>0</v>
      </c>
      <c r="AW277" s="50">
        <v>0</v>
      </c>
      <c r="AX277" s="49">
        <v>0</v>
      </c>
      <c r="AY277" s="50">
        <v>0</v>
      </c>
      <c r="AZ277" s="49">
        <v>0</v>
      </c>
      <c r="BA277" s="50">
        <v>0</v>
      </c>
      <c r="BB277" s="49">
        <v>3</v>
      </c>
      <c r="BC277" s="50">
        <v>100</v>
      </c>
      <c r="BD277" s="49">
        <v>3</v>
      </c>
      <c r="BE277" s="49"/>
      <c r="BF277" s="49"/>
      <c r="BG277" s="49"/>
      <c r="BH277" s="49"/>
      <c r="BI277" s="49"/>
      <c r="BJ277" s="49"/>
      <c r="BK277" s="111" t="s">
        <v>3656</v>
      </c>
      <c r="BL277" s="111" t="s">
        <v>3656</v>
      </c>
      <c r="BM277" s="111" t="s">
        <v>4102</v>
      </c>
      <c r="BN277" s="111" t="s">
        <v>4102</v>
      </c>
      <c r="BO277" s="2"/>
      <c r="BP277" s="3"/>
      <c r="BQ277" s="3"/>
      <c r="BR277" s="3"/>
      <c r="BS277" s="3"/>
    </row>
    <row r="278" spans="1:71" ht="15">
      <c r="A278" s="65" t="s">
        <v>620</v>
      </c>
      <c r="B278" s="66"/>
      <c r="C278" s="66"/>
      <c r="D278" s="67">
        <v>1000</v>
      </c>
      <c r="E278" s="69"/>
      <c r="F278" s="103" t="str">
        <f>HYPERLINK("https://yt3.ggpht.com/ytc/AKedOLSmSfwmFDcn0htuGyVk9RqnwJySj8A3Nm-onA4=s88-c-k-c0x00ffffff-no-rj")</f>
        <v>https://yt3.ggpht.com/ytc/AKedOLSmSfwmFDcn0htuGyVk9RqnwJySj8A3Nm-onA4=s88-c-k-c0x00ffffff-no-rj</v>
      </c>
      <c r="G278" s="66"/>
      <c r="H278" s="70" t="s">
        <v>1687</v>
      </c>
      <c r="I278" s="71"/>
      <c r="J278" s="71" t="s">
        <v>75</v>
      </c>
      <c r="K278" s="70" t="s">
        <v>1687</v>
      </c>
      <c r="L278" s="74">
        <v>355.8257300114281</v>
      </c>
      <c r="M278" s="75">
        <v>9135.029296875</v>
      </c>
      <c r="N278" s="75">
        <v>6244.1279296875</v>
      </c>
      <c r="O278" s="76"/>
      <c r="P278" s="77"/>
      <c r="Q278" s="77"/>
      <c r="R278" s="89"/>
      <c r="S278" s="49">
        <v>9</v>
      </c>
      <c r="T278" s="49">
        <v>1</v>
      </c>
      <c r="U278" s="50">
        <v>7096</v>
      </c>
      <c r="V278" s="50">
        <v>0.486957</v>
      </c>
      <c r="W278" s="50">
        <v>0.037152</v>
      </c>
      <c r="X278" s="50">
        <v>0.004437</v>
      </c>
      <c r="Y278" s="50">
        <v>0.011111111111111112</v>
      </c>
      <c r="Z278" s="50">
        <v>0</v>
      </c>
      <c r="AA278" s="72">
        <v>278</v>
      </c>
      <c r="AB278" s="72"/>
      <c r="AC278" s="73"/>
      <c r="AD278" s="80" t="s">
        <v>1687</v>
      </c>
      <c r="AE278" s="80"/>
      <c r="AF278" s="80"/>
      <c r="AG278" s="80"/>
      <c r="AH278" s="80"/>
      <c r="AI278" s="80"/>
      <c r="AJ278" s="87">
        <v>40931.62832175926</v>
      </c>
      <c r="AK278" s="85" t="str">
        <f>HYPERLINK("https://yt3.ggpht.com/ytc/AKedOLSmSfwmFDcn0htuGyVk9RqnwJySj8A3Nm-onA4=s88-c-k-c0x00ffffff-no-rj")</f>
        <v>https://yt3.ggpht.com/ytc/AKedOLSmSfwmFDcn0htuGyVk9RqnwJySj8A3Nm-onA4=s88-c-k-c0x00ffffff-no-rj</v>
      </c>
      <c r="AL278" s="80">
        <v>0</v>
      </c>
      <c r="AM278" s="80">
        <v>0</v>
      </c>
      <c r="AN278" s="80">
        <v>242</v>
      </c>
      <c r="AO278" s="80" t="b">
        <v>0</v>
      </c>
      <c r="AP278" s="80">
        <v>0</v>
      </c>
      <c r="AQ278" s="80"/>
      <c r="AR278" s="80"/>
      <c r="AS278" s="80" t="s">
        <v>2085</v>
      </c>
      <c r="AT278" s="85" t="str">
        <f>HYPERLINK("https://www.youtube.com/channel/UCJIWPruSbOyRLGmT901E58w")</f>
        <v>https://www.youtube.com/channel/UCJIWPruSbOyRLGmT901E58w</v>
      </c>
      <c r="AU278" s="80" t="str">
        <f>REPLACE(INDEX(GroupVertices[Group],MATCH(Vertices[[#This Row],[Vertex]],GroupVertices[Vertex],0)),1,1,"")</f>
        <v>4</v>
      </c>
      <c r="AV278" s="49">
        <v>0</v>
      </c>
      <c r="AW278" s="50">
        <v>0</v>
      </c>
      <c r="AX278" s="49">
        <v>0</v>
      </c>
      <c r="AY278" s="50">
        <v>0</v>
      </c>
      <c r="AZ278" s="49">
        <v>0</v>
      </c>
      <c r="BA278" s="50">
        <v>0</v>
      </c>
      <c r="BB278" s="49">
        <v>10</v>
      </c>
      <c r="BC278" s="50">
        <v>100</v>
      </c>
      <c r="BD278" s="49">
        <v>10</v>
      </c>
      <c r="BE278" s="49"/>
      <c r="BF278" s="49"/>
      <c r="BG278" s="49"/>
      <c r="BH278" s="49"/>
      <c r="BI278" s="49"/>
      <c r="BJ278" s="49"/>
      <c r="BK278" s="111" t="s">
        <v>3657</v>
      </c>
      <c r="BL278" s="111" t="s">
        <v>3657</v>
      </c>
      <c r="BM278" s="111" t="s">
        <v>4103</v>
      </c>
      <c r="BN278" s="111" t="s">
        <v>4103</v>
      </c>
      <c r="BO278" s="2"/>
      <c r="BP278" s="3"/>
      <c r="BQ278" s="3"/>
      <c r="BR278" s="3"/>
      <c r="BS278" s="3"/>
    </row>
    <row r="279" spans="1:71" ht="15">
      <c r="A279" s="65" t="s">
        <v>612</v>
      </c>
      <c r="B279" s="66"/>
      <c r="C279" s="66"/>
      <c r="D279" s="67">
        <v>150</v>
      </c>
      <c r="E279" s="69"/>
      <c r="F279" s="103" t="str">
        <f>HYPERLINK("https://yt3.ggpht.com/ytc/AKedOLT53JM7SyVWowma_tm5SlCHv-rwx-nKETBcCpARSCw=s88-c-k-c0x00ffffff-no-rj")</f>
        <v>https://yt3.ggpht.com/ytc/AKedOLT53JM7SyVWowma_tm5SlCHv-rwx-nKETBcCpARSCw=s88-c-k-c0x00ffffff-no-rj</v>
      </c>
      <c r="G279" s="66"/>
      <c r="H279" s="70" t="s">
        <v>1679</v>
      </c>
      <c r="I279" s="71"/>
      <c r="J279" s="71" t="s">
        <v>159</v>
      </c>
      <c r="K279" s="70" t="s">
        <v>1679</v>
      </c>
      <c r="L279" s="74">
        <v>1</v>
      </c>
      <c r="M279" s="75">
        <v>9036.857421875</v>
      </c>
      <c r="N279" s="75">
        <v>6837.55126953125</v>
      </c>
      <c r="O279" s="76"/>
      <c r="P279" s="77"/>
      <c r="Q279" s="77"/>
      <c r="R279" s="89"/>
      <c r="S279" s="49">
        <v>0</v>
      </c>
      <c r="T279" s="49">
        <v>1</v>
      </c>
      <c r="U279" s="50">
        <v>0</v>
      </c>
      <c r="V279" s="50">
        <v>0.327725</v>
      </c>
      <c r="W279" s="50">
        <v>0.001779</v>
      </c>
      <c r="X279" s="50">
        <v>0.00196</v>
      </c>
      <c r="Y279" s="50">
        <v>0</v>
      </c>
      <c r="Z279" s="50">
        <v>0</v>
      </c>
      <c r="AA279" s="72">
        <v>279</v>
      </c>
      <c r="AB279" s="72"/>
      <c r="AC279" s="73"/>
      <c r="AD279" s="80" t="s">
        <v>1679</v>
      </c>
      <c r="AE279" s="80"/>
      <c r="AF279" s="80"/>
      <c r="AG279" s="80"/>
      <c r="AH279" s="80"/>
      <c r="AI279" s="80"/>
      <c r="AJ279" s="87">
        <v>39916.068773148145</v>
      </c>
      <c r="AK279" s="85" t="str">
        <f>HYPERLINK("https://yt3.ggpht.com/ytc/AKedOLT53JM7SyVWowma_tm5SlCHv-rwx-nKETBcCpARSCw=s88-c-k-c0x00ffffff-no-rj")</f>
        <v>https://yt3.ggpht.com/ytc/AKedOLT53JM7SyVWowma_tm5SlCHv-rwx-nKETBcCpARSCw=s88-c-k-c0x00ffffff-no-rj</v>
      </c>
      <c r="AL279" s="80">
        <v>0</v>
      </c>
      <c r="AM279" s="80">
        <v>0</v>
      </c>
      <c r="AN279" s="80">
        <v>40</v>
      </c>
      <c r="AO279" s="80" t="b">
        <v>0</v>
      </c>
      <c r="AP279" s="80">
        <v>0</v>
      </c>
      <c r="AQ279" s="80"/>
      <c r="AR279" s="80"/>
      <c r="AS279" s="80" t="s">
        <v>2085</v>
      </c>
      <c r="AT279" s="85" t="str">
        <f>HYPERLINK("https://www.youtube.com/channel/UC_lJ_6b3_SsPHLlnRMpWNZA")</f>
        <v>https://www.youtube.com/channel/UC_lJ_6b3_SsPHLlnRMpWNZA</v>
      </c>
      <c r="AU279" s="80" t="str">
        <f>REPLACE(INDEX(GroupVertices[Group],MATCH(Vertices[[#This Row],[Vertex]],GroupVertices[Vertex],0)),1,1,"")</f>
        <v>4</v>
      </c>
      <c r="AV279" s="49">
        <v>0</v>
      </c>
      <c r="AW279" s="50">
        <v>0</v>
      </c>
      <c r="AX279" s="49">
        <v>0</v>
      </c>
      <c r="AY279" s="50">
        <v>0</v>
      </c>
      <c r="AZ279" s="49">
        <v>0</v>
      </c>
      <c r="BA279" s="50">
        <v>0</v>
      </c>
      <c r="BB279" s="49">
        <v>3</v>
      </c>
      <c r="BC279" s="50">
        <v>100</v>
      </c>
      <c r="BD279" s="49">
        <v>3</v>
      </c>
      <c r="BE279" s="49"/>
      <c r="BF279" s="49"/>
      <c r="BG279" s="49"/>
      <c r="BH279" s="49"/>
      <c r="BI279" s="49"/>
      <c r="BJ279" s="49"/>
      <c r="BK279" s="111" t="s">
        <v>1927</v>
      </c>
      <c r="BL279" s="111" t="s">
        <v>1927</v>
      </c>
      <c r="BM279" s="111" t="s">
        <v>1927</v>
      </c>
      <c r="BN279" s="111" t="s">
        <v>1927</v>
      </c>
      <c r="BO279" s="2"/>
      <c r="BP279" s="3"/>
      <c r="BQ279" s="3"/>
      <c r="BR279" s="3"/>
      <c r="BS279" s="3"/>
    </row>
    <row r="280" spans="1:71" ht="15">
      <c r="A280" s="65" t="s">
        <v>613</v>
      </c>
      <c r="B280" s="66"/>
      <c r="C280" s="66"/>
      <c r="D280" s="67">
        <v>150</v>
      </c>
      <c r="E280" s="69"/>
      <c r="F280" s="103" t="str">
        <f>HYPERLINK("https://yt3.ggpht.com/otsOcaAmTTzmXQXtGqCX_NOUpwMbWcNV7WK336Wpl5ZHn6dQ_tP8rbzIfu9WzeOTKodPhokLOQ=s88-c-k-c0x00ffffff-no-rj")</f>
        <v>https://yt3.ggpht.com/otsOcaAmTTzmXQXtGqCX_NOUpwMbWcNV7WK336Wpl5ZHn6dQ_tP8rbzIfu9WzeOTKodPhokLOQ=s88-c-k-c0x00ffffff-no-rj</v>
      </c>
      <c r="G280" s="66"/>
      <c r="H280" s="70" t="s">
        <v>1680</v>
      </c>
      <c r="I280" s="71"/>
      <c r="J280" s="71" t="s">
        <v>159</v>
      </c>
      <c r="K280" s="70" t="s">
        <v>1680</v>
      </c>
      <c r="L280" s="74">
        <v>1</v>
      </c>
      <c r="M280" s="75">
        <v>9496.3916015625</v>
      </c>
      <c r="N280" s="75">
        <v>5711.82421875</v>
      </c>
      <c r="O280" s="76"/>
      <c r="P280" s="77"/>
      <c r="Q280" s="77"/>
      <c r="R280" s="89"/>
      <c r="S280" s="49">
        <v>0</v>
      </c>
      <c r="T280" s="49">
        <v>1</v>
      </c>
      <c r="U280" s="50">
        <v>0</v>
      </c>
      <c r="V280" s="50">
        <v>0.327725</v>
      </c>
      <c r="W280" s="50">
        <v>0.001779</v>
      </c>
      <c r="X280" s="50">
        <v>0.00196</v>
      </c>
      <c r="Y280" s="50">
        <v>0</v>
      </c>
      <c r="Z280" s="50">
        <v>0</v>
      </c>
      <c r="AA280" s="72">
        <v>280</v>
      </c>
      <c r="AB280" s="72"/>
      <c r="AC280" s="73"/>
      <c r="AD280" s="80" t="s">
        <v>1680</v>
      </c>
      <c r="AE280" s="80" t="s">
        <v>2012</v>
      </c>
      <c r="AF280" s="80"/>
      <c r="AG280" s="80"/>
      <c r="AH280" s="80"/>
      <c r="AI280" s="80"/>
      <c r="AJ280" s="87">
        <v>41051.72771990741</v>
      </c>
      <c r="AK280" s="85" t="str">
        <f>HYPERLINK("https://yt3.ggpht.com/otsOcaAmTTzmXQXtGqCX_NOUpwMbWcNV7WK336Wpl5ZHn6dQ_tP8rbzIfu9WzeOTKodPhokLOQ=s88-c-k-c0x00ffffff-no-rj")</f>
        <v>https://yt3.ggpht.com/otsOcaAmTTzmXQXtGqCX_NOUpwMbWcNV7WK336Wpl5ZHn6dQ_tP8rbzIfu9WzeOTKodPhokLOQ=s88-c-k-c0x00ffffff-no-rj</v>
      </c>
      <c r="AL280" s="80">
        <v>444110</v>
      </c>
      <c r="AM280" s="80">
        <v>0</v>
      </c>
      <c r="AN280" s="80">
        <v>50900</v>
      </c>
      <c r="AO280" s="80" t="b">
        <v>0</v>
      </c>
      <c r="AP280" s="80">
        <v>19</v>
      </c>
      <c r="AQ280" s="80"/>
      <c r="AR280" s="80"/>
      <c r="AS280" s="80" t="s">
        <v>2085</v>
      </c>
      <c r="AT280" s="85" t="str">
        <f>HYPERLINK("https://www.youtube.com/channel/UCUBj_5pwQZaoXfBrEQQbADw")</f>
        <v>https://www.youtube.com/channel/UCUBj_5pwQZaoXfBrEQQbADw</v>
      </c>
      <c r="AU280" s="80" t="str">
        <f>REPLACE(INDEX(GroupVertices[Group],MATCH(Vertices[[#This Row],[Vertex]],GroupVertices[Vertex],0)),1,1,"")</f>
        <v>4</v>
      </c>
      <c r="AV280" s="49">
        <v>1</v>
      </c>
      <c r="AW280" s="50">
        <v>8.333333333333334</v>
      </c>
      <c r="AX280" s="49">
        <v>2</v>
      </c>
      <c r="AY280" s="50">
        <v>16.666666666666668</v>
      </c>
      <c r="AZ280" s="49">
        <v>0</v>
      </c>
      <c r="BA280" s="50">
        <v>0</v>
      </c>
      <c r="BB280" s="49">
        <v>9</v>
      </c>
      <c r="BC280" s="50">
        <v>75</v>
      </c>
      <c r="BD280" s="49">
        <v>12</v>
      </c>
      <c r="BE280" s="49"/>
      <c r="BF280" s="49"/>
      <c r="BG280" s="49"/>
      <c r="BH280" s="49"/>
      <c r="BI280" s="49"/>
      <c r="BJ280" s="49"/>
      <c r="BK280" s="111" t="s">
        <v>3658</v>
      </c>
      <c r="BL280" s="111" t="s">
        <v>3658</v>
      </c>
      <c r="BM280" s="111" t="s">
        <v>4104</v>
      </c>
      <c r="BN280" s="111" t="s">
        <v>4104</v>
      </c>
      <c r="BO280" s="2"/>
      <c r="BP280" s="3"/>
      <c r="BQ280" s="3"/>
      <c r="BR280" s="3"/>
      <c r="BS280" s="3"/>
    </row>
    <row r="281" spans="1:71" ht="15">
      <c r="A281" s="65" t="s">
        <v>614</v>
      </c>
      <c r="B281" s="66"/>
      <c r="C281" s="66"/>
      <c r="D281" s="67">
        <v>150</v>
      </c>
      <c r="E281" s="69"/>
      <c r="F281" s="103" t="str">
        <f>HYPERLINK("https://yt3.ggpht.com/ytc/AKedOLRiS7sB1H5SbMOfUsOUxe-JKb1eDnUOaINJ0SUDIlA=s88-c-k-c0x00ffffff-no-rj")</f>
        <v>https://yt3.ggpht.com/ytc/AKedOLRiS7sB1H5SbMOfUsOUxe-JKb1eDnUOaINJ0SUDIlA=s88-c-k-c0x00ffffff-no-rj</v>
      </c>
      <c r="G281" s="66"/>
      <c r="H281" s="70" t="s">
        <v>1681</v>
      </c>
      <c r="I281" s="71"/>
      <c r="J281" s="71" t="s">
        <v>159</v>
      </c>
      <c r="K281" s="70" t="s">
        <v>1681</v>
      </c>
      <c r="L281" s="74">
        <v>1</v>
      </c>
      <c r="M281" s="75">
        <v>9565.583984375</v>
      </c>
      <c r="N281" s="75">
        <v>6746.28515625</v>
      </c>
      <c r="O281" s="76"/>
      <c r="P281" s="77"/>
      <c r="Q281" s="77"/>
      <c r="R281" s="89"/>
      <c r="S281" s="49">
        <v>0</v>
      </c>
      <c r="T281" s="49">
        <v>1</v>
      </c>
      <c r="U281" s="50">
        <v>0</v>
      </c>
      <c r="V281" s="50">
        <v>0.327725</v>
      </c>
      <c r="W281" s="50">
        <v>0.001779</v>
      </c>
      <c r="X281" s="50">
        <v>0.00196</v>
      </c>
      <c r="Y281" s="50">
        <v>0</v>
      </c>
      <c r="Z281" s="50">
        <v>0</v>
      </c>
      <c r="AA281" s="72">
        <v>281</v>
      </c>
      <c r="AB281" s="72"/>
      <c r="AC281" s="73"/>
      <c r="AD281" s="80" t="s">
        <v>1681</v>
      </c>
      <c r="AE281" s="80" t="s">
        <v>2013</v>
      </c>
      <c r="AF281" s="80"/>
      <c r="AG281" s="80"/>
      <c r="AH281" s="80"/>
      <c r="AI281" s="80" t="s">
        <v>2073</v>
      </c>
      <c r="AJ281" s="87">
        <v>40926.97622685185</v>
      </c>
      <c r="AK281" s="85" t="str">
        <f>HYPERLINK("https://yt3.ggpht.com/ytc/AKedOLRiS7sB1H5SbMOfUsOUxe-JKb1eDnUOaINJ0SUDIlA=s88-c-k-c0x00ffffff-no-rj")</f>
        <v>https://yt3.ggpht.com/ytc/AKedOLRiS7sB1H5SbMOfUsOUxe-JKb1eDnUOaINJ0SUDIlA=s88-c-k-c0x00ffffff-no-rj</v>
      </c>
      <c r="AL281" s="80">
        <v>43371</v>
      </c>
      <c r="AM281" s="80">
        <v>0</v>
      </c>
      <c r="AN281" s="80">
        <v>121</v>
      </c>
      <c r="AO281" s="80" t="b">
        <v>0</v>
      </c>
      <c r="AP281" s="80">
        <v>48</v>
      </c>
      <c r="AQ281" s="80"/>
      <c r="AR281" s="80"/>
      <c r="AS281" s="80" t="s">
        <v>2085</v>
      </c>
      <c r="AT281" s="85" t="str">
        <f>HYPERLINK("https://www.youtube.com/channel/UC4QXJxB1E0nhsRB_-le2K4w")</f>
        <v>https://www.youtube.com/channel/UC4QXJxB1E0nhsRB_-le2K4w</v>
      </c>
      <c r="AU281" s="80" t="str">
        <f>REPLACE(INDEX(GroupVertices[Group],MATCH(Vertices[[#This Row],[Vertex]],GroupVertices[Vertex],0)),1,1,"")</f>
        <v>4</v>
      </c>
      <c r="AV281" s="49">
        <v>0</v>
      </c>
      <c r="AW281" s="50">
        <v>0</v>
      </c>
      <c r="AX281" s="49">
        <v>0</v>
      </c>
      <c r="AY281" s="50">
        <v>0</v>
      </c>
      <c r="AZ281" s="49">
        <v>0</v>
      </c>
      <c r="BA281" s="50">
        <v>0</v>
      </c>
      <c r="BB281" s="49">
        <v>3</v>
      </c>
      <c r="BC281" s="50">
        <v>100</v>
      </c>
      <c r="BD281" s="49">
        <v>3</v>
      </c>
      <c r="BE281" s="49"/>
      <c r="BF281" s="49"/>
      <c r="BG281" s="49"/>
      <c r="BH281" s="49"/>
      <c r="BI281" s="49"/>
      <c r="BJ281" s="49"/>
      <c r="BK281" s="111" t="s">
        <v>3659</v>
      </c>
      <c r="BL281" s="111" t="s">
        <v>3659</v>
      </c>
      <c r="BM281" s="111" t="s">
        <v>4105</v>
      </c>
      <c r="BN281" s="111" t="s">
        <v>4105</v>
      </c>
      <c r="BO281" s="2"/>
      <c r="BP281" s="3"/>
      <c r="BQ281" s="3"/>
      <c r="BR281" s="3"/>
      <c r="BS281" s="3"/>
    </row>
    <row r="282" spans="1:71" ht="15">
      <c r="A282" s="65" t="s">
        <v>615</v>
      </c>
      <c r="B282" s="66"/>
      <c r="C282" s="66"/>
      <c r="D282" s="67">
        <v>150</v>
      </c>
      <c r="E282" s="69"/>
      <c r="F282" s="103" t="str">
        <f>HYPERLINK("https://yt3.ggpht.com/ytc/AKedOLRZQApgXMhYdrPn0zFxNJQHWFG05WAGKlFEzg=s88-c-k-c0x00ffffff-no-rj")</f>
        <v>https://yt3.ggpht.com/ytc/AKedOLRZQApgXMhYdrPn0zFxNJQHWFG05WAGKlFEzg=s88-c-k-c0x00ffffff-no-rj</v>
      </c>
      <c r="G282" s="66"/>
      <c r="H282" s="70" t="s">
        <v>1682</v>
      </c>
      <c r="I282" s="71"/>
      <c r="J282" s="71" t="s">
        <v>159</v>
      </c>
      <c r="K282" s="70" t="s">
        <v>1682</v>
      </c>
      <c r="L282" s="74">
        <v>1</v>
      </c>
      <c r="M282" s="75">
        <v>8343.1142578125</v>
      </c>
      <c r="N282" s="75">
        <v>6274.26025390625</v>
      </c>
      <c r="O282" s="76"/>
      <c r="P282" s="77"/>
      <c r="Q282" s="77"/>
      <c r="R282" s="89"/>
      <c r="S282" s="49">
        <v>0</v>
      </c>
      <c r="T282" s="49">
        <v>1</v>
      </c>
      <c r="U282" s="50">
        <v>0</v>
      </c>
      <c r="V282" s="50">
        <v>0.327725</v>
      </c>
      <c r="W282" s="50">
        <v>0.001779</v>
      </c>
      <c r="X282" s="50">
        <v>0.00196</v>
      </c>
      <c r="Y282" s="50">
        <v>0</v>
      </c>
      <c r="Z282" s="50">
        <v>0</v>
      </c>
      <c r="AA282" s="72">
        <v>282</v>
      </c>
      <c r="AB282" s="72"/>
      <c r="AC282" s="73"/>
      <c r="AD282" s="80" t="s">
        <v>1682</v>
      </c>
      <c r="AE282" s="80"/>
      <c r="AF282" s="80"/>
      <c r="AG282" s="80"/>
      <c r="AH282" s="80"/>
      <c r="AI282" s="80"/>
      <c r="AJ282" s="87">
        <v>43832.529398148145</v>
      </c>
      <c r="AK282" s="85" t="str">
        <f>HYPERLINK("https://yt3.ggpht.com/ytc/AKedOLRZQApgXMhYdrPn0zFxNJQHWFG05WAGKlFEzg=s88-c-k-c0x00ffffff-no-rj")</f>
        <v>https://yt3.ggpht.com/ytc/AKedOLRZQApgXMhYdrPn0zFxNJQHWFG05WAGKlFEzg=s88-c-k-c0x00ffffff-no-rj</v>
      </c>
      <c r="AL282" s="80">
        <v>0</v>
      </c>
      <c r="AM282" s="80">
        <v>0</v>
      </c>
      <c r="AN282" s="80">
        <v>0</v>
      </c>
      <c r="AO282" s="80" t="b">
        <v>0</v>
      </c>
      <c r="AP282" s="80">
        <v>0</v>
      </c>
      <c r="AQ282" s="80"/>
      <c r="AR282" s="80"/>
      <c r="AS282" s="80" t="s">
        <v>2085</v>
      </c>
      <c r="AT282" s="85" t="str">
        <f>HYPERLINK("https://www.youtube.com/channel/UCQaK5XxT3ouapC4nahbygOw")</f>
        <v>https://www.youtube.com/channel/UCQaK5XxT3ouapC4nahbygOw</v>
      </c>
      <c r="AU282" s="80" t="str">
        <f>REPLACE(INDEX(GroupVertices[Group],MATCH(Vertices[[#This Row],[Vertex]],GroupVertices[Vertex],0)),1,1,"")</f>
        <v>4</v>
      </c>
      <c r="AV282" s="49">
        <v>0</v>
      </c>
      <c r="AW282" s="50">
        <v>0</v>
      </c>
      <c r="AX282" s="49">
        <v>0</v>
      </c>
      <c r="AY282" s="50">
        <v>0</v>
      </c>
      <c r="AZ282" s="49">
        <v>0</v>
      </c>
      <c r="BA282" s="50">
        <v>0</v>
      </c>
      <c r="BB282" s="49">
        <v>3</v>
      </c>
      <c r="BC282" s="50">
        <v>100</v>
      </c>
      <c r="BD282" s="49">
        <v>3</v>
      </c>
      <c r="BE282" s="49"/>
      <c r="BF282" s="49"/>
      <c r="BG282" s="49"/>
      <c r="BH282" s="49"/>
      <c r="BI282" s="49"/>
      <c r="BJ282" s="49"/>
      <c r="BK282" s="111" t="s">
        <v>2166</v>
      </c>
      <c r="BL282" s="111" t="s">
        <v>2166</v>
      </c>
      <c r="BM282" s="111" t="s">
        <v>1927</v>
      </c>
      <c r="BN282" s="111" t="s">
        <v>1927</v>
      </c>
      <c r="BO282" s="2"/>
      <c r="BP282" s="3"/>
      <c r="BQ282" s="3"/>
      <c r="BR282" s="3"/>
      <c r="BS282" s="3"/>
    </row>
    <row r="283" spans="1:71" ht="15">
      <c r="A283" s="65" t="s">
        <v>616</v>
      </c>
      <c r="B283" s="66"/>
      <c r="C283" s="66"/>
      <c r="D283" s="67">
        <v>150</v>
      </c>
      <c r="E283" s="69"/>
      <c r="F283" s="103" t="str">
        <f>HYPERLINK("https://yt3.ggpht.com/t5cI-STfmT2SEGbyg6XtBt5y7wiRM-IRJWcWbXa66rTbJvYuVzuiC0-R8BwhJJBPgWQHo9kucw=s88-c-k-c0x00ffffff-no-rj")</f>
        <v>https://yt3.ggpht.com/t5cI-STfmT2SEGbyg6XtBt5y7wiRM-IRJWcWbXa66rTbJvYuVzuiC0-R8BwhJJBPgWQHo9kucw=s88-c-k-c0x00ffffff-no-rj</v>
      </c>
      <c r="G283" s="66"/>
      <c r="H283" s="70" t="s">
        <v>1683</v>
      </c>
      <c r="I283" s="71"/>
      <c r="J283" s="71" t="s">
        <v>159</v>
      </c>
      <c r="K283" s="70" t="s">
        <v>1683</v>
      </c>
      <c r="L283" s="74">
        <v>1</v>
      </c>
      <c r="M283" s="75">
        <v>9892.853515625</v>
      </c>
      <c r="N283" s="75">
        <v>6420.0859375</v>
      </c>
      <c r="O283" s="76"/>
      <c r="P283" s="77"/>
      <c r="Q283" s="77"/>
      <c r="R283" s="89"/>
      <c r="S283" s="49">
        <v>0</v>
      </c>
      <c r="T283" s="49">
        <v>1</v>
      </c>
      <c r="U283" s="50">
        <v>0</v>
      </c>
      <c r="V283" s="50">
        <v>0.327725</v>
      </c>
      <c r="W283" s="50">
        <v>0.001779</v>
      </c>
      <c r="X283" s="50">
        <v>0.00196</v>
      </c>
      <c r="Y283" s="50">
        <v>0</v>
      </c>
      <c r="Z283" s="50">
        <v>0</v>
      </c>
      <c r="AA283" s="72">
        <v>283</v>
      </c>
      <c r="AB283" s="72"/>
      <c r="AC283" s="73"/>
      <c r="AD283" s="80" t="s">
        <v>1683</v>
      </c>
      <c r="AE283" s="80"/>
      <c r="AF283" s="80"/>
      <c r="AG283" s="80"/>
      <c r="AH283" s="80"/>
      <c r="AI283" s="80"/>
      <c r="AJ283" s="87">
        <v>44182.75053240741</v>
      </c>
      <c r="AK283" s="85" t="str">
        <f>HYPERLINK("https://yt3.ggpht.com/t5cI-STfmT2SEGbyg6XtBt5y7wiRM-IRJWcWbXa66rTbJvYuVzuiC0-R8BwhJJBPgWQHo9kucw=s88-c-k-c0x00ffffff-no-rj")</f>
        <v>https://yt3.ggpht.com/t5cI-STfmT2SEGbyg6XtBt5y7wiRM-IRJWcWbXa66rTbJvYuVzuiC0-R8BwhJJBPgWQHo9kucw=s88-c-k-c0x00ffffff-no-rj</v>
      </c>
      <c r="AL283" s="80">
        <v>4419</v>
      </c>
      <c r="AM283" s="80">
        <v>0</v>
      </c>
      <c r="AN283" s="80">
        <v>37</v>
      </c>
      <c r="AO283" s="80" t="b">
        <v>0</v>
      </c>
      <c r="AP283" s="80">
        <v>19</v>
      </c>
      <c r="AQ283" s="80"/>
      <c r="AR283" s="80"/>
      <c r="AS283" s="80" t="s">
        <v>2085</v>
      </c>
      <c r="AT283" s="85" t="str">
        <f>HYPERLINK("https://www.youtube.com/channel/UClef0IgUbUnc5C36mbly74Q")</f>
        <v>https://www.youtube.com/channel/UClef0IgUbUnc5C36mbly74Q</v>
      </c>
      <c r="AU283" s="80" t="str">
        <f>REPLACE(INDEX(GroupVertices[Group],MATCH(Vertices[[#This Row],[Vertex]],GroupVertices[Vertex],0)),1,1,"")</f>
        <v>4</v>
      </c>
      <c r="AV283" s="49">
        <v>0</v>
      </c>
      <c r="AW283" s="50">
        <v>0</v>
      </c>
      <c r="AX283" s="49">
        <v>0</v>
      </c>
      <c r="AY283" s="50">
        <v>0</v>
      </c>
      <c r="AZ283" s="49">
        <v>0</v>
      </c>
      <c r="BA283" s="50">
        <v>0</v>
      </c>
      <c r="BB283" s="49">
        <v>16</v>
      </c>
      <c r="BC283" s="50">
        <v>100</v>
      </c>
      <c r="BD283" s="49">
        <v>16</v>
      </c>
      <c r="BE283" s="49"/>
      <c r="BF283" s="49"/>
      <c r="BG283" s="49"/>
      <c r="BH283" s="49"/>
      <c r="BI283" s="49"/>
      <c r="BJ283" s="49"/>
      <c r="BK283" s="111" t="s">
        <v>3660</v>
      </c>
      <c r="BL283" s="111" t="s">
        <v>3660</v>
      </c>
      <c r="BM283" s="111" t="s">
        <v>4106</v>
      </c>
      <c r="BN283" s="111" t="s">
        <v>4106</v>
      </c>
      <c r="BO283" s="2"/>
      <c r="BP283" s="3"/>
      <c r="BQ283" s="3"/>
      <c r="BR283" s="3"/>
      <c r="BS283" s="3"/>
    </row>
    <row r="284" spans="1:71" ht="15">
      <c r="A284" s="65" t="s">
        <v>617</v>
      </c>
      <c r="B284" s="66"/>
      <c r="C284" s="66"/>
      <c r="D284" s="67">
        <v>150</v>
      </c>
      <c r="E284" s="69"/>
      <c r="F284" s="103" t="str">
        <f>HYPERLINK("https://yt3.ggpht.com/ytc/AKedOLQAK7AbUScq484u3BFy1V_Gzr_r-KoWTDegbpTb3Q=s88-c-k-c0x00ffffff-no-rj")</f>
        <v>https://yt3.ggpht.com/ytc/AKedOLQAK7AbUScq484u3BFy1V_Gzr_r-KoWTDegbpTb3Q=s88-c-k-c0x00ffffff-no-rj</v>
      </c>
      <c r="G284" s="66"/>
      <c r="H284" s="70" t="s">
        <v>1684</v>
      </c>
      <c r="I284" s="71"/>
      <c r="J284" s="71" t="s">
        <v>159</v>
      </c>
      <c r="K284" s="70" t="s">
        <v>1684</v>
      </c>
      <c r="L284" s="74">
        <v>1</v>
      </c>
      <c r="M284" s="75">
        <v>8502.705078125</v>
      </c>
      <c r="N284" s="75">
        <v>5883.30029296875</v>
      </c>
      <c r="O284" s="76"/>
      <c r="P284" s="77"/>
      <c r="Q284" s="77"/>
      <c r="R284" s="89"/>
      <c r="S284" s="49">
        <v>0</v>
      </c>
      <c r="T284" s="49">
        <v>1</v>
      </c>
      <c r="U284" s="50">
        <v>0</v>
      </c>
      <c r="V284" s="50">
        <v>0.327725</v>
      </c>
      <c r="W284" s="50">
        <v>0.001779</v>
      </c>
      <c r="X284" s="50">
        <v>0.00196</v>
      </c>
      <c r="Y284" s="50">
        <v>0</v>
      </c>
      <c r="Z284" s="50">
        <v>0</v>
      </c>
      <c r="AA284" s="72">
        <v>284</v>
      </c>
      <c r="AB284" s="72"/>
      <c r="AC284" s="73"/>
      <c r="AD284" s="80" t="s">
        <v>1684</v>
      </c>
      <c r="AE284" s="80"/>
      <c r="AF284" s="80"/>
      <c r="AG284" s="80"/>
      <c r="AH284" s="80"/>
      <c r="AI284" s="80"/>
      <c r="AJ284" s="87">
        <v>41395.59289351852</v>
      </c>
      <c r="AK284" s="85" t="str">
        <f>HYPERLINK("https://yt3.ggpht.com/ytc/AKedOLQAK7AbUScq484u3BFy1V_Gzr_r-KoWTDegbpTb3Q=s88-c-k-c0x00ffffff-no-rj")</f>
        <v>https://yt3.ggpht.com/ytc/AKedOLQAK7AbUScq484u3BFy1V_Gzr_r-KoWTDegbpTb3Q=s88-c-k-c0x00ffffff-no-rj</v>
      </c>
      <c r="AL284" s="80">
        <v>0</v>
      </c>
      <c r="AM284" s="80">
        <v>0</v>
      </c>
      <c r="AN284" s="80">
        <v>2</v>
      </c>
      <c r="AO284" s="80" t="b">
        <v>0</v>
      </c>
      <c r="AP284" s="80">
        <v>0</v>
      </c>
      <c r="AQ284" s="80"/>
      <c r="AR284" s="80"/>
      <c r="AS284" s="80" t="s">
        <v>2085</v>
      </c>
      <c r="AT284" s="85" t="str">
        <f>HYPERLINK("https://www.youtube.com/channel/UCzBlwYz1klkhuxyvJR2FYyw")</f>
        <v>https://www.youtube.com/channel/UCzBlwYz1klkhuxyvJR2FYyw</v>
      </c>
      <c r="AU284" s="80" t="str">
        <f>REPLACE(INDEX(GroupVertices[Group],MATCH(Vertices[[#This Row],[Vertex]],GroupVertices[Vertex],0)),1,1,"")</f>
        <v>4</v>
      </c>
      <c r="AV284" s="49">
        <v>0</v>
      </c>
      <c r="AW284" s="50">
        <v>0</v>
      </c>
      <c r="AX284" s="49">
        <v>0</v>
      </c>
      <c r="AY284" s="50">
        <v>0</v>
      </c>
      <c r="AZ284" s="49">
        <v>0</v>
      </c>
      <c r="BA284" s="50">
        <v>0</v>
      </c>
      <c r="BB284" s="49">
        <v>3</v>
      </c>
      <c r="BC284" s="50">
        <v>100</v>
      </c>
      <c r="BD284" s="49">
        <v>3</v>
      </c>
      <c r="BE284" s="49"/>
      <c r="BF284" s="49"/>
      <c r="BG284" s="49"/>
      <c r="BH284" s="49"/>
      <c r="BI284" s="49"/>
      <c r="BJ284" s="49"/>
      <c r="BK284" s="111" t="s">
        <v>3661</v>
      </c>
      <c r="BL284" s="111" t="s">
        <v>3661</v>
      </c>
      <c r="BM284" s="111" t="s">
        <v>4107</v>
      </c>
      <c r="BN284" s="111" t="s">
        <v>4107</v>
      </c>
      <c r="BO284" s="2"/>
      <c r="BP284" s="3"/>
      <c r="BQ284" s="3"/>
      <c r="BR284" s="3"/>
      <c r="BS284" s="3"/>
    </row>
    <row r="285" spans="1:71" ht="15">
      <c r="A285" s="65" t="s">
        <v>618</v>
      </c>
      <c r="B285" s="66"/>
      <c r="C285" s="66"/>
      <c r="D285" s="67">
        <v>150</v>
      </c>
      <c r="E285" s="69"/>
      <c r="F285" s="103" t="str">
        <f>HYPERLINK("https://yt3.ggpht.com/pbMbN7982MeA57L7Sxa0EpevdgBKZGEXfr9SGPdYCKZj6lbtiBhOWfG5Q_NbihvtNbuRIHOd=s88-c-k-c0x00ffffff-no-rj")</f>
        <v>https://yt3.ggpht.com/pbMbN7982MeA57L7Sxa0EpevdgBKZGEXfr9SGPdYCKZj6lbtiBhOWfG5Q_NbihvtNbuRIHOd=s88-c-k-c0x00ffffff-no-rj</v>
      </c>
      <c r="G285" s="66"/>
      <c r="H285" s="70" t="s">
        <v>1685</v>
      </c>
      <c r="I285" s="71"/>
      <c r="J285" s="71" t="s">
        <v>159</v>
      </c>
      <c r="K285" s="70" t="s">
        <v>1685</v>
      </c>
      <c r="L285" s="74">
        <v>1</v>
      </c>
      <c r="M285" s="75">
        <v>8554.076171875</v>
      </c>
      <c r="N285" s="75">
        <v>6651.10205078125</v>
      </c>
      <c r="O285" s="76"/>
      <c r="P285" s="77"/>
      <c r="Q285" s="77"/>
      <c r="R285" s="89"/>
      <c r="S285" s="49">
        <v>0</v>
      </c>
      <c r="T285" s="49">
        <v>1</v>
      </c>
      <c r="U285" s="50">
        <v>0</v>
      </c>
      <c r="V285" s="50">
        <v>0.327725</v>
      </c>
      <c r="W285" s="50">
        <v>0.001779</v>
      </c>
      <c r="X285" s="50">
        <v>0.00196</v>
      </c>
      <c r="Y285" s="50">
        <v>0</v>
      </c>
      <c r="Z285" s="50">
        <v>0</v>
      </c>
      <c r="AA285" s="72">
        <v>285</v>
      </c>
      <c r="AB285" s="72"/>
      <c r="AC285" s="73"/>
      <c r="AD285" s="80" t="s">
        <v>1685</v>
      </c>
      <c r="AE285" s="80" t="s">
        <v>2014</v>
      </c>
      <c r="AF285" s="80"/>
      <c r="AG285" s="80"/>
      <c r="AH285" s="80"/>
      <c r="AI285" s="80"/>
      <c r="AJ285" s="87">
        <v>43983.451157407406</v>
      </c>
      <c r="AK285" s="85" t="str">
        <f>HYPERLINK("https://yt3.ggpht.com/pbMbN7982MeA57L7Sxa0EpevdgBKZGEXfr9SGPdYCKZj6lbtiBhOWfG5Q_NbihvtNbuRIHOd=s88-c-k-c0x00ffffff-no-rj")</f>
        <v>https://yt3.ggpht.com/pbMbN7982MeA57L7Sxa0EpevdgBKZGEXfr9SGPdYCKZj6lbtiBhOWfG5Q_NbihvtNbuRIHOd=s88-c-k-c0x00ffffff-no-rj</v>
      </c>
      <c r="AL285" s="80">
        <v>0</v>
      </c>
      <c r="AM285" s="80">
        <v>0</v>
      </c>
      <c r="AN285" s="80">
        <v>111</v>
      </c>
      <c r="AO285" s="80" t="b">
        <v>0</v>
      </c>
      <c r="AP285" s="80">
        <v>0</v>
      </c>
      <c r="AQ285" s="80"/>
      <c r="AR285" s="80"/>
      <c r="AS285" s="80" t="s">
        <v>2085</v>
      </c>
      <c r="AT285" s="85" t="str">
        <f>HYPERLINK("https://www.youtube.com/channel/UCcWJRc2C1JbdQNmg__Nbh8w")</f>
        <v>https://www.youtube.com/channel/UCcWJRc2C1JbdQNmg__Nbh8w</v>
      </c>
      <c r="AU285" s="80" t="str">
        <f>REPLACE(INDEX(GroupVertices[Group],MATCH(Vertices[[#This Row],[Vertex]],GroupVertices[Vertex],0)),1,1,"")</f>
        <v>4</v>
      </c>
      <c r="AV285" s="49">
        <v>1</v>
      </c>
      <c r="AW285" s="50">
        <v>33.333333333333336</v>
      </c>
      <c r="AX285" s="49">
        <v>0</v>
      </c>
      <c r="AY285" s="50">
        <v>0</v>
      </c>
      <c r="AZ285" s="49">
        <v>0</v>
      </c>
      <c r="BA285" s="50">
        <v>0</v>
      </c>
      <c r="BB285" s="49">
        <v>2</v>
      </c>
      <c r="BC285" s="50">
        <v>66.66666666666667</v>
      </c>
      <c r="BD285" s="49">
        <v>3</v>
      </c>
      <c r="BE285" s="49"/>
      <c r="BF285" s="49"/>
      <c r="BG285" s="49"/>
      <c r="BH285" s="49"/>
      <c r="BI285" s="49"/>
      <c r="BJ285" s="49"/>
      <c r="BK285" s="111" t="s">
        <v>2157</v>
      </c>
      <c r="BL285" s="111" t="s">
        <v>2157</v>
      </c>
      <c r="BM285" s="111" t="s">
        <v>1927</v>
      </c>
      <c r="BN285" s="111" t="s">
        <v>1927</v>
      </c>
      <c r="BO285" s="2"/>
      <c r="BP285" s="3"/>
      <c r="BQ285" s="3"/>
      <c r="BR285" s="3"/>
      <c r="BS285" s="3"/>
    </row>
    <row r="286" spans="1:71" ht="15">
      <c r="A286" s="65" t="s">
        <v>619</v>
      </c>
      <c r="B286" s="66"/>
      <c r="C286" s="66"/>
      <c r="D286" s="67">
        <v>150</v>
      </c>
      <c r="E286" s="69"/>
      <c r="F286" s="103" t="str">
        <f>HYPERLINK("https://yt3.ggpht.com/ytc/AKedOLTajAtEo-OTNYa1HE24GGvkYIzqPSwAKLxnpw=s88-c-k-c0x00ffffff-no-rj")</f>
        <v>https://yt3.ggpht.com/ytc/AKedOLTajAtEo-OTNYa1HE24GGvkYIzqPSwAKLxnpw=s88-c-k-c0x00ffffff-no-rj</v>
      </c>
      <c r="G286" s="66"/>
      <c r="H286" s="70" t="s">
        <v>1686</v>
      </c>
      <c r="I286" s="71"/>
      <c r="J286" s="71" t="s">
        <v>159</v>
      </c>
      <c r="K286" s="70" t="s">
        <v>1686</v>
      </c>
      <c r="L286" s="74">
        <v>1</v>
      </c>
      <c r="M286" s="75">
        <v>8958.1787109375</v>
      </c>
      <c r="N286" s="75">
        <v>5661.19873046875</v>
      </c>
      <c r="O286" s="76"/>
      <c r="P286" s="77"/>
      <c r="Q286" s="77"/>
      <c r="R286" s="89"/>
      <c r="S286" s="49">
        <v>0</v>
      </c>
      <c r="T286" s="49">
        <v>2</v>
      </c>
      <c r="U286" s="50">
        <v>0</v>
      </c>
      <c r="V286" s="50">
        <v>0.482759</v>
      </c>
      <c r="W286" s="50">
        <v>0.036489</v>
      </c>
      <c r="X286" s="50">
        <v>0.002002</v>
      </c>
      <c r="Y286" s="50">
        <v>0.5</v>
      </c>
      <c r="Z286" s="50">
        <v>0</v>
      </c>
      <c r="AA286" s="72">
        <v>286</v>
      </c>
      <c r="AB286" s="72"/>
      <c r="AC286" s="73"/>
      <c r="AD286" s="80" t="s">
        <v>1686</v>
      </c>
      <c r="AE286" s="80"/>
      <c r="AF286" s="80"/>
      <c r="AG286" s="80"/>
      <c r="AH286" s="80"/>
      <c r="AI286" s="80"/>
      <c r="AJ286" s="87">
        <v>41432.94673611111</v>
      </c>
      <c r="AK286" s="85" t="str">
        <f>HYPERLINK("https://yt3.ggpht.com/ytc/AKedOLTajAtEo-OTNYa1HE24GGvkYIzqPSwAKLxnpw=s88-c-k-c0x00ffffff-no-rj")</f>
        <v>https://yt3.ggpht.com/ytc/AKedOLTajAtEo-OTNYa1HE24GGvkYIzqPSwAKLxnpw=s88-c-k-c0x00ffffff-no-rj</v>
      </c>
      <c r="AL286" s="80">
        <v>0</v>
      </c>
      <c r="AM286" s="80">
        <v>0</v>
      </c>
      <c r="AN286" s="80">
        <v>2</v>
      </c>
      <c r="AO286" s="80" t="b">
        <v>0</v>
      </c>
      <c r="AP286" s="80">
        <v>0</v>
      </c>
      <c r="AQ286" s="80"/>
      <c r="AR286" s="80"/>
      <c r="AS286" s="80" t="s">
        <v>2085</v>
      </c>
      <c r="AT286" s="85" t="str">
        <f>HYPERLINK("https://www.youtube.com/channel/UCkrkDiKoCo1FS0Gh4QqP-UQ")</f>
        <v>https://www.youtube.com/channel/UCkrkDiKoCo1FS0Gh4QqP-UQ</v>
      </c>
      <c r="AU286" s="80" t="str">
        <f>REPLACE(INDEX(GroupVertices[Group],MATCH(Vertices[[#This Row],[Vertex]],GroupVertices[Vertex],0)),1,1,"")</f>
        <v>4</v>
      </c>
      <c r="AV286" s="49">
        <v>0</v>
      </c>
      <c r="AW286" s="50">
        <v>0</v>
      </c>
      <c r="AX286" s="49">
        <v>1</v>
      </c>
      <c r="AY286" s="50">
        <v>10</v>
      </c>
      <c r="AZ286" s="49">
        <v>0</v>
      </c>
      <c r="BA286" s="50">
        <v>0</v>
      </c>
      <c r="BB286" s="49">
        <v>9</v>
      </c>
      <c r="BC286" s="50">
        <v>90</v>
      </c>
      <c r="BD286" s="49">
        <v>10</v>
      </c>
      <c r="BE286" s="49"/>
      <c r="BF286" s="49"/>
      <c r="BG286" s="49"/>
      <c r="BH286" s="49"/>
      <c r="BI286" s="49"/>
      <c r="BJ286" s="49"/>
      <c r="BK286" s="111" t="s">
        <v>3662</v>
      </c>
      <c r="BL286" s="111" t="s">
        <v>3662</v>
      </c>
      <c r="BM286" s="111" t="s">
        <v>4108</v>
      </c>
      <c r="BN286" s="111" t="s">
        <v>4108</v>
      </c>
      <c r="BO286" s="2"/>
      <c r="BP286" s="3"/>
      <c r="BQ286" s="3"/>
      <c r="BR286" s="3"/>
      <c r="BS286" s="3"/>
    </row>
    <row r="287" spans="1:71" ht="15">
      <c r="A287" s="65" t="s">
        <v>621</v>
      </c>
      <c r="B287" s="66"/>
      <c r="C287" s="66"/>
      <c r="D287" s="67">
        <v>150</v>
      </c>
      <c r="E287" s="69"/>
      <c r="F287" s="103" t="str">
        <f>HYPERLINK("https://yt3.ggpht.com/ytc/AKedOLT4yzlKw7Vl2WzMnVWfT_SFIIn14Bjfh4rKToY=s88-c-k-c0x00ffffff-no-rj")</f>
        <v>https://yt3.ggpht.com/ytc/AKedOLT4yzlKw7Vl2WzMnVWfT_SFIIn14Bjfh4rKToY=s88-c-k-c0x00ffffff-no-rj</v>
      </c>
      <c r="G287" s="66"/>
      <c r="H287" s="70" t="s">
        <v>1688</v>
      </c>
      <c r="I287" s="71"/>
      <c r="J287" s="71" t="s">
        <v>159</v>
      </c>
      <c r="K287" s="70" t="s">
        <v>1688</v>
      </c>
      <c r="L287" s="74">
        <v>1</v>
      </c>
      <c r="M287" s="75">
        <v>4321.5439453125</v>
      </c>
      <c r="N287" s="75">
        <v>8552.1640625</v>
      </c>
      <c r="O287" s="76"/>
      <c r="P287" s="77"/>
      <c r="Q287" s="77"/>
      <c r="R287" s="89"/>
      <c r="S287" s="49">
        <v>0</v>
      </c>
      <c r="T287" s="49">
        <v>1</v>
      </c>
      <c r="U287" s="50">
        <v>0</v>
      </c>
      <c r="V287" s="50">
        <v>0.478122</v>
      </c>
      <c r="W287" s="50">
        <v>0.03471</v>
      </c>
      <c r="X287" s="50">
        <v>0.001935</v>
      </c>
      <c r="Y287" s="50">
        <v>0</v>
      </c>
      <c r="Z287" s="50">
        <v>0</v>
      </c>
      <c r="AA287" s="72">
        <v>287</v>
      </c>
      <c r="AB287" s="72"/>
      <c r="AC287" s="73"/>
      <c r="AD287" s="80" t="s">
        <v>1688</v>
      </c>
      <c r="AE287" s="80"/>
      <c r="AF287" s="80"/>
      <c r="AG287" s="80"/>
      <c r="AH287" s="80"/>
      <c r="AI287" s="80"/>
      <c r="AJ287" s="87">
        <v>40880.91203703704</v>
      </c>
      <c r="AK287" s="85" t="str">
        <f>HYPERLINK("https://yt3.ggpht.com/ytc/AKedOLT4yzlKw7Vl2WzMnVWfT_SFIIn14Bjfh4rKToY=s88-c-k-c0x00ffffff-no-rj")</f>
        <v>https://yt3.ggpht.com/ytc/AKedOLT4yzlKw7Vl2WzMnVWfT_SFIIn14Bjfh4rKToY=s88-c-k-c0x00ffffff-no-rj</v>
      </c>
      <c r="AL287" s="80">
        <v>0</v>
      </c>
      <c r="AM287" s="80">
        <v>0</v>
      </c>
      <c r="AN287" s="80">
        <v>0</v>
      </c>
      <c r="AO287" s="80" t="b">
        <v>0</v>
      </c>
      <c r="AP287" s="80">
        <v>0</v>
      </c>
      <c r="AQ287" s="80"/>
      <c r="AR287" s="80"/>
      <c r="AS287" s="80" t="s">
        <v>2085</v>
      </c>
      <c r="AT287" s="85" t="str">
        <f>HYPERLINK("https://www.youtube.com/channel/UCAau4ooACUu7BojOO-nwDBQ")</f>
        <v>https://www.youtube.com/channel/UCAau4ooACUu7BojOO-nwDBQ</v>
      </c>
      <c r="AU287" s="80" t="str">
        <f>REPLACE(INDEX(GroupVertices[Group],MATCH(Vertices[[#This Row],[Vertex]],GroupVertices[Vertex],0)),1,1,"")</f>
        <v>1</v>
      </c>
      <c r="AV287" s="49">
        <v>0</v>
      </c>
      <c r="AW287" s="50">
        <v>0</v>
      </c>
      <c r="AX287" s="49">
        <v>2</v>
      </c>
      <c r="AY287" s="50">
        <v>5.882352941176471</v>
      </c>
      <c r="AZ287" s="49">
        <v>0</v>
      </c>
      <c r="BA287" s="50">
        <v>0</v>
      </c>
      <c r="BB287" s="49">
        <v>32</v>
      </c>
      <c r="BC287" s="50">
        <v>94.11764705882354</v>
      </c>
      <c r="BD287" s="49">
        <v>34</v>
      </c>
      <c r="BE287" s="49" t="s">
        <v>3233</v>
      </c>
      <c r="BF287" s="49" t="s">
        <v>3233</v>
      </c>
      <c r="BG287" s="49" t="s">
        <v>3268</v>
      </c>
      <c r="BH287" s="49" t="s">
        <v>3268</v>
      </c>
      <c r="BI287" s="49"/>
      <c r="BJ287" s="49"/>
      <c r="BK287" s="111" t="s">
        <v>3663</v>
      </c>
      <c r="BL287" s="111" t="s">
        <v>3663</v>
      </c>
      <c r="BM287" s="111" t="s">
        <v>4109</v>
      </c>
      <c r="BN287" s="111" t="s">
        <v>4109</v>
      </c>
      <c r="BO287" s="2"/>
      <c r="BP287" s="3"/>
      <c r="BQ287" s="3"/>
      <c r="BR287" s="3"/>
      <c r="BS287" s="3"/>
    </row>
    <row r="288" spans="1:71" ht="15">
      <c r="A288" s="65" t="s">
        <v>622</v>
      </c>
      <c r="B288" s="66"/>
      <c r="C288" s="66"/>
      <c r="D288" s="67">
        <v>150</v>
      </c>
      <c r="E288" s="69"/>
      <c r="F288" s="103" t="str">
        <f>HYPERLINK("https://yt3.ggpht.com/ytc/AKedOLQy4DKN_6-vJWFAL3LcYXTsvqBGGdBzrLBO_HJv=s88-c-k-c0x00ffffff-no-rj")</f>
        <v>https://yt3.ggpht.com/ytc/AKedOLQy4DKN_6-vJWFAL3LcYXTsvqBGGdBzrLBO_HJv=s88-c-k-c0x00ffffff-no-rj</v>
      </c>
      <c r="G288" s="66"/>
      <c r="H288" s="70" t="s">
        <v>1689</v>
      </c>
      <c r="I288" s="71"/>
      <c r="J288" s="71" t="s">
        <v>159</v>
      </c>
      <c r="K288" s="70" t="s">
        <v>1689</v>
      </c>
      <c r="L288" s="74">
        <v>1</v>
      </c>
      <c r="M288" s="75">
        <v>6651.7490234375</v>
      </c>
      <c r="N288" s="75">
        <v>3354.91064453125</v>
      </c>
      <c r="O288" s="76"/>
      <c r="P288" s="77"/>
      <c r="Q288" s="77"/>
      <c r="R288" s="89"/>
      <c r="S288" s="49">
        <v>0</v>
      </c>
      <c r="T288" s="49">
        <v>1</v>
      </c>
      <c r="U288" s="50">
        <v>0</v>
      </c>
      <c r="V288" s="50">
        <v>0.478122</v>
      </c>
      <c r="W288" s="50">
        <v>0.03471</v>
      </c>
      <c r="X288" s="50">
        <v>0.001935</v>
      </c>
      <c r="Y288" s="50">
        <v>0</v>
      </c>
      <c r="Z288" s="50">
        <v>0</v>
      </c>
      <c r="AA288" s="72">
        <v>288</v>
      </c>
      <c r="AB288" s="72"/>
      <c r="AC288" s="73"/>
      <c r="AD288" s="80" t="s">
        <v>1689</v>
      </c>
      <c r="AE288" s="80"/>
      <c r="AF288" s="80"/>
      <c r="AG288" s="80"/>
      <c r="AH288" s="80"/>
      <c r="AI288" s="80"/>
      <c r="AJ288" s="87">
        <v>40999.34186342593</v>
      </c>
      <c r="AK288" s="85" t="str">
        <f>HYPERLINK("https://yt3.ggpht.com/ytc/AKedOLQy4DKN_6-vJWFAL3LcYXTsvqBGGdBzrLBO_HJv=s88-c-k-c0x00ffffff-no-rj")</f>
        <v>https://yt3.ggpht.com/ytc/AKedOLQy4DKN_6-vJWFAL3LcYXTsvqBGGdBzrLBO_HJv=s88-c-k-c0x00ffffff-no-rj</v>
      </c>
      <c r="AL288" s="80">
        <v>0</v>
      </c>
      <c r="AM288" s="80">
        <v>0</v>
      </c>
      <c r="AN288" s="80">
        <v>0</v>
      </c>
      <c r="AO288" s="80" t="b">
        <v>0</v>
      </c>
      <c r="AP288" s="80">
        <v>0</v>
      </c>
      <c r="AQ288" s="80"/>
      <c r="AR288" s="80"/>
      <c r="AS288" s="80" t="s">
        <v>2085</v>
      </c>
      <c r="AT288" s="85" t="str">
        <f>HYPERLINK("https://www.youtube.com/channel/UC5JNe9QP8zRNsLI5YFRZ4oA")</f>
        <v>https://www.youtube.com/channel/UC5JNe9QP8zRNsLI5YFRZ4oA</v>
      </c>
      <c r="AU288" s="80" t="str">
        <f>REPLACE(INDEX(GroupVertices[Group],MATCH(Vertices[[#This Row],[Vertex]],GroupVertices[Vertex],0)),1,1,"")</f>
        <v>1</v>
      </c>
      <c r="AV288" s="49">
        <v>1</v>
      </c>
      <c r="AW288" s="50">
        <v>50</v>
      </c>
      <c r="AX288" s="49">
        <v>0</v>
      </c>
      <c r="AY288" s="50">
        <v>0</v>
      </c>
      <c r="AZ288" s="49">
        <v>0</v>
      </c>
      <c r="BA288" s="50">
        <v>0</v>
      </c>
      <c r="BB288" s="49">
        <v>1</v>
      </c>
      <c r="BC288" s="50">
        <v>50</v>
      </c>
      <c r="BD288" s="49">
        <v>2</v>
      </c>
      <c r="BE288" s="49"/>
      <c r="BF288" s="49"/>
      <c r="BG288" s="49"/>
      <c r="BH288" s="49"/>
      <c r="BI288" s="49"/>
      <c r="BJ288" s="49"/>
      <c r="BK288" s="111" t="s">
        <v>2178</v>
      </c>
      <c r="BL288" s="111" t="s">
        <v>2178</v>
      </c>
      <c r="BM288" s="111" t="s">
        <v>1927</v>
      </c>
      <c r="BN288" s="111" t="s">
        <v>1927</v>
      </c>
      <c r="BO288" s="2"/>
      <c r="BP288" s="3"/>
      <c r="BQ288" s="3"/>
      <c r="BR288" s="3"/>
      <c r="BS288" s="3"/>
    </row>
    <row r="289" spans="1:71" ht="15">
      <c r="A289" s="65" t="s">
        <v>623</v>
      </c>
      <c r="B289" s="66"/>
      <c r="C289" s="66"/>
      <c r="D289" s="67">
        <v>150</v>
      </c>
      <c r="E289" s="69"/>
      <c r="F289" s="103" t="str">
        <f>HYPERLINK("https://yt3.ggpht.com/ytc/AKedOLRRfKtiCMMkw1ptStntDJMB235cHlAj3IywrA=s88-c-k-c0x00ffffff-no-rj")</f>
        <v>https://yt3.ggpht.com/ytc/AKedOLRRfKtiCMMkw1ptStntDJMB235cHlAj3IywrA=s88-c-k-c0x00ffffff-no-rj</v>
      </c>
      <c r="G289" s="66"/>
      <c r="H289" s="70" t="s">
        <v>1690</v>
      </c>
      <c r="I289" s="71"/>
      <c r="J289" s="71" t="s">
        <v>159</v>
      </c>
      <c r="K289" s="70" t="s">
        <v>1690</v>
      </c>
      <c r="L289" s="74">
        <v>1</v>
      </c>
      <c r="M289" s="75">
        <v>2695.9013671875</v>
      </c>
      <c r="N289" s="75">
        <v>2111.532470703125</v>
      </c>
      <c r="O289" s="76"/>
      <c r="P289" s="77"/>
      <c r="Q289" s="77"/>
      <c r="R289" s="89"/>
      <c r="S289" s="49">
        <v>0</v>
      </c>
      <c r="T289" s="49">
        <v>1</v>
      </c>
      <c r="U289" s="50">
        <v>0</v>
      </c>
      <c r="V289" s="50">
        <v>0.478122</v>
      </c>
      <c r="W289" s="50">
        <v>0.03471</v>
      </c>
      <c r="X289" s="50">
        <v>0.001935</v>
      </c>
      <c r="Y289" s="50">
        <v>0</v>
      </c>
      <c r="Z289" s="50">
        <v>0</v>
      </c>
      <c r="AA289" s="72">
        <v>289</v>
      </c>
      <c r="AB289" s="72"/>
      <c r="AC289" s="73"/>
      <c r="AD289" s="80" t="s">
        <v>1690</v>
      </c>
      <c r="AE289" s="80"/>
      <c r="AF289" s="80"/>
      <c r="AG289" s="80"/>
      <c r="AH289" s="80"/>
      <c r="AI289" s="80"/>
      <c r="AJ289" s="87">
        <v>39161.88070601852</v>
      </c>
      <c r="AK289" s="85" t="str">
        <f>HYPERLINK("https://yt3.ggpht.com/ytc/AKedOLRRfKtiCMMkw1ptStntDJMB235cHlAj3IywrA=s88-c-k-c0x00ffffff-no-rj")</f>
        <v>https://yt3.ggpht.com/ytc/AKedOLRRfKtiCMMkw1ptStntDJMB235cHlAj3IywrA=s88-c-k-c0x00ffffff-no-rj</v>
      </c>
      <c r="AL289" s="80">
        <v>0</v>
      </c>
      <c r="AM289" s="80">
        <v>0</v>
      </c>
      <c r="AN289" s="80">
        <v>1</v>
      </c>
      <c r="AO289" s="80" t="b">
        <v>0</v>
      </c>
      <c r="AP289" s="80">
        <v>0</v>
      </c>
      <c r="AQ289" s="80"/>
      <c r="AR289" s="80"/>
      <c r="AS289" s="80" t="s">
        <v>2085</v>
      </c>
      <c r="AT289" s="85" t="str">
        <f>HYPERLINK("https://www.youtube.com/channel/UCQA36wkfIi92Tj506EhCckA")</f>
        <v>https://www.youtube.com/channel/UCQA36wkfIi92Tj506EhCckA</v>
      </c>
      <c r="AU289" s="80" t="str">
        <f>REPLACE(INDEX(GroupVertices[Group],MATCH(Vertices[[#This Row],[Vertex]],GroupVertices[Vertex],0)),1,1,"")</f>
        <v>1</v>
      </c>
      <c r="AV289" s="49">
        <v>1</v>
      </c>
      <c r="AW289" s="50">
        <v>0.9803921568627451</v>
      </c>
      <c r="AX289" s="49">
        <v>0</v>
      </c>
      <c r="AY289" s="50">
        <v>0</v>
      </c>
      <c r="AZ289" s="49">
        <v>0</v>
      </c>
      <c r="BA289" s="50">
        <v>0</v>
      </c>
      <c r="BB289" s="49">
        <v>101</v>
      </c>
      <c r="BC289" s="50">
        <v>99.01960784313725</v>
      </c>
      <c r="BD289" s="49">
        <v>102</v>
      </c>
      <c r="BE289" s="49"/>
      <c r="BF289" s="49"/>
      <c r="BG289" s="49"/>
      <c r="BH289" s="49"/>
      <c r="BI289" s="49"/>
      <c r="BJ289" s="49"/>
      <c r="BK289" s="111" t="s">
        <v>3664</v>
      </c>
      <c r="BL289" s="111" t="s">
        <v>3664</v>
      </c>
      <c r="BM289" s="111" t="s">
        <v>4110</v>
      </c>
      <c r="BN289" s="111" t="s">
        <v>4110</v>
      </c>
      <c r="BO289" s="2"/>
      <c r="BP289" s="3"/>
      <c r="BQ289" s="3"/>
      <c r="BR289" s="3"/>
      <c r="BS289" s="3"/>
    </row>
    <row r="290" spans="1:71" ht="15">
      <c r="A290" s="65" t="s">
        <v>624</v>
      </c>
      <c r="B290" s="66"/>
      <c r="C290" s="66"/>
      <c r="D290" s="67">
        <v>203.42446448703495</v>
      </c>
      <c r="E290" s="69"/>
      <c r="F290" s="103" t="str">
        <f>HYPERLINK("https://yt3.ggpht.com/ytc/AKedOLTPMY87YovB7wulfIWIauiK9_91-9pKUAn_LQ=s88-c-k-c0x00ffffff-no-rj")</f>
        <v>https://yt3.ggpht.com/ytc/AKedOLTPMY87YovB7wulfIWIauiK9_91-9pKUAn_LQ=s88-c-k-c0x00ffffff-no-rj</v>
      </c>
      <c r="G290" s="66"/>
      <c r="H290" s="70" t="s">
        <v>1691</v>
      </c>
      <c r="I290" s="71"/>
      <c r="J290" s="71" t="s">
        <v>75</v>
      </c>
      <c r="K290" s="70" t="s">
        <v>1691</v>
      </c>
      <c r="L290" s="74">
        <v>23.30161719068446</v>
      </c>
      <c r="M290" s="75">
        <v>8475.7978515625</v>
      </c>
      <c r="N290" s="75">
        <v>1044.01318359375</v>
      </c>
      <c r="O290" s="76"/>
      <c r="P290" s="77"/>
      <c r="Q290" s="77"/>
      <c r="R290" s="89"/>
      <c r="S290" s="49">
        <v>1</v>
      </c>
      <c r="T290" s="49">
        <v>1</v>
      </c>
      <c r="U290" s="50">
        <v>446</v>
      </c>
      <c r="V290" s="50">
        <v>0.479144</v>
      </c>
      <c r="W290" s="50">
        <v>0.034873</v>
      </c>
      <c r="X290" s="50">
        <v>0.002101</v>
      </c>
      <c r="Y290" s="50">
        <v>0</v>
      </c>
      <c r="Z290" s="50">
        <v>0</v>
      </c>
      <c r="AA290" s="72">
        <v>290</v>
      </c>
      <c r="AB290" s="72"/>
      <c r="AC290" s="73"/>
      <c r="AD290" s="80" t="s">
        <v>1691</v>
      </c>
      <c r="AE290" s="80"/>
      <c r="AF290" s="80"/>
      <c r="AG290" s="80"/>
      <c r="AH290" s="80"/>
      <c r="AI290" s="80"/>
      <c r="AJ290" s="87">
        <v>40759.2078125</v>
      </c>
      <c r="AK290" s="85" t="str">
        <f>HYPERLINK("https://yt3.ggpht.com/ytc/AKedOLTPMY87YovB7wulfIWIauiK9_91-9pKUAn_LQ=s88-c-k-c0x00ffffff-no-rj")</f>
        <v>https://yt3.ggpht.com/ytc/AKedOLTPMY87YovB7wulfIWIauiK9_91-9pKUAn_LQ=s88-c-k-c0x00ffffff-no-rj</v>
      </c>
      <c r="AL290" s="80">
        <v>6626</v>
      </c>
      <c r="AM290" s="80">
        <v>0</v>
      </c>
      <c r="AN290" s="80">
        <v>10</v>
      </c>
      <c r="AO290" s="80" t="b">
        <v>0</v>
      </c>
      <c r="AP290" s="80">
        <v>63</v>
      </c>
      <c r="AQ290" s="80"/>
      <c r="AR290" s="80"/>
      <c r="AS290" s="80" t="s">
        <v>2085</v>
      </c>
      <c r="AT290" s="85" t="str">
        <f>HYPERLINK("https://www.youtube.com/channel/UCu5WfUbKdhLCW9aPq3WZsNA")</f>
        <v>https://www.youtube.com/channel/UCu5WfUbKdhLCW9aPq3WZsNA</v>
      </c>
      <c r="AU290" s="80" t="str">
        <f>REPLACE(INDEX(GroupVertices[Group],MATCH(Vertices[[#This Row],[Vertex]],GroupVertices[Vertex],0)),1,1,"")</f>
        <v>10</v>
      </c>
      <c r="AV290" s="49">
        <v>7</v>
      </c>
      <c r="AW290" s="50">
        <v>5.6</v>
      </c>
      <c r="AX290" s="49">
        <v>9</v>
      </c>
      <c r="AY290" s="50">
        <v>7.2</v>
      </c>
      <c r="AZ290" s="49">
        <v>0</v>
      </c>
      <c r="BA290" s="50">
        <v>0</v>
      </c>
      <c r="BB290" s="49">
        <v>109</v>
      </c>
      <c r="BC290" s="50">
        <v>87.2</v>
      </c>
      <c r="BD290" s="49">
        <v>125</v>
      </c>
      <c r="BE290" s="49"/>
      <c r="BF290" s="49"/>
      <c r="BG290" s="49"/>
      <c r="BH290" s="49"/>
      <c r="BI290" s="49"/>
      <c r="BJ290" s="49"/>
      <c r="BK290" s="111" t="s">
        <v>3665</v>
      </c>
      <c r="BL290" s="111" t="s">
        <v>3665</v>
      </c>
      <c r="BM290" s="111" t="s">
        <v>4111</v>
      </c>
      <c r="BN290" s="111" t="s">
        <v>4111</v>
      </c>
      <c r="BO290" s="2"/>
      <c r="BP290" s="3"/>
      <c r="BQ290" s="3"/>
      <c r="BR290" s="3"/>
      <c r="BS290" s="3"/>
    </row>
    <row r="291" spans="1:71" ht="15">
      <c r="A291" s="65" t="s">
        <v>625</v>
      </c>
      <c r="B291" s="66"/>
      <c r="C291" s="66"/>
      <c r="D291" s="67">
        <v>150</v>
      </c>
      <c r="E291" s="69"/>
      <c r="F291" s="103" t="str">
        <f>HYPERLINK("https://yt3.ggpht.com/ytc/AKedOLRcFav6GYXJissbHWbSj-GaXErsigLC7i_0JbBC=s88-c-k-c0x00ffffff-no-rj")</f>
        <v>https://yt3.ggpht.com/ytc/AKedOLRcFav6GYXJissbHWbSj-GaXErsigLC7i_0JbBC=s88-c-k-c0x00ffffff-no-rj</v>
      </c>
      <c r="G291" s="66"/>
      <c r="H291" s="70" t="s">
        <v>1692</v>
      </c>
      <c r="I291" s="71"/>
      <c r="J291" s="71" t="s">
        <v>159</v>
      </c>
      <c r="K291" s="70" t="s">
        <v>1692</v>
      </c>
      <c r="L291" s="74">
        <v>1</v>
      </c>
      <c r="M291" s="75">
        <v>7611.5576171875</v>
      </c>
      <c r="N291" s="75">
        <v>3370.84326171875</v>
      </c>
      <c r="O291" s="76"/>
      <c r="P291" s="77"/>
      <c r="Q291" s="77"/>
      <c r="R291" s="89"/>
      <c r="S291" s="49">
        <v>0</v>
      </c>
      <c r="T291" s="49">
        <v>1</v>
      </c>
      <c r="U291" s="50">
        <v>0</v>
      </c>
      <c r="V291" s="50">
        <v>0.478122</v>
      </c>
      <c r="W291" s="50">
        <v>0.03471</v>
      </c>
      <c r="X291" s="50">
        <v>0.001935</v>
      </c>
      <c r="Y291" s="50">
        <v>0</v>
      </c>
      <c r="Z291" s="50">
        <v>0</v>
      </c>
      <c r="AA291" s="72">
        <v>291</v>
      </c>
      <c r="AB291" s="72"/>
      <c r="AC291" s="73"/>
      <c r="AD291" s="80" t="s">
        <v>1692</v>
      </c>
      <c r="AE291" s="80"/>
      <c r="AF291" s="80"/>
      <c r="AG291" s="80"/>
      <c r="AH291" s="80"/>
      <c r="AI291" s="80"/>
      <c r="AJ291" s="87">
        <v>41458.29383101852</v>
      </c>
      <c r="AK291" s="85" t="str">
        <f>HYPERLINK("https://yt3.ggpht.com/ytc/AKedOLRcFav6GYXJissbHWbSj-GaXErsigLC7i_0JbBC=s88-c-k-c0x00ffffff-no-rj")</f>
        <v>https://yt3.ggpht.com/ytc/AKedOLRcFav6GYXJissbHWbSj-GaXErsigLC7i_0JbBC=s88-c-k-c0x00ffffff-no-rj</v>
      </c>
      <c r="AL291" s="80">
        <v>15</v>
      </c>
      <c r="AM291" s="80">
        <v>0</v>
      </c>
      <c r="AN291" s="80">
        <v>0</v>
      </c>
      <c r="AO291" s="80" t="b">
        <v>0</v>
      </c>
      <c r="AP291" s="80">
        <v>1</v>
      </c>
      <c r="AQ291" s="80"/>
      <c r="AR291" s="80"/>
      <c r="AS291" s="80" t="s">
        <v>2085</v>
      </c>
      <c r="AT291" s="85" t="str">
        <f>HYPERLINK("https://www.youtube.com/channel/UCIRKurTHQZbcvnzcP9qq2RQ")</f>
        <v>https://www.youtube.com/channel/UCIRKurTHQZbcvnzcP9qq2RQ</v>
      </c>
      <c r="AU291" s="80" t="str">
        <f>REPLACE(INDEX(GroupVertices[Group],MATCH(Vertices[[#This Row],[Vertex]],GroupVertices[Vertex],0)),1,1,"")</f>
        <v>1</v>
      </c>
      <c r="AV291" s="49">
        <v>1</v>
      </c>
      <c r="AW291" s="50">
        <v>100</v>
      </c>
      <c r="AX291" s="49">
        <v>0</v>
      </c>
      <c r="AY291" s="50">
        <v>0</v>
      </c>
      <c r="AZ291" s="49">
        <v>0</v>
      </c>
      <c r="BA291" s="50">
        <v>0</v>
      </c>
      <c r="BB291" s="49">
        <v>0</v>
      </c>
      <c r="BC291" s="50">
        <v>0</v>
      </c>
      <c r="BD291" s="49">
        <v>1</v>
      </c>
      <c r="BE291" s="49"/>
      <c r="BF291" s="49"/>
      <c r="BG291" s="49"/>
      <c r="BH291" s="49"/>
      <c r="BI291" s="49"/>
      <c r="BJ291" s="49"/>
      <c r="BK291" s="111" t="s">
        <v>2178</v>
      </c>
      <c r="BL291" s="111" t="s">
        <v>2178</v>
      </c>
      <c r="BM291" s="111" t="s">
        <v>1927</v>
      </c>
      <c r="BN291" s="111" t="s">
        <v>1927</v>
      </c>
      <c r="BO291" s="2"/>
      <c r="BP291" s="3"/>
      <c r="BQ291" s="3"/>
      <c r="BR291" s="3"/>
      <c r="BS291" s="3"/>
    </row>
    <row r="292" spans="1:71" ht="15">
      <c r="A292" s="65" t="s">
        <v>626</v>
      </c>
      <c r="B292" s="66"/>
      <c r="C292" s="66"/>
      <c r="D292" s="67">
        <v>150</v>
      </c>
      <c r="E292" s="69"/>
      <c r="F292" s="103" t="str">
        <f>HYPERLINK("https://yt3.ggpht.com/ytc/AKedOLRlEAP4h5zXDinqUbIjEF09EkdKxF_mlfa4I9THtQ=s88-c-k-c0x00ffffff-no-rj")</f>
        <v>https://yt3.ggpht.com/ytc/AKedOLRlEAP4h5zXDinqUbIjEF09EkdKxF_mlfa4I9THtQ=s88-c-k-c0x00ffffff-no-rj</v>
      </c>
      <c r="G292" s="66"/>
      <c r="H292" s="70" t="s">
        <v>1693</v>
      </c>
      <c r="I292" s="71"/>
      <c r="J292" s="71" t="s">
        <v>159</v>
      </c>
      <c r="K292" s="70" t="s">
        <v>1693</v>
      </c>
      <c r="L292" s="74">
        <v>1</v>
      </c>
      <c r="M292" s="75">
        <v>3760.54638671875</v>
      </c>
      <c r="N292" s="75">
        <v>2630.642578125</v>
      </c>
      <c r="O292" s="76"/>
      <c r="P292" s="77"/>
      <c r="Q292" s="77"/>
      <c r="R292" s="89"/>
      <c r="S292" s="49">
        <v>0</v>
      </c>
      <c r="T292" s="49">
        <v>1</v>
      </c>
      <c r="U292" s="50">
        <v>0</v>
      </c>
      <c r="V292" s="50">
        <v>0.478122</v>
      </c>
      <c r="W292" s="50">
        <v>0.03471</v>
      </c>
      <c r="X292" s="50">
        <v>0.001935</v>
      </c>
      <c r="Y292" s="50">
        <v>0</v>
      </c>
      <c r="Z292" s="50">
        <v>0</v>
      </c>
      <c r="AA292" s="72">
        <v>292</v>
      </c>
      <c r="AB292" s="72"/>
      <c r="AC292" s="73"/>
      <c r="AD292" s="80" t="s">
        <v>1693</v>
      </c>
      <c r="AE292" s="80" t="s">
        <v>2015</v>
      </c>
      <c r="AF292" s="80"/>
      <c r="AG292" s="80"/>
      <c r="AH292" s="80"/>
      <c r="AI292" s="80"/>
      <c r="AJ292" s="87">
        <v>40260.121782407405</v>
      </c>
      <c r="AK292" s="85" t="str">
        <f>HYPERLINK("https://yt3.ggpht.com/ytc/AKedOLRlEAP4h5zXDinqUbIjEF09EkdKxF_mlfa4I9THtQ=s88-c-k-c0x00ffffff-no-rj")</f>
        <v>https://yt3.ggpht.com/ytc/AKedOLRlEAP4h5zXDinqUbIjEF09EkdKxF_mlfa4I9THtQ=s88-c-k-c0x00ffffff-no-rj</v>
      </c>
      <c r="AL292" s="80">
        <v>0</v>
      </c>
      <c r="AM292" s="80">
        <v>0</v>
      </c>
      <c r="AN292" s="80">
        <v>5</v>
      </c>
      <c r="AO292" s="80" t="b">
        <v>0</v>
      </c>
      <c r="AP292" s="80">
        <v>0</v>
      </c>
      <c r="AQ292" s="80"/>
      <c r="AR292" s="80"/>
      <c r="AS292" s="80" t="s">
        <v>2085</v>
      </c>
      <c r="AT292" s="85" t="str">
        <f>HYPERLINK("https://www.youtube.com/channel/UCJxsJfUTdHcEZ2gUemsUU1g")</f>
        <v>https://www.youtube.com/channel/UCJxsJfUTdHcEZ2gUemsUU1g</v>
      </c>
      <c r="AU292" s="80" t="str">
        <f>REPLACE(INDEX(GroupVertices[Group],MATCH(Vertices[[#This Row],[Vertex]],GroupVertices[Vertex],0)),1,1,"")</f>
        <v>1</v>
      </c>
      <c r="AV292" s="49">
        <v>0</v>
      </c>
      <c r="AW292" s="50">
        <v>0</v>
      </c>
      <c r="AX292" s="49">
        <v>3</v>
      </c>
      <c r="AY292" s="50">
        <v>18.75</v>
      </c>
      <c r="AZ292" s="49">
        <v>0</v>
      </c>
      <c r="BA292" s="50">
        <v>0</v>
      </c>
      <c r="BB292" s="49">
        <v>13</v>
      </c>
      <c r="BC292" s="50">
        <v>81.25</v>
      </c>
      <c r="BD292" s="49">
        <v>16</v>
      </c>
      <c r="BE292" s="49"/>
      <c r="BF292" s="49"/>
      <c r="BG292" s="49"/>
      <c r="BH292" s="49"/>
      <c r="BI292" s="49"/>
      <c r="BJ292" s="49"/>
      <c r="BK292" s="111" t="s">
        <v>3666</v>
      </c>
      <c r="BL292" s="111" t="s">
        <v>3666</v>
      </c>
      <c r="BM292" s="111" t="s">
        <v>4112</v>
      </c>
      <c r="BN292" s="111" t="s">
        <v>4112</v>
      </c>
      <c r="BO292" s="2"/>
      <c r="BP292" s="3"/>
      <c r="BQ292" s="3"/>
      <c r="BR292" s="3"/>
      <c r="BS292" s="3"/>
    </row>
    <row r="293" spans="1:71" ht="15">
      <c r="A293" s="65" t="s">
        <v>627</v>
      </c>
      <c r="B293" s="66"/>
      <c r="C293" s="66"/>
      <c r="D293" s="67">
        <v>150</v>
      </c>
      <c r="E293" s="69"/>
      <c r="F293" s="103" t="str">
        <f>HYPERLINK("https://yt3.ggpht.com/ytc/AKedOLRngbNgNuhR3r_9fS8dGW4flRdwuq94cB8lyf8ADOo=s88-c-k-c0x00ffffff-no-rj")</f>
        <v>https://yt3.ggpht.com/ytc/AKedOLRngbNgNuhR3r_9fS8dGW4flRdwuq94cB8lyf8ADOo=s88-c-k-c0x00ffffff-no-rj</v>
      </c>
      <c r="G293" s="66"/>
      <c r="H293" s="70" t="s">
        <v>1694</v>
      </c>
      <c r="I293" s="71"/>
      <c r="J293" s="71" t="s">
        <v>159</v>
      </c>
      <c r="K293" s="70" t="s">
        <v>1694</v>
      </c>
      <c r="L293" s="74">
        <v>1</v>
      </c>
      <c r="M293" s="75">
        <v>5468.19921875</v>
      </c>
      <c r="N293" s="75">
        <v>5099.98291015625</v>
      </c>
      <c r="O293" s="76"/>
      <c r="P293" s="77"/>
      <c r="Q293" s="77"/>
      <c r="R293" s="89"/>
      <c r="S293" s="49">
        <v>0</v>
      </c>
      <c r="T293" s="49">
        <v>1</v>
      </c>
      <c r="U293" s="50">
        <v>0</v>
      </c>
      <c r="V293" s="50">
        <v>0.478122</v>
      </c>
      <c r="W293" s="50">
        <v>0.03471</v>
      </c>
      <c r="X293" s="50">
        <v>0.001935</v>
      </c>
      <c r="Y293" s="50">
        <v>0</v>
      </c>
      <c r="Z293" s="50">
        <v>0</v>
      </c>
      <c r="AA293" s="72">
        <v>293</v>
      </c>
      <c r="AB293" s="72"/>
      <c r="AC293" s="73"/>
      <c r="AD293" s="80" t="s">
        <v>1694</v>
      </c>
      <c r="AE293" s="80" t="s">
        <v>2016</v>
      </c>
      <c r="AF293" s="80"/>
      <c r="AG293" s="80"/>
      <c r="AH293" s="80"/>
      <c r="AI293" s="80" t="s">
        <v>2074</v>
      </c>
      <c r="AJ293" s="87">
        <v>40781.82833333333</v>
      </c>
      <c r="AK293" s="85" t="str">
        <f>HYPERLINK("https://yt3.ggpht.com/ytc/AKedOLRngbNgNuhR3r_9fS8dGW4flRdwuq94cB8lyf8ADOo=s88-c-k-c0x00ffffff-no-rj")</f>
        <v>https://yt3.ggpht.com/ytc/AKedOLRngbNgNuhR3r_9fS8dGW4flRdwuq94cB8lyf8ADOo=s88-c-k-c0x00ffffff-no-rj</v>
      </c>
      <c r="AL293" s="80">
        <v>20320</v>
      </c>
      <c r="AM293" s="80">
        <v>0</v>
      </c>
      <c r="AN293" s="80">
        <v>0</v>
      </c>
      <c r="AO293" s="80" t="b">
        <v>1</v>
      </c>
      <c r="AP293" s="80">
        <v>44</v>
      </c>
      <c r="AQ293" s="80"/>
      <c r="AR293" s="80"/>
      <c r="AS293" s="80" t="s">
        <v>2085</v>
      </c>
      <c r="AT293" s="85" t="str">
        <f>HYPERLINK("https://www.youtube.com/channel/UCNUGMBHK4lmDI5WepvRT4DA")</f>
        <v>https://www.youtube.com/channel/UCNUGMBHK4lmDI5WepvRT4DA</v>
      </c>
      <c r="AU293" s="80" t="str">
        <f>REPLACE(INDEX(GroupVertices[Group],MATCH(Vertices[[#This Row],[Vertex]],GroupVertices[Vertex],0)),1,1,"")</f>
        <v>1</v>
      </c>
      <c r="AV293" s="49">
        <v>2</v>
      </c>
      <c r="AW293" s="50">
        <v>28.571428571428573</v>
      </c>
      <c r="AX293" s="49">
        <v>0</v>
      </c>
      <c r="AY293" s="50">
        <v>0</v>
      </c>
      <c r="AZ293" s="49">
        <v>0</v>
      </c>
      <c r="BA293" s="50">
        <v>0</v>
      </c>
      <c r="BB293" s="49">
        <v>5</v>
      </c>
      <c r="BC293" s="50">
        <v>71.42857142857143</v>
      </c>
      <c r="BD293" s="49">
        <v>7</v>
      </c>
      <c r="BE293" s="49"/>
      <c r="BF293" s="49"/>
      <c r="BG293" s="49"/>
      <c r="BH293" s="49"/>
      <c r="BI293" s="49"/>
      <c r="BJ293" s="49"/>
      <c r="BK293" s="111" t="s">
        <v>3667</v>
      </c>
      <c r="BL293" s="111" t="s">
        <v>3667</v>
      </c>
      <c r="BM293" s="111" t="s">
        <v>4113</v>
      </c>
      <c r="BN293" s="111" t="s">
        <v>4113</v>
      </c>
      <c r="BO293" s="2"/>
      <c r="BP293" s="3"/>
      <c r="BQ293" s="3"/>
      <c r="BR293" s="3"/>
      <c r="BS293" s="3"/>
    </row>
    <row r="294" spans="1:71" ht="15">
      <c r="A294" s="65" t="s">
        <v>628</v>
      </c>
      <c r="B294" s="66"/>
      <c r="C294" s="66"/>
      <c r="D294" s="67">
        <v>150</v>
      </c>
      <c r="E294" s="69"/>
      <c r="F294" s="103" t="str">
        <f>HYPERLINK("https://yt3.ggpht.com/ytc/AKedOLT0QVTdIkuzyUjiyQbGNY0gL7-A3n2Vc_TiXnbuwA=s88-c-k-c0x00ffffff-no-rj")</f>
        <v>https://yt3.ggpht.com/ytc/AKedOLT0QVTdIkuzyUjiyQbGNY0gL7-A3n2Vc_TiXnbuwA=s88-c-k-c0x00ffffff-no-rj</v>
      </c>
      <c r="G294" s="66"/>
      <c r="H294" s="70" t="s">
        <v>1695</v>
      </c>
      <c r="I294" s="71"/>
      <c r="J294" s="71" t="s">
        <v>159</v>
      </c>
      <c r="K294" s="70" t="s">
        <v>1695</v>
      </c>
      <c r="L294" s="74">
        <v>1</v>
      </c>
      <c r="M294" s="75">
        <v>7148.513671875</v>
      </c>
      <c r="N294" s="75">
        <v>7038.6162109375</v>
      </c>
      <c r="O294" s="76"/>
      <c r="P294" s="77"/>
      <c r="Q294" s="77"/>
      <c r="R294" s="89"/>
      <c r="S294" s="49">
        <v>0</v>
      </c>
      <c r="T294" s="49">
        <v>1</v>
      </c>
      <c r="U294" s="50">
        <v>0</v>
      </c>
      <c r="V294" s="50">
        <v>0.478122</v>
      </c>
      <c r="W294" s="50">
        <v>0.03471</v>
      </c>
      <c r="X294" s="50">
        <v>0.001935</v>
      </c>
      <c r="Y294" s="50">
        <v>0</v>
      </c>
      <c r="Z294" s="50">
        <v>0</v>
      </c>
      <c r="AA294" s="72">
        <v>294</v>
      </c>
      <c r="AB294" s="72"/>
      <c r="AC294" s="73"/>
      <c r="AD294" s="80" t="s">
        <v>1695</v>
      </c>
      <c r="AE294" s="80"/>
      <c r="AF294" s="80"/>
      <c r="AG294" s="80"/>
      <c r="AH294" s="80"/>
      <c r="AI294" s="80"/>
      <c r="AJ294" s="87">
        <v>42267.07927083333</v>
      </c>
      <c r="AK294" s="85" t="str">
        <f>HYPERLINK("https://yt3.ggpht.com/ytc/AKedOLT0QVTdIkuzyUjiyQbGNY0gL7-A3n2Vc_TiXnbuwA=s88-c-k-c0x00ffffff-no-rj")</f>
        <v>https://yt3.ggpht.com/ytc/AKedOLT0QVTdIkuzyUjiyQbGNY0gL7-A3n2Vc_TiXnbuwA=s88-c-k-c0x00ffffff-no-rj</v>
      </c>
      <c r="AL294" s="80">
        <v>0</v>
      </c>
      <c r="AM294" s="80">
        <v>0</v>
      </c>
      <c r="AN294" s="80">
        <v>13</v>
      </c>
      <c r="AO294" s="80" t="b">
        <v>0</v>
      </c>
      <c r="AP294" s="80">
        <v>0</v>
      </c>
      <c r="AQ294" s="80"/>
      <c r="AR294" s="80"/>
      <c r="AS294" s="80" t="s">
        <v>2085</v>
      </c>
      <c r="AT294" s="85" t="str">
        <f>HYPERLINK("https://www.youtube.com/channel/UCj8T96meSgpGxUWeEj3vWPw")</f>
        <v>https://www.youtube.com/channel/UCj8T96meSgpGxUWeEj3vWPw</v>
      </c>
      <c r="AU294" s="80" t="str">
        <f>REPLACE(INDEX(GroupVertices[Group],MATCH(Vertices[[#This Row],[Vertex]],GroupVertices[Vertex],0)),1,1,"")</f>
        <v>1</v>
      </c>
      <c r="AV294" s="49">
        <v>1</v>
      </c>
      <c r="AW294" s="50">
        <v>50</v>
      </c>
      <c r="AX294" s="49">
        <v>0</v>
      </c>
      <c r="AY294" s="50">
        <v>0</v>
      </c>
      <c r="AZ294" s="49">
        <v>0</v>
      </c>
      <c r="BA294" s="50">
        <v>0</v>
      </c>
      <c r="BB294" s="49">
        <v>1</v>
      </c>
      <c r="BC294" s="50">
        <v>50</v>
      </c>
      <c r="BD294" s="49">
        <v>2</v>
      </c>
      <c r="BE294" s="49"/>
      <c r="BF294" s="49"/>
      <c r="BG294" s="49"/>
      <c r="BH294" s="49"/>
      <c r="BI294" s="49"/>
      <c r="BJ294" s="49"/>
      <c r="BK294" s="111" t="s">
        <v>1203</v>
      </c>
      <c r="BL294" s="111" t="s">
        <v>1203</v>
      </c>
      <c r="BM294" s="111" t="s">
        <v>4114</v>
      </c>
      <c r="BN294" s="111" t="s">
        <v>4114</v>
      </c>
      <c r="BO294" s="2"/>
      <c r="BP294" s="3"/>
      <c r="BQ294" s="3"/>
      <c r="BR294" s="3"/>
      <c r="BS294" s="3"/>
    </row>
    <row r="295" spans="1:71" ht="15">
      <c r="A295" s="65" t="s">
        <v>629</v>
      </c>
      <c r="B295" s="66"/>
      <c r="C295" s="66"/>
      <c r="D295" s="67">
        <v>150</v>
      </c>
      <c r="E295" s="69"/>
      <c r="F295" s="103" t="str">
        <f>HYPERLINK("https://yt3.ggpht.com/ytc/AKedOLQrpYXoMpGSS8sEXFBw1TiRxvX9DItMdikBv96A=s88-c-k-c0x00ffffff-no-rj")</f>
        <v>https://yt3.ggpht.com/ytc/AKedOLQrpYXoMpGSS8sEXFBw1TiRxvX9DItMdikBv96A=s88-c-k-c0x00ffffff-no-rj</v>
      </c>
      <c r="G295" s="66"/>
      <c r="H295" s="70" t="s">
        <v>1696</v>
      </c>
      <c r="I295" s="71"/>
      <c r="J295" s="71" t="s">
        <v>159</v>
      </c>
      <c r="K295" s="70" t="s">
        <v>1696</v>
      </c>
      <c r="L295" s="74">
        <v>1</v>
      </c>
      <c r="M295" s="75">
        <v>8343.1142578125</v>
      </c>
      <c r="N295" s="75">
        <v>8675.7578125</v>
      </c>
      <c r="O295" s="76"/>
      <c r="P295" s="77"/>
      <c r="Q295" s="77"/>
      <c r="R295" s="89"/>
      <c r="S295" s="49">
        <v>0</v>
      </c>
      <c r="T295" s="49">
        <v>1</v>
      </c>
      <c r="U295" s="50">
        <v>0</v>
      </c>
      <c r="V295" s="50">
        <v>0.326055</v>
      </c>
      <c r="W295" s="50">
        <v>0.001685</v>
      </c>
      <c r="X295" s="50">
        <v>0.001975</v>
      </c>
      <c r="Y295" s="50">
        <v>0</v>
      </c>
      <c r="Z295" s="50">
        <v>0</v>
      </c>
      <c r="AA295" s="72">
        <v>295</v>
      </c>
      <c r="AB295" s="72"/>
      <c r="AC295" s="73"/>
      <c r="AD295" s="80" t="s">
        <v>1696</v>
      </c>
      <c r="AE295" s="80"/>
      <c r="AF295" s="80"/>
      <c r="AG295" s="80"/>
      <c r="AH295" s="80"/>
      <c r="AI295" s="80"/>
      <c r="AJ295" s="87">
        <v>39569.07910879629</v>
      </c>
      <c r="AK295" s="85" t="str">
        <f>HYPERLINK("https://yt3.ggpht.com/ytc/AKedOLQrpYXoMpGSS8sEXFBw1TiRxvX9DItMdikBv96A=s88-c-k-c0x00ffffff-no-rj")</f>
        <v>https://yt3.ggpht.com/ytc/AKedOLQrpYXoMpGSS8sEXFBw1TiRxvX9DItMdikBv96A=s88-c-k-c0x00ffffff-no-rj</v>
      </c>
      <c r="AL295" s="80">
        <v>864</v>
      </c>
      <c r="AM295" s="80">
        <v>0</v>
      </c>
      <c r="AN295" s="80">
        <v>4</v>
      </c>
      <c r="AO295" s="80" t="b">
        <v>0</v>
      </c>
      <c r="AP295" s="80">
        <v>2</v>
      </c>
      <c r="AQ295" s="80"/>
      <c r="AR295" s="80"/>
      <c r="AS295" s="80" t="s">
        <v>2085</v>
      </c>
      <c r="AT295" s="85" t="str">
        <f>HYPERLINK("https://www.youtube.com/channel/UCBwwnBABR8YjpkkX2POIKhQ")</f>
        <v>https://www.youtube.com/channel/UCBwwnBABR8YjpkkX2POIKhQ</v>
      </c>
      <c r="AU295" s="80" t="str">
        <f>REPLACE(INDEX(GroupVertices[Group],MATCH(Vertices[[#This Row],[Vertex]],GroupVertices[Vertex],0)),1,1,"")</f>
        <v>2</v>
      </c>
      <c r="AV295" s="49">
        <v>0</v>
      </c>
      <c r="AW295" s="50">
        <v>0</v>
      </c>
      <c r="AX295" s="49">
        <v>1</v>
      </c>
      <c r="AY295" s="50">
        <v>16.666666666666668</v>
      </c>
      <c r="AZ295" s="49">
        <v>0</v>
      </c>
      <c r="BA295" s="50">
        <v>0</v>
      </c>
      <c r="BB295" s="49">
        <v>5</v>
      </c>
      <c r="BC295" s="50">
        <v>83.33333333333333</v>
      </c>
      <c r="BD295" s="49">
        <v>6</v>
      </c>
      <c r="BE295" s="49"/>
      <c r="BF295" s="49"/>
      <c r="BG295" s="49"/>
      <c r="BH295" s="49"/>
      <c r="BI295" s="49"/>
      <c r="BJ295" s="49"/>
      <c r="BK295" s="111" t="s">
        <v>3668</v>
      </c>
      <c r="BL295" s="111" t="s">
        <v>3668</v>
      </c>
      <c r="BM295" s="111" t="s">
        <v>4115</v>
      </c>
      <c r="BN295" s="111" t="s">
        <v>4115</v>
      </c>
      <c r="BO295" s="2"/>
      <c r="BP295" s="3"/>
      <c r="BQ295" s="3"/>
      <c r="BR295" s="3"/>
      <c r="BS295" s="3"/>
    </row>
    <row r="296" spans="1:71" ht="15">
      <c r="A296" s="65" t="s">
        <v>633</v>
      </c>
      <c r="B296" s="66"/>
      <c r="C296" s="66"/>
      <c r="D296" s="67">
        <v>629.462608082018</v>
      </c>
      <c r="E296" s="69"/>
      <c r="F296" s="103" t="str">
        <f>HYPERLINK("https://yt3.ggpht.com/ytc/AKedOLQEEvMyXldvIVqg4Uqe_VkZEwJlnckur4OR4my_=s88-c-k-c0x00ffffff-no-rj")</f>
        <v>https://yt3.ggpht.com/ytc/AKedOLQEEvMyXldvIVqg4Uqe_VkZEwJlnckur4OR4my_=s88-c-k-c0x00ffffff-no-rj</v>
      </c>
      <c r="G296" s="66"/>
      <c r="H296" s="70" t="s">
        <v>1700</v>
      </c>
      <c r="I296" s="71"/>
      <c r="J296" s="71" t="s">
        <v>75</v>
      </c>
      <c r="K296" s="70" t="s">
        <v>1700</v>
      </c>
      <c r="L296" s="74">
        <v>201.14784697162978</v>
      </c>
      <c r="M296" s="75">
        <v>8817.9658203125</v>
      </c>
      <c r="N296" s="75">
        <v>8716.9716796875</v>
      </c>
      <c r="O296" s="76"/>
      <c r="P296" s="77"/>
      <c r="Q296" s="77"/>
      <c r="R296" s="89"/>
      <c r="S296" s="49">
        <v>5</v>
      </c>
      <c r="T296" s="49">
        <v>1</v>
      </c>
      <c r="U296" s="50">
        <v>4002.666667</v>
      </c>
      <c r="V296" s="50">
        <v>0.483279</v>
      </c>
      <c r="W296" s="50">
        <v>0.035207</v>
      </c>
      <c r="X296" s="50">
        <v>0.003274</v>
      </c>
      <c r="Y296" s="50">
        <v>0</v>
      </c>
      <c r="Z296" s="50">
        <v>0</v>
      </c>
      <c r="AA296" s="72">
        <v>296</v>
      </c>
      <c r="AB296" s="72"/>
      <c r="AC296" s="73"/>
      <c r="AD296" s="80" t="s">
        <v>1700</v>
      </c>
      <c r="AE296" s="80"/>
      <c r="AF296" s="80"/>
      <c r="AG296" s="80"/>
      <c r="AH296" s="80"/>
      <c r="AI296" s="80"/>
      <c r="AJ296" s="87">
        <v>40344.87412037037</v>
      </c>
      <c r="AK296" s="85" t="str">
        <f>HYPERLINK("https://yt3.ggpht.com/ytc/AKedOLQEEvMyXldvIVqg4Uqe_VkZEwJlnckur4OR4my_=s88-c-k-c0x00ffffff-no-rj")</f>
        <v>https://yt3.ggpht.com/ytc/AKedOLQEEvMyXldvIVqg4Uqe_VkZEwJlnckur4OR4my_=s88-c-k-c0x00ffffff-no-rj</v>
      </c>
      <c r="AL296" s="80">
        <v>0</v>
      </c>
      <c r="AM296" s="80">
        <v>0</v>
      </c>
      <c r="AN296" s="80">
        <v>106</v>
      </c>
      <c r="AO296" s="80" t="b">
        <v>0</v>
      </c>
      <c r="AP296" s="80">
        <v>0</v>
      </c>
      <c r="AQ296" s="80"/>
      <c r="AR296" s="80"/>
      <c r="AS296" s="80" t="s">
        <v>2085</v>
      </c>
      <c r="AT296" s="85" t="str">
        <f>HYPERLINK("https://www.youtube.com/channel/UC_mKIWTfVDNBISECBLyj7rg")</f>
        <v>https://www.youtube.com/channel/UC_mKIWTfVDNBISECBLyj7rg</v>
      </c>
      <c r="AU296" s="80" t="str">
        <f>REPLACE(INDEX(GroupVertices[Group],MATCH(Vertices[[#This Row],[Vertex]],GroupVertices[Vertex],0)),1,1,"")</f>
        <v>2</v>
      </c>
      <c r="AV296" s="49">
        <v>0</v>
      </c>
      <c r="AW296" s="50">
        <v>0</v>
      </c>
      <c r="AX296" s="49">
        <v>1</v>
      </c>
      <c r="AY296" s="50">
        <v>6.666666666666667</v>
      </c>
      <c r="AZ296" s="49">
        <v>0</v>
      </c>
      <c r="BA296" s="50">
        <v>0</v>
      </c>
      <c r="BB296" s="49">
        <v>14</v>
      </c>
      <c r="BC296" s="50">
        <v>93.33333333333333</v>
      </c>
      <c r="BD296" s="49">
        <v>15</v>
      </c>
      <c r="BE296" s="49"/>
      <c r="BF296" s="49"/>
      <c r="BG296" s="49"/>
      <c r="BH296" s="49"/>
      <c r="BI296" s="49"/>
      <c r="BJ296" s="49"/>
      <c r="BK296" s="111" t="s">
        <v>3669</v>
      </c>
      <c r="BL296" s="111" t="s">
        <v>3669</v>
      </c>
      <c r="BM296" s="111" t="s">
        <v>4116</v>
      </c>
      <c r="BN296" s="111" t="s">
        <v>4116</v>
      </c>
      <c r="BO296" s="2"/>
      <c r="BP296" s="3"/>
      <c r="BQ296" s="3"/>
      <c r="BR296" s="3"/>
      <c r="BS296" s="3"/>
    </row>
    <row r="297" spans="1:71" ht="15">
      <c r="A297" s="65" t="s">
        <v>630</v>
      </c>
      <c r="B297" s="66"/>
      <c r="C297" s="66"/>
      <c r="D297" s="67">
        <v>150</v>
      </c>
      <c r="E297" s="69"/>
      <c r="F297" s="103" t="str">
        <f>HYPERLINK("https://yt3.ggpht.com/ytc/AKedOLQRfCG5gMOo0SzVl-16weRcHoO-1OnXePrEnSAs=s88-c-k-c0x00ffffff-no-rj")</f>
        <v>https://yt3.ggpht.com/ytc/AKedOLQRfCG5gMOo0SzVl-16weRcHoO-1OnXePrEnSAs=s88-c-k-c0x00ffffff-no-rj</v>
      </c>
      <c r="G297" s="66"/>
      <c r="H297" s="70" t="s">
        <v>1697</v>
      </c>
      <c r="I297" s="71"/>
      <c r="J297" s="71" t="s">
        <v>159</v>
      </c>
      <c r="K297" s="70" t="s">
        <v>1697</v>
      </c>
      <c r="L297" s="74">
        <v>1</v>
      </c>
      <c r="M297" s="75">
        <v>8562.9267578125</v>
      </c>
      <c r="N297" s="75">
        <v>8477.7529296875</v>
      </c>
      <c r="O297" s="76"/>
      <c r="P297" s="77"/>
      <c r="Q297" s="77"/>
      <c r="R297" s="89"/>
      <c r="S297" s="49">
        <v>0</v>
      </c>
      <c r="T297" s="49">
        <v>1</v>
      </c>
      <c r="U297" s="50">
        <v>0</v>
      </c>
      <c r="V297" s="50">
        <v>0.326055</v>
      </c>
      <c r="W297" s="50">
        <v>0.001685</v>
      </c>
      <c r="X297" s="50">
        <v>0.001975</v>
      </c>
      <c r="Y297" s="50">
        <v>0</v>
      </c>
      <c r="Z297" s="50">
        <v>0</v>
      </c>
      <c r="AA297" s="72">
        <v>297</v>
      </c>
      <c r="AB297" s="72"/>
      <c r="AC297" s="73"/>
      <c r="AD297" s="80" t="s">
        <v>1697</v>
      </c>
      <c r="AE297" s="80"/>
      <c r="AF297" s="80"/>
      <c r="AG297" s="80"/>
      <c r="AH297" s="80"/>
      <c r="AI297" s="80"/>
      <c r="AJ297" s="87">
        <v>41458.258576388886</v>
      </c>
      <c r="AK297" s="85" t="str">
        <f>HYPERLINK("https://yt3.ggpht.com/ytc/AKedOLQRfCG5gMOo0SzVl-16weRcHoO-1OnXePrEnSAs=s88-c-k-c0x00ffffff-no-rj")</f>
        <v>https://yt3.ggpht.com/ytc/AKedOLQRfCG5gMOo0SzVl-16weRcHoO-1OnXePrEnSAs=s88-c-k-c0x00ffffff-no-rj</v>
      </c>
      <c r="AL297" s="80">
        <v>0</v>
      </c>
      <c r="AM297" s="80">
        <v>0</v>
      </c>
      <c r="AN297" s="80">
        <v>0</v>
      </c>
      <c r="AO297" s="80" t="b">
        <v>0</v>
      </c>
      <c r="AP297" s="80">
        <v>0</v>
      </c>
      <c r="AQ297" s="80"/>
      <c r="AR297" s="80"/>
      <c r="AS297" s="80" t="s">
        <v>2085</v>
      </c>
      <c r="AT297" s="85" t="str">
        <f>HYPERLINK("https://www.youtube.com/channel/UC1He2YUcIuOGoVUIQZxOBDw")</f>
        <v>https://www.youtube.com/channel/UC1He2YUcIuOGoVUIQZxOBDw</v>
      </c>
      <c r="AU297" s="80" t="str">
        <f>REPLACE(INDEX(GroupVertices[Group],MATCH(Vertices[[#This Row],[Vertex]],GroupVertices[Vertex],0)),1,1,"")</f>
        <v>2</v>
      </c>
      <c r="AV297" s="49">
        <v>1</v>
      </c>
      <c r="AW297" s="50">
        <v>0.8928571428571429</v>
      </c>
      <c r="AX297" s="49">
        <v>6</v>
      </c>
      <c r="AY297" s="50">
        <v>5.357142857142857</v>
      </c>
      <c r="AZ297" s="49">
        <v>0</v>
      </c>
      <c r="BA297" s="50">
        <v>0</v>
      </c>
      <c r="BB297" s="49">
        <v>105</v>
      </c>
      <c r="BC297" s="50">
        <v>93.75</v>
      </c>
      <c r="BD297" s="49">
        <v>112</v>
      </c>
      <c r="BE297" s="49"/>
      <c r="BF297" s="49"/>
      <c r="BG297" s="49"/>
      <c r="BH297" s="49"/>
      <c r="BI297" s="49"/>
      <c r="BJ297" s="49"/>
      <c r="BK297" s="111" t="s">
        <v>3670</v>
      </c>
      <c r="BL297" s="111" t="s">
        <v>3670</v>
      </c>
      <c r="BM297" s="111" t="s">
        <v>4117</v>
      </c>
      <c r="BN297" s="111" t="s">
        <v>4117</v>
      </c>
      <c r="BO297" s="2"/>
      <c r="BP297" s="3"/>
      <c r="BQ297" s="3"/>
      <c r="BR297" s="3"/>
      <c r="BS297" s="3"/>
    </row>
    <row r="298" spans="1:71" ht="15">
      <c r="A298" s="65" t="s">
        <v>631</v>
      </c>
      <c r="B298" s="66"/>
      <c r="C298" s="66"/>
      <c r="D298" s="67">
        <v>150</v>
      </c>
      <c r="E298" s="69"/>
      <c r="F298" s="103" t="str">
        <f>HYPERLINK("https://yt3.ggpht.com/ytc/AKedOLSCkYokmdSkTnaOvCB3bn38OJvwIVBU876Q2w=s88-c-k-c0x00ffffff-no-rj")</f>
        <v>https://yt3.ggpht.com/ytc/AKedOLSCkYokmdSkTnaOvCB3bn38OJvwIVBU876Q2w=s88-c-k-c0x00ffffff-no-rj</v>
      </c>
      <c r="G298" s="66"/>
      <c r="H298" s="70" t="s">
        <v>1698</v>
      </c>
      <c r="I298" s="71"/>
      <c r="J298" s="71" t="s">
        <v>159</v>
      </c>
      <c r="K298" s="70" t="s">
        <v>1698</v>
      </c>
      <c r="L298" s="74">
        <v>1</v>
      </c>
      <c r="M298" s="75">
        <v>8941.2705078125</v>
      </c>
      <c r="N298" s="75">
        <v>8425.6279296875</v>
      </c>
      <c r="O298" s="76"/>
      <c r="P298" s="77"/>
      <c r="Q298" s="77"/>
      <c r="R298" s="89"/>
      <c r="S298" s="49">
        <v>0</v>
      </c>
      <c r="T298" s="49">
        <v>1</v>
      </c>
      <c r="U298" s="50">
        <v>0</v>
      </c>
      <c r="V298" s="50">
        <v>0.326055</v>
      </c>
      <c r="W298" s="50">
        <v>0.001685</v>
      </c>
      <c r="X298" s="50">
        <v>0.001975</v>
      </c>
      <c r="Y298" s="50">
        <v>0</v>
      </c>
      <c r="Z298" s="50">
        <v>0</v>
      </c>
      <c r="AA298" s="72">
        <v>298</v>
      </c>
      <c r="AB298" s="72"/>
      <c r="AC298" s="73"/>
      <c r="AD298" s="80" t="s">
        <v>1698</v>
      </c>
      <c r="AE298" s="80"/>
      <c r="AF298" s="80"/>
      <c r="AG298" s="80"/>
      <c r="AH298" s="80"/>
      <c r="AI298" s="80"/>
      <c r="AJ298" s="87">
        <v>41167.38259259259</v>
      </c>
      <c r="AK298" s="85" t="str">
        <f>HYPERLINK("https://yt3.ggpht.com/ytc/AKedOLSCkYokmdSkTnaOvCB3bn38OJvwIVBU876Q2w=s88-c-k-c0x00ffffff-no-rj")</f>
        <v>https://yt3.ggpht.com/ytc/AKedOLSCkYokmdSkTnaOvCB3bn38OJvwIVBU876Q2w=s88-c-k-c0x00ffffff-no-rj</v>
      </c>
      <c r="AL298" s="80">
        <v>37</v>
      </c>
      <c r="AM298" s="80">
        <v>0</v>
      </c>
      <c r="AN298" s="80">
        <v>0</v>
      </c>
      <c r="AO298" s="80" t="b">
        <v>0</v>
      </c>
      <c r="AP298" s="80">
        <v>1</v>
      </c>
      <c r="AQ298" s="80"/>
      <c r="AR298" s="80"/>
      <c r="AS298" s="80" t="s">
        <v>2085</v>
      </c>
      <c r="AT298" s="85" t="str">
        <f>HYPERLINK("https://www.youtube.com/channel/UC31_D_S1fQ8DcaEMLpTe9qw")</f>
        <v>https://www.youtube.com/channel/UC31_D_S1fQ8DcaEMLpTe9qw</v>
      </c>
      <c r="AU298" s="80" t="str">
        <f>REPLACE(INDEX(GroupVertices[Group],MATCH(Vertices[[#This Row],[Vertex]],GroupVertices[Vertex],0)),1,1,"")</f>
        <v>2</v>
      </c>
      <c r="AV298" s="49">
        <v>1</v>
      </c>
      <c r="AW298" s="50">
        <v>3.0303030303030303</v>
      </c>
      <c r="AX298" s="49">
        <v>1</v>
      </c>
      <c r="AY298" s="50">
        <v>3.0303030303030303</v>
      </c>
      <c r="AZ298" s="49">
        <v>0</v>
      </c>
      <c r="BA298" s="50">
        <v>0</v>
      </c>
      <c r="BB298" s="49">
        <v>31</v>
      </c>
      <c r="BC298" s="50">
        <v>93.93939393939394</v>
      </c>
      <c r="BD298" s="49">
        <v>33</v>
      </c>
      <c r="BE298" s="49"/>
      <c r="BF298" s="49"/>
      <c r="BG298" s="49"/>
      <c r="BH298" s="49"/>
      <c r="BI298" s="49"/>
      <c r="BJ298" s="49"/>
      <c r="BK298" s="111" t="s">
        <v>3671</v>
      </c>
      <c r="BL298" s="111" t="s">
        <v>3671</v>
      </c>
      <c r="BM298" s="111" t="s">
        <v>4118</v>
      </c>
      <c r="BN298" s="111" t="s">
        <v>4118</v>
      </c>
      <c r="BO298" s="2"/>
      <c r="BP298" s="3"/>
      <c r="BQ298" s="3"/>
      <c r="BR298" s="3"/>
      <c r="BS298" s="3"/>
    </row>
    <row r="299" spans="1:71" ht="15">
      <c r="A299" s="65" t="s">
        <v>632</v>
      </c>
      <c r="B299" s="66"/>
      <c r="C299" s="66"/>
      <c r="D299" s="67">
        <v>150</v>
      </c>
      <c r="E299" s="69"/>
      <c r="F299" s="103" t="str">
        <f>HYPERLINK("https://yt3.ggpht.com/ytc/AKedOLRwaq5uGNBqlVBY2lsX5jQQHTunXJl8BJ6wxUdz=s88-c-k-c0x00ffffff-no-rj")</f>
        <v>https://yt3.ggpht.com/ytc/AKedOLRwaq5uGNBqlVBY2lsX5jQQHTunXJl8BJ6wxUdz=s88-c-k-c0x00ffffff-no-rj</v>
      </c>
      <c r="G299" s="66"/>
      <c r="H299" s="70" t="s">
        <v>1699</v>
      </c>
      <c r="I299" s="71"/>
      <c r="J299" s="71" t="s">
        <v>159</v>
      </c>
      <c r="K299" s="70" t="s">
        <v>1699</v>
      </c>
      <c r="L299" s="74">
        <v>1</v>
      </c>
      <c r="M299" s="75">
        <v>9234.7431640625</v>
      </c>
      <c r="N299" s="75">
        <v>8555.7861328125</v>
      </c>
      <c r="O299" s="76"/>
      <c r="P299" s="77"/>
      <c r="Q299" s="77"/>
      <c r="R299" s="89"/>
      <c r="S299" s="49">
        <v>0</v>
      </c>
      <c r="T299" s="49">
        <v>1</v>
      </c>
      <c r="U299" s="50">
        <v>0</v>
      </c>
      <c r="V299" s="50">
        <v>0.326055</v>
      </c>
      <c r="W299" s="50">
        <v>0.001685</v>
      </c>
      <c r="X299" s="50">
        <v>0.001975</v>
      </c>
      <c r="Y299" s="50">
        <v>0</v>
      </c>
      <c r="Z299" s="50">
        <v>0</v>
      </c>
      <c r="AA299" s="72">
        <v>299</v>
      </c>
      <c r="AB299" s="72"/>
      <c r="AC299" s="73"/>
      <c r="AD299" s="80" t="s">
        <v>1699</v>
      </c>
      <c r="AE299" s="80"/>
      <c r="AF299" s="80"/>
      <c r="AG299" s="80"/>
      <c r="AH299" s="80"/>
      <c r="AI299" s="80"/>
      <c r="AJ299" s="87">
        <v>43576.548796296294</v>
      </c>
      <c r="AK299" s="85" t="str">
        <f>HYPERLINK("https://yt3.ggpht.com/ytc/AKedOLRwaq5uGNBqlVBY2lsX5jQQHTunXJl8BJ6wxUdz=s88-c-k-c0x00ffffff-no-rj")</f>
        <v>https://yt3.ggpht.com/ytc/AKedOLRwaq5uGNBqlVBY2lsX5jQQHTunXJl8BJ6wxUdz=s88-c-k-c0x00ffffff-no-rj</v>
      </c>
      <c r="AL299" s="80">
        <v>0</v>
      </c>
      <c r="AM299" s="80">
        <v>0</v>
      </c>
      <c r="AN299" s="80">
        <v>10</v>
      </c>
      <c r="AO299" s="80" t="b">
        <v>0</v>
      </c>
      <c r="AP299" s="80">
        <v>0</v>
      </c>
      <c r="AQ299" s="80"/>
      <c r="AR299" s="80"/>
      <c r="AS299" s="80" t="s">
        <v>2085</v>
      </c>
      <c r="AT299" s="85" t="str">
        <f>HYPERLINK("https://www.youtube.com/channel/UCQOYwrCd1Ajqi2UDuhDdXHA")</f>
        <v>https://www.youtube.com/channel/UCQOYwrCd1Ajqi2UDuhDdXHA</v>
      </c>
      <c r="AU299" s="80" t="str">
        <f>REPLACE(INDEX(GroupVertices[Group],MATCH(Vertices[[#This Row],[Vertex]],GroupVertices[Vertex],0)),1,1,"")</f>
        <v>2</v>
      </c>
      <c r="AV299" s="49">
        <v>0</v>
      </c>
      <c r="AW299" s="50">
        <v>0</v>
      </c>
      <c r="AX299" s="49">
        <v>0</v>
      </c>
      <c r="AY299" s="50">
        <v>0</v>
      </c>
      <c r="AZ299" s="49">
        <v>0</v>
      </c>
      <c r="BA299" s="50">
        <v>0</v>
      </c>
      <c r="BB299" s="49">
        <v>20</v>
      </c>
      <c r="BC299" s="50">
        <v>100</v>
      </c>
      <c r="BD299" s="49">
        <v>20</v>
      </c>
      <c r="BE299" s="49"/>
      <c r="BF299" s="49"/>
      <c r="BG299" s="49"/>
      <c r="BH299" s="49"/>
      <c r="BI299" s="49"/>
      <c r="BJ299" s="49"/>
      <c r="BK299" s="111" t="s">
        <v>3672</v>
      </c>
      <c r="BL299" s="111" t="s">
        <v>3672</v>
      </c>
      <c r="BM299" s="111" t="s">
        <v>4119</v>
      </c>
      <c r="BN299" s="111" t="s">
        <v>4119</v>
      </c>
      <c r="BO299" s="2"/>
      <c r="BP299" s="3"/>
      <c r="BQ299" s="3"/>
      <c r="BR299" s="3"/>
      <c r="BS299" s="3"/>
    </row>
    <row r="300" spans="1:71" ht="15">
      <c r="A300" s="65" t="s">
        <v>634</v>
      </c>
      <c r="B300" s="66"/>
      <c r="C300" s="66"/>
      <c r="D300" s="67">
        <v>150</v>
      </c>
      <c r="E300" s="69"/>
      <c r="F300" s="103" t="str">
        <f>HYPERLINK("https://yt3.ggpht.com/ytc/AKedOLS880-lo6aa9ANhRZ1_jjmMYS9wcDtVQSSwA3U6Jw=s88-c-k-c0x00ffffff-no-rj")</f>
        <v>https://yt3.ggpht.com/ytc/AKedOLS880-lo6aa9ANhRZ1_jjmMYS9wcDtVQSSwA3U6Jw=s88-c-k-c0x00ffffff-no-rj</v>
      </c>
      <c r="G300" s="66"/>
      <c r="H300" s="70" t="s">
        <v>1701</v>
      </c>
      <c r="I300" s="71"/>
      <c r="J300" s="71" t="s">
        <v>159</v>
      </c>
      <c r="K300" s="70" t="s">
        <v>1701</v>
      </c>
      <c r="L300" s="74">
        <v>1</v>
      </c>
      <c r="M300" s="75">
        <v>9351.5068359375</v>
      </c>
      <c r="N300" s="75">
        <v>2338.00146484375</v>
      </c>
      <c r="O300" s="76"/>
      <c r="P300" s="77"/>
      <c r="Q300" s="77"/>
      <c r="R300" s="89"/>
      <c r="S300" s="49">
        <v>0</v>
      </c>
      <c r="T300" s="49">
        <v>1</v>
      </c>
      <c r="U300" s="50">
        <v>0</v>
      </c>
      <c r="V300" s="50">
        <v>0.324638</v>
      </c>
      <c r="W300" s="50">
        <v>0.001755</v>
      </c>
      <c r="X300" s="50">
        <v>0.001992</v>
      </c>
      <c r="Y300" s="50">
        <v>0</v>
      </c>
      <c r="Z300" s="50">
        <v>0</v>
      </c>
      <c r="AA300" s="72">
        <v>300</v>
      </c>
      <c r="AB300" s="72"/>
      <c r="AC300" s="73"/>
      <c r="AD300" s="80" t="s">
        <v>1701</v>
      </c>
      <c r="AE300" s="80" t="s">
        <v>2017</v>
      </c>
      <c r="AF300" s="80"/>
      <c r="AG300" s="80"/>
      <c r="AH300" s="80"/>
      <c r="AI300" s="80"/>
      <c r="AJ300" s="87">
        <v>41630.355775462966</v>
      </c>
      <c r="AK300" s="85" t="str">
        <f>HYPERLINK("https://yt3.ggpht.com/ytc/AKedOLS880-lo6aa9ANhRZ1_jjmMYS9wcDtVQSSwA3U6Jw=s88-c-k-c0x00ffffff-no-rj")</f>
        <v>https://yt3.ggpht.com/ytc/AKedOLS880-lo6aa9ANhRZ1_jjmMYS9wcDtVQSSwA3U6Jw=s88-c-k-c0x00ffffff-no-rj</v>
      </c>
      <c r="AL300" s="80">
        <v>3372</v>
      </c>
      <c r="AM300" s="80">
        <v>0</v>
      </c>
      <c r="AN300" s="80">
        <v>8</v>
      </c>
      <c r="AO300" s="80" t="b">
        <v>0</v>
      </c>
      <c r="AP300" s="80">
        <v>18</v>
      </c>
      <c r="AQ300" s="80"/>
      <c r="AR300" s="80"/>
      <c r="AS300" s="80" t="s">
        <v>2085</v>
      </c>
      <c r="AT300" s="85" t="str">
        <f>HYPERLINK("https://www.youtube.com/channel/UCGe-3qua4-zl4IVLjKuSSkQ")</f>
        <v>https://www.youtube.com/channel/UCGe-3qua4-zl4IVLjKuSSkQ</v>
      </c>
      <c r="AU300" s="80" t="str">
        <f>REPLACE(INDEX(GroupVertices[Group],MATCH(Vertices[[#This Row],[Vertex]],GroupVertices[Vertex],0)),1,1,"")</f>
        <v>9</v>
      </c>
      <c r="AV300" s="49">
        <v>0</v>
      </c>
      <c r="AW300" s="50">
        <v>0</v>
      </c>
      <c r="AX300" s="49">
        <v>0</v>
      </c>
      <c r="AY300" s="50">
        <v>0</v>
      </c>
      <c r="AZ300" s="49">
        <v>0</v>
      </c>
      <c r="BA300" s="50">
        <v>0</v>
      </c>
      <c r="BB300" s="49">
        <v>5</v>
      </c>
      <c r="BC300" s="50">
        <v>100</v>
      </c>
      <c r="BD300" s="49">
        <v>5</v>
      </c>
      <c r="BE300" s="49"/>
      <c r="BF300" s="49"/>
      <c r="BG300" s="49"/>
      <c r="BH300" s="49"/>
      <c r="BI300" s="49"/>
      <c r="BJ300" s="49"/>
      <c r="BK300" s="111" t="s">
        <v>3673</v>
      </c>
      <c r="BL300" s="111" t="s">
        <v>3673</v>
      </c>
      <c r="BM300" s="111" t="s">
        <v>4120</v>
      </c>
      <c r="BN300" s="111" t="s">
        <v>4120</v>
      </c>
      <c r="BO300" s="2"/>
      <c r="BP300" s="3"/>
      <c r="BQ300" s="3"/>
      <c r="BR300" s="3"/>
      <c r="BS300" s="3"/>
    </row>
    <row r="301" spans="1:71" ht="15">
      <c r="A301" s="65" t="s">
        <v>636</v>
      </c>
      <c r="B301" s="66"/>
      <c r="C301" s="66"/>
      <c r="D301" s="67">
        <v>363.9374295377678</v>
      </c>
      <c r="E301" s="69"/>
      <c r="F301" s="103" t="str">
        <f>HYPERLINK("https://yt3.ggpht.com/ytc/AKedOLTU4PMKBY6ixgW6veI8hYA2OBcwvlAI3wiBNU24=s88-c-k-c0x00ffffff-no-rj")</f>
        <v>https://yt3.ggpht.com/ytc/AKedOLTU4PMKBY6ixgW6veI8hYA2OBcwvlAI3wiBNU24=s88-c-k-c0x00ffffff-no-rj</v>
      </c>
      <c r="G301" s="66"/>
      <c r="H301" s="70" t="s">
        <v>1703</v>
      </c>
      <c r="I301" s="71"/>
      <c r="J301" s="71" t="s">
        <v>75</v>
      </c>
      <c r="K301" s="70" t="s">
        <v>1703</v>
      </c>
      <c r="L301" s="74">
        <v>90.30647601471401</v>
      </c>
      <c r="M301" s="75">
        <v>9351.5068359375</v>
      </c>
      <c r="N301" s="75">
        <v>2014.50439453125</v>
      </c>
      <c r="O301" s="76"/>
      <c r="P301" s="77"/>
      <c r="Q301" s="77"/>
      <c r="R301" s="89"/>
      <c r="S301" s="49">
        <v>3</v>
      </c>
      <c r="T301" s="49">
        <v>2</v>
      </c>
      <c r="U301" s="50">
        <v>1786</v>
      </c>
      <c r="V301" s="50">
        <v>0.480171</v>
      </c>
      <c r="W301" s="50">
        <v>0.036636</v>
      </c>
      <c r="X301" s="50">
        <v>0.002631</v>
      </c>
      <c r="Y301" s="50">
        <v>0</v>
      </c>
      <c r="Z301" s="50">
        <v>0</v>
      </c>
      <c r="AA301" s="72">
        <v>301</v>
      </c>
      <c r="AB301" s="72"/>
      <c r="AC301" s="73"/>
      <c r="AD301" s="80" t="s">
        <v>1703</v>
      </c>
      <c r="AE301" s="80"/>
      <c r="AF301" s="80"/>
      <c r="AG301" s="80"/>
      <c r="AH301" s="80"/>
      <c r="AI301" s="80"/>
      <c r="AJ301" s="87">
        <v>40560.603425925925</v>
      </c>
      <c r="AK301" s="85" t="str">
        <f>HYPERLINK("https://yt3.ggpht.com/ytc/AKedOLTU4PMKBY6ixgW6veI8hYA2OBcwvlAI3wiBNU24=s88-c-k-c0x00ffffff-no-rj")</f>
        <v>https://yt3.ggpht.com/ytc/AKedOLTU4PMKBY6ixgW6veI8hYA2OBcwvlAI3wiBNU24=s88-c-k-c0x00ffffff-no-rj</v>
      </c>
      <c r="AL301" s="80">
        <v>0</v>
      </c>
      <c r="AM301" s="80">
        <v>0</v>
      </c>
      <c r="AN301" s="80">
        <v>0</v>
      </c>
      <c r="AO301" s="80" t="b">
        <v>1</v>
      </c>
      <c r="AP301" s="80">
        <v>0</v>
      </c>
      <c r="AQ301" s="80"/>
      <c r="AR301" s="80"/>
      <c r="AS301" s="80" t="s">
        <v>2085</v>
      </c>
      <c r="AT301" s="85" t="str">
        <f>HYPERLINK("https://www.youtube.com/channel/UCo1yYFXXGv6yyDnxPqc3dEw")</f>
        <v>https://www.youtube.com/channel/UCo1yYFXXGv6yyDnxPqc3dEw</v>
      </c>
      <c r="AU301" s="80" t="str">
        <f>REPLACE(INDEX(GroupVertices[Group],MATCH(Vertices[[#This Row],[Vertex]],GroupVertices[Vertex],0)),1,1,"")</f>
        <v>9</v>
      </c>
      <c r="AV301" s="49">
        <v>0</v>
      </c>
      <c r="AW301" s="50">
        <v>0</v>
      </c>
      <c r="AX301" s="49">
        <v>1</v>
      </c>
      <c r="AY301" s="50">
        <v>3.5714285714285716</v>
      </c>
      <c r="AZ301" s="49">
        <v>0</v>
      </c>
      <c r="BA301" s="50">
        <v>0</v>
      </c>
      <c r="BB301" s="49">
        <v>27</v>
      </c>
      <c r="BC301" s="50">
        <v>96.42857142857143</v>
      </c>
      <c r="BD301" s="49">
        <v>28</v>
      </c>
      <c r="BE301" s="49"/>
      <c r="BF301" s="49"/>
      <c r="BG301" s="49"/>
      <c r="BH301" s="49"/>
      <c r="BI301" s="49"/>
      <c r="BJ301" s="49"/>
      <c r="BK301" s="111" t="s">
        <v>3674</v>
      </c>
      <c r="BL301" s="111" t="s">
        <v>3842</v>
      </c>
      <c r="BM301" s="111" t="s">
        <v>4121</v>
      </c>
      <c r="BN301" s="111" t="s">
        <v>4121</v>
      </c>
      <c r="BO301" s="2"/>
      <c r="BP301" s="3"/>
      <c r="BQ301" s="3"/>
      <c r="BR301" s="3"/>
      <c r="BS301" s="3"/>
    </row>
    <row r="302" spans="1:71" ht="15">
      <c r="A302" s="65" t="s">
        <v>635</v>
      </c>
      <c r="B302" s="66"/>
      <c r="C302" s="66"/>
      <c r="D302" s="67">
        <v>150</v>
      </c>
      <c r="E302" s="69"/>
      <c r="F302" s="103" t="str">
        <f>HYPERLINK("https://yt3.ggpht.com/ytc/AKedOLRLE7F0AzLYyMgwfr0dXrEToMmjhIMejS4l6dbM=s88-c-k-c0x00ffffff-no-rj")</f>
        <v>https://yt3.ggpht.com/ytc/AKedOLRLE7F0AzLYyMgwfr0dXrEToMmjhIMejS4l6dbM=s88-c-k-c0x00ffffff-no-rj</v>
      </c>
      <c r="G302" s="66"/>
      <c r="H302" s="70" t="s">
        <v>1702</v>
      </c>
      <c r="I302" s="71"/>
      <c r="J302" s="71" t="s">
        <v>159</v>
      </c>
      <c r="K302" s="70" t="s">
        <v>1702</v>
      </c>
      <c r="L302" s="74">
        <v>1</v>
      </c>
      <c r="M302" s="75">
        <v>9712.404296875</v>
      </c>
      <c r="N302" s="75">
        <v>2338.00146484375</v>
      </c>
      <c r="O302" s="76"/>
      <c r="P302" s="77"/>
      <c r="Q302" s="77"/>
      <c r="R302" s="89"/>
      <c r="S302" s="49">
        <v>0</v>
      </c>
      <c r="T302" s="49">
        <v>1</v>
      </c>
      <c r="U302" s="50">
        <v>0</v>
      </c>
      <c r="V302" s="50">
        <v>0.324638</v>
      </c>
      <c r="W302" s="50">
        <v>0.001755</v>
      </c>
      <c r="X302" s="50">
        <v>0.001992</v>
      </c>
      <c r="Y302" s="50">
        <v>0</v>
      </c>
      <c r="Z302" s="50">
        <v>0</v>
      </c>
      <c r="AA302" s="72">
        <v>302</v>
      </c>
      <c r="AB302" s="72"/>
      <c r="AC302" s="73"/>
      <c r="AD302" s="80" t="s">
        <v>1702</v>
      </c>
      <c r="AE302" s="80"/>
      <c r="AF302" s="80"/>
      <c r="AG302" s="80"/>
      <c r="AH302" s="80"/>
      <c r="AI302" s="80"/>
      <c r="AJ302" s="87">
        <v>41990.89530092593</v>
      </c>
      <c r="AK302" s="85" t="str">
        <f>HYPERLINK("https://yt3.ggpht.com/ytc/AKedOLRLE7F0AzLYyMgwfr0dXrEToMmjhIMejS4l6dbM=s88-c-k-c0x00ffffff-no-rj")</f>
        <v>https://yt3.ggpht.com/ytc/AKedOLRLE7F0AzLYyMgwfr0dXrEToMmjhIMejS4l6dbM=s88-c-k-c0x00ffffff-no-rj</v>
      </c>
      <c r="AL302" s="80">
        <v>0</v>
      </c>
      <c r="AM302" s="80">
        <v>0</v>
      </c>
      <c r="AN302" s="80">
        <v>0</v>
      </c>
      <c r="AO302" s="80" t="b">
        <v>0</v>
      </c>
      <c r="AP302" s="80">
        <v>0</v>
      </c>
      <c r="AQ302" s="80"/>
      <c r="AR302" s="80"/>
      <c r="AS302" s="80" t="s">
        <v>2085</v>
      </c>
      <c r="AT302" s="85" t="str">
        <f>HYPERLINK("https://www.youtube.com/channel/UCMcUd9dBENyk2nT6g_lXKhQ")</f>
        <v>https://www.youtube.com/channel/UCMcUd9dBENyk2nT6g_lXKhQ</v>
      </c>
      <c r="AU302" s="80" t="str">
        <f>REPLACE(INDEX(GroupVertices[Group],MATCH(Vertices[[#This Row],[Vertex]],GroupVertices[Vertex],0)),1,1,"")</f>
        <v>9</v>
      </c>
      <c r="AV302" s="49">
        <v>0</v>
      </c>
      <c r="AW302" s="50">
        <v>0</v>
      </c>
      <c r="AX302" s="49">
        <v>0</v>
      </c>
      <c r="AY302" s="50">
        <v>0</v>
      </c>
      <c r="AZ302" s="49">
        <v>0</v>
      </c>
      <c r="BA302" s="50">
        <v>0</v>
      </c>
      <c r="BB302" s="49">
        <v>33</v>
      </c>
      <c r="BC302" s="50">
        <v>100</v>
      </c>
      <c r="BD302" s="49">
        <v>33</v>
      </c>
      <c r="BE302" s="49"/>
      <c r="BF302" s="49"/>
      <c r="BG302" s="49"/>
      <c r="BH302" s="49"/>
      <c r="BI302" s="49"/>
      <c r="BJ302" s="49"/>
      <c r="BK302" s="111" t="s">
        <v>3675</v>
      </c>
      <c r="BL302" s="111" t="s">
        <v>3675</v>
      </c>
      <c r="BM302" s="111" t="s">
        <v>4122</v>
      </c>
      <c r="BN302" s="111" t="s">
        <v>4122</v>
      </c>
      <c r="BO302" s="2"/>
      <c r="BP302" s="3"/>
      <c r="BQ302" s="3"/>
      <c r="BR302" s="3"/>
      <c r="BS302" s="3"/>
    </row>
    <row r="303" spans="1:71" ht="15">
      <c r="A303" s="65" t="s">
        <v>637</v>
      </c>
      <c r="B303" s="66"/>
      <c r="C303" s="66"/>
      <c r="D303" s="67">
        <v>150.71871476888387</v>
      </c>
      <c r="E303" s="69"/>
      <c r="F303" s="103" t="str">
        <f>HYPERLINK("https://yt3.ggpht.com/ytc/AKedOLTy1MW2an4fvXArszUrFW_idx8KWWvG0fs7dw87Bg=s88-c-k-c0x00ffffff-no-rj")</f>
        <v>https://yt3.ggpht.com/ytc/AKedOLTy1MW2an4fvXArszUrFW_idx8KWWvG0fs7dw87Bg=s88-c-k-c0x00ffffff-no-rj</v>
      </c>
      <c r="G303" s="66"/>
      <c r="H303" s="70" t="s">
        <v>1704</v>
      </c>
      <c r="I303" s="71"/>
      <c r="J303" s="71" t="s">
        <v>75</v>
      </c>
      <c r="K303" s="70" t="s">
        <v>1704</v>
      </c>
      <c r="L303" s="74">
        <v>1.3000217559284906</v>
      </c>
      <c r="M303" s="75">
        <v>9622.18359375</v>
      </c>
      <c r="N303" s="75">
        <v>5078.4189453125</v>
      </c>
      <c r="O303" s="76"/>
      <c r="P303" s="77"/>
      <c r="Q303" s="77"/>
      <c r="R303" s="89"/>
      <c r="S303" s="49">
        <v>0</v>
      </c>
      <c r="T303" s="49">
        <v>5</v>
      </c>
      <c r="U303" s="50">
        <v>6</v>
      </c>
      <c r="V303" s="50">
        <v>0.480171</v>
      </c>
      <c r="W303" s="50">
        <v>0.041744</v>
      </c>
      <c r="X303" s="50">
        <v>0.002539</v>
      </c>
      <c r="Y303" s="50">
        <v>0.2</v>
      </c>
      <c r="Z303" s="50">
        <v>0</v>
      </c>
      <c r="AA303" s="72">
        <v>303</v>
      </c>
      <c r="AB303" s="72"/>
      <c r="AC303" s="73"/>
      <c r="AD303" s="80" t="s">
        <v>1704</v>
      </c>
      <c r="AE303" s="80" t="s">
        <v>2018</v>
      </c>
      <c r="AF303" s="80"/>
      <c r="AG303" s="80"/>
      <c r="AH303" s="80"/>
      <c r="AI303" s="80" t="s">
        <v>2075</v>
      </c>
      <c r="AJ303" s="87">
        <v>41915.011666666665</v>
      </c>
      <c r="AK303" s="85" t="str">
        <f>HYPERLINK("https://yt3.ggpht.com/ytc/AKedOLTy1MW2an4fvXArszUrFW_idx8KWWvG0fs7dw87Bg=s88-c-k-c0x00ffffff-no-rj")</f>
        <v>https://yt3.ggpht.com/ytc/AKedOLTy1MW2an4fvXArszUrFW_idx8KWWvG0fs7dw87Bg=s88-c-k-c0x00ffffff-no-rj</v>
      </c>
      <c r="AL303" s="80">
        <v>3162</v>
      </c>
      <c r="AM303" s="80">
        <v>0</v>
      </c>
      <c r="AN303" s="80">
        <v>343</v>
      </c>
      <c r="AO303" s="80" t="b">
        <v>0</v>
      </c>
      <c r="AP303" s="80">
        <v>10</v>
      </c>
      <c r="AQ303" s="80"/>
      <c r="AR303" s="80"/>
      <c r="AS303" s="80" t="s">
        <v>2085</v>
      </c>
      <c r="AT303" s="85" t="str">
        <f>HYPERLINK("https://www.youtube.com/channel/UCE7SZP9icvQdqTn2NdESMZQ")</f>
        <v>https://www.youtube.com/channel/UCE7SZP9icvQdqTn2NdESMZQ</v>
      </c>
      <c r="AU303" s="80" t="str">
        <f>REPLACE(INDEX(GroupVertices[Group],MATCH(Vertices[[#This Row],[Vertex]],GroupVertices[Vertex],0)),1,1,"")</f>
        <v>5</v>
      </c>
      <c r="AV303" s="49">
        <v>7</v>
      </c>
      <c r="AW303" s="50">
        <v>21.875</v>
      </c>
      <c r="AX303" s="49">
        <v>0</v>
      </c>
      <c r="AY303" s="50">
        <v>0</v>
      </c>
      <c r="AZ303" s="49">
        <v>0</v>
      </c>
      <c r="BA303" s="50">
        <v>0</v>
      </c>
      <c r="BB303" s="49">
        <v>25</v>
      </c>
      <c r="BC303" s="50">
        <v>78.125</v>
      </c>
      <c r="BD303" s="49">
        <v>32</v>
      </c>
      <c r="BE303" s="49"/>
      <c r="BF303" s="49"/>
      <c r="BG303" s="49"/>
      <c r="BH303" s="49"/>
      <c r="BI303" s="49"/>
      <c r="BJ303" s="49"/>
      <c r="BK303" s="111" t="s">
        <v>3676</v>
      </c>
      <c r="BL303" s="111" t="s">
        <v>3843</v>
      </c>
      <c r="BM303" s="111" t="s">
        <v>4123</v>
      </c>
      <c r="BN303" s="111" t="s">
        <v>4123</v>
      </c>
      <c r="BO303" s="2"/>
      <c r="BP303" s="3"/>
      <c r="BQ303" s="3"/>
      <c r="BR303" s="3"/>
      <c r="BS303" s="3"/>
    </row>
    <row r="304" spans="1:71" ht="15">
      <c r="A304" s="65" t="s">
        <v>638</v>
      </c>
      <c r="B304" s="66"/>
      <c r="C304" s="66"/>
      <c r="D304" s="67">
        <v>150</v>
      </c>
      <c r="E304" s="69"/>
      <c r="F304" s="103" t="str">
        <f>HYPERLINK("https://yt3.ggpht.com/ytc/AKedOLTGrahGp1HYR81ou0aoDO_tho8OlH63MqUirA=s88-c-k-c0x00ffffff-no-rj")</f>
        <v>https://yt3.ggpht.com/ytc/AKedOLTGrahGp1HYR81ou0aoDO_tho8OlH63MqUirA=s88-c-k-c0x00ffffff-no-rj</v>
      </c>
      <c r="G304" s="66"/>
      <c r="H304" s="70" t="s">
        <v>1705</v>
      </c>
      <c r="I304" s="71"/>
      <c r="J304" s="71" t="s">
        <v>159</v>
      </c>
      <c r="K304" s="70" t="s">
        <v>1705</v>
      </c>
      <c r="L304" s="74">
        <v>1</v>
      </c>
      <c r="M304" s="75">
        <v>9171.0576171875</v>
      </c>
      <c r="N304" s="75">
        <v>4352.505859375</v>
      </c>
      <c r="O304" s="76"/>
      <c r="P304" s="77"/>
      <c r="Q304" s="77"/>
      <c r="R304" s="89"/>
      <c r="S304" s="49">
        <v>1</v>
      </c>
      <c r="T304" s="49">
        <v>1</v>
      </c>
      <c r="U304" s="50">
        <v>0</v>
      </c>
      <c r="V304" s="50">
        <v>0.478632</v>
      </c>
      <c r="W304" s="50">
        <v>0.036714</v>
      </c>
      <c r="X304" s="50">
        <v>0.002011</v>
      </c>
      <c r="Y304" s="50">
        <v>0.5</v>
      </c>
      <c r="Z304" s="50">
        <v>0</v>
      </c>
      <c r="AA304" s="72">
        <v>304</v>
      </c>
      <c r="AB304" s="72"/>
      <c r="AC304" s="73"/>
      <c r="AD304" s="80" t="s">
        <v>1705</v>
      </c>
      <c r="AE304" s="80"/>
      <c r="AF304" s="80"/>
      <c r="AG304" s="80"/>
      <c r="AH304" s="80"/>
      <c r="AI304" s="80"/>
      <c r="AJ304" s="87">
        <v>42032.06762731481</v>
      </c>
      <c r="AK304" s="85" t="str">
        <f>HYPERLINK("https://yt3.ggpht.com/ytc/AKedOLTGrahGp1HYR81ou0aoDO_tho8OlH63MqUirA=s88-c-k-c0x00ffffff-no-rj")</f>
        <v>https://yt3.ggpht.com/ytc/AKedOLTGrahGp1HYR81ou0aoDO_tho8OlH63MqUirA=s88-c-k-c0x00ffffff-no-rj</v>
      </c>
      <c r="AL304" s="80">
        <v>0</v>
      </c>
      <c r="AM304" s="80">
        <v>0</v>
      </c>
      <c r="AN304" s="80">
        <v>1</v>
      </c>
      <c r="AO304" s="80" t="b">
        <v>0</v>
      </c>
      <c r="AP304" s="80">
        <v>0</v>
      </c>
      <c r="AQ304" s="80"/>
      <c r="AR304" s="80"/>
      <c r="AS304" s="80" t="s">
        <v>2085</v>
      </c>
      <c r="AT304" s="85" t="str">
        <f>HYPERLINK("https://www.youtube.com/channel/UCwW5FE8qaZyP4-J7eg2hOIg")</f>
        <v>https://www.youtube.com/channel/UCwW5FE8qaZyP4-J7eg2hOIg</v>
      </c>
      <c r="AU304" s="80" t="str">
        <f>REPLACE(INDEX(GroupVertices[Group],MATCH(Vertices[[#This Row],[Vertex]],GroupVertices[Vertex],0)),1,1,"")</f>
        <v>5</v>
      </c>
      <c r="AV304" s="49">
        <v>3</v>
      </c>
      <c r="AW304" s="50">
        <v>60</v>
      </c>
      <c r="AX304" s="49">
        <v>0</v>
      </c>
      <c r="AY304" s="50">
        <v>0</v>
      </c>
      <c r="AZ304" s="49">
        <v>0</v>
      </c>
      <c r="BA304" s="50">
        <v>0</v>
      </c>
      <c r="BB304" s="49">
        <v>2</v>
      </c>
      <c r="BC304" s="50">
        <v>40</v>
      </c>
      <c r="BD304" s="49">
        <v>5</v>
      </c>
      <c r="BE304" s="49"/>
      <c r="BF304" s="49"/>
      <c r="BG304" s="49"/>
      <c r="BH304" s="49"/>
      <c r="BI304" s="49"/>
      <c r="BJ304" s="49"/>
      <c r="BK304" s="111" t="s">
        <v>3677</v>
      </c>
      <c r="BL304" s="111" t="s">
        <v>3677</v>
      </c>
      <c r="BM304" s="111" t="s">
        <v>4124</v>
      </c>
      <c r="BN304" s="111" t="s">
        <v>4124</v>
      </c>
      <c r="BO304" s="2"/>
      <c r="BP304" s="3"/>
      <c r="BQ304" s="3"/>
      <c r="BR304" s="3"/>
      <c r="BS304" s="3"/>
    </row>
    <row r="305" spans="1:71" ht="15">
      <c r="A305" s="65" t="s">
        <v>639</v>
      </c>
      <c r="B305" s="66"/>
      <c r="C305" s="66"/>
      <c r="D305" s="67">
        <v>150</v>
      </c>
      <c r="E305" s="69"/>
      <c r="F305" s="103" t="str">
        <f>HYPERLINK("https://yt3.ggpht.com/ytc/AKedOLSaTxo1pV86-FSSiKc8uYyyMrAXfLWJ7YwSMGYvcug=s88-c-k-c0x00ffffff-no-rj")</f>
        <v>https://yt3.ggpht.com/ytc/AKedOLSaTxo1pV86-FSSiKc8uYyyMrAXfLWJ7YwSMGYvcug=s88-c-k-c0x00ffffff-no-rj</v>
      </c>
      <c r="G305" s="66"/>
      <c r="H305" s="70" t="s">
        <v>1706</v>
      </c>
      <c r="I305" s="71"/>
      <c r="J305" s="71" t="s">
        <v>159</v>
      </c>
      <c r="K305" s="70" t="s">
        <v>1706</v>
      </c>
      <c r="L305" s="74">
        <v>1</v>
      </c>
      <c r="M305" s="75">
        <v>9531.9580078125</v>
      </c>
      <c r="N305" s="75">
        <v>4933.2529296875</v>
      </c>
      <c r="O305" s="76"/>
      <c r="P305" s="77"/>
      <c r="Q305" s="77"/>
      <c r="R305" s="89"/>
      <c r="S305" s="49">
        <v>1</v>
      </c>
      <c r="T305" s="49">
        <v>1</v>
      </c>
      <c r="U305" s="50">
        <v>0</v>
      </c>
      <c r="V305" s="50">
        <v>0.478632</v>
      </c>
      <c r="W305" s="50">
        <v>0.036714</v>
      </c>
      <c r="X305" s="50">
        <v>0.002011</v>
      </c>
      <c r="Y305" s="50">
        <v>0.5</v>
      </c>
      <c r="Z305" s="50">
        <v>0</v>
      </c>
      <c r="AA305" s="72">
        <v>305</v>
      </c>
      <c r="AB305" s="72"/>
      <c r="AC305" s="73"/>
      <c r="AD305" s="80" t="s">
        <v>1706</v>
      </c>
      <c r="AE305" s="80" t="s">
        <v>2019</v>
      </c>
      <c r="AF305" s="80"/>
      <c r="AG305" s="80"/>
      <c r="AH305" s="80"/>
      <c r="AI305" s="80"/>
      <c r="AJ305" s="87">
        <v>41015.09909722222</v>
      </c>
      <c r="AK305" s="85" t="str">
        <f>HYPERLINK("https://yt3.ggpht.com/ytc/AKedOLSaTxo1pV86-FSSiKc8uYyyMrAXfLWJ7YwSMGYvcug=s88-c-k-c0x00ffffff-no-rj")</f>
        <v>https://yt3.ggpht.com/ytc/AKedOLSaTxo1pV86-FSSiKc8uYyyMrAXfLWJ7YwSMGYvcug=s88-c-k-c0x00ffffff-no-rj</v>
      </c>
      <c r="AL305" s="80">
        <v>3338</v>
      </c>
      <c r="AM305" s="80">
        <v>0</v>
      </c>
      <c r="AN305" s="80">
        <v>17</v>
      </c>
      <c r="AO305" s="80" t="b">
        <v>0</v>
      </c>
      <c r="AP305" s="80">
        <v>8</v>
      </c>
      <c r="AQ305" s="80"/>
      <c r="AR305" s="80"/>
      <c r="AS305" s="80" t="s">
        <v>2085</v>
      </c>
      <c r="AT305" s="85" t="str">
        <f>HYPERLINK("https://www.youtube.com/channel/UCtTGSzV4rsyUKX7wZ1HssQg")</f>
        <v>https://www.youtube.com/channel/UCtTGSzV4rsyUKX7wZ1HssQg</v>
      </c>
      <c r="AU305" s="80" t="str">
        <f>REPLACE(INDEX(GroupVertices[Group],MATCH(Vertices[[#This Row],[Vertex]],GroupVertices[Vertex],0)),1,1,"")</f>
        <v>5</v>
      </c>
      <c r="AV305" s="49">
        <v>2</v>
      </c>
      <c r="AW305" s="50">
        <v>40</v>
      </c>
      <c r="AX305" s="49">
        <v>0</v>
      </c>
      <c r="AY305" s="50">
        <v>0</v>
      </c>
      <c r="AZ305" s="49">
        <v>0</v>
      </c>
      <c r="BA305" s="50">
        <v>0</v>
      </c>
      <c r="BB305" s="49">
        <v>3</v>
      </c>
      <c r="BC305" s="50">
        <v>60</v>
      </c>
      <c r="BD305" s="49">
        <v>5</v>
      </c>
      <c r="BE305" s="49"/>
      <c r="BF305" s="49"/>
      <c r="BG305" s="49"/>
      <c r="BH305" s="49"/>
      <c r="BI305" s="49"/>
      <c r="BJ305" s="49"/>
      <c r="BK305" s="111" t="s">
        <v>3678</v>
      </c>
      <c r="BL305" s="111" t="s">
        <v>3678</v>
      </c>
      <c r="BM305" s="111" t="s">
        <v>4125</v>
      </c>
      <c r="BN305" s="111" t="s">
        <v>4125</v>
      </c>
      <c r="BO305" s="2"/>
      <c r="BP305" s="3"/>
      <c r="BQ305" s="3"/>
      <c r="BR305" s="3"/>
      <c r="BS305" s="3"/>
    </row>
    <row r="306" spans="1:71" ht="15">
      <c r="A306" s="65" t="s">
        <v>640</v>
      </c>
      <c r="B306" s="66"/>
      <c r="C306" s="66"/>
      <c r="D306" s="67">
        <v>150</v>
      </c>
      <c r="E306" s="69"/>
      <c r="F306" s="103" t="str">
        <f>HYPERLINK("https://yt3.ggpht.com/ytc/AKedOLRV6qzdyWaL_B9qPLXVkogr17OKP1pnV_IQxguLlw=s88-c-k-c0x00ffffff-no-rj")</f>
        <v>https://yt3.ggpht.com/ytc/AKedOLRV6qzdyWaL_B9qPLXVkogr17OKP1pnV_IQxguLlw=s88-c-k-c0x00ffffff-no-rj</v>
      </c>
      <c r="G306" s="66"/>
      <c r="H306" s="70" t="s">
        <v>1707</v>
      </c>
      <c r="I306" s="71"/>
      <c r="J306" s="71" t="s">
        <v>159</v>
      </c>
      <c r="K306" s="70" t="s">
        <v>1707</v>
      </c>
      <c r="L306" s="74">
        <v>1</v>
      </c>
      <c r="M306" s="75">
        <v>2453.39697265625</v>
      </c>
      <c r="N306" s="75">
        <v>7351.73681640625</v>
      </c>
      <c r="O306" s="76"/>
      <c r="P306" s="77"/>
      <c r="Q306" s="77"/>
      <c r="R306" s="89"/>
      <c r="S306" s="49">
        <v>0</v>
      </c>
      <c r="T306" s="49">
        <v>1</v>
      </c>
      <c r="U306" s="50">
        <v>0</v>
      </c>
      <c r="V306" s="50">
        <v>0.478122</v>
      </c>
      <c r="W306" s="50">
        <v>0.03471</v>
      </c>
      <c r="X306" s="50">
        <v>0.001935</v>
      </c>
      <c r="Y306" s="50">
        <v>0</v>
      </c>
      <c r="Z306" s="50">
        <v>0</v>
      </c>
      <c r="AA306" s="72">
        <v>306</v>
      </c>
      <c r="AB306" s="72"/>
      <c r="AC306" s="73"/>
      <c r="AD306" s="80" t="s">
        <v>1707</v>
      </c>
      <c r="AE306" s="80"/>
      <c r="AF306" s="80"/>
      <c r="AG306" s="80"/>
      <c r="AH306" s="80"/>
      <c r="AI306" s="80"/>
      <c r="AJ306" s="87">
        <v>39041.375497685185</v>
      </c>
      <c r="AK306" s="85" t="str">
        <f>HYPERLINK("https://yt3.ggpht.com/ytc/AKedOLRV6qzdyWaL_B9qPLXVkogr17OKP1pnV_IQxguLlw=s88-c-k-c0x00ffffff-no-rj")</f>
        <v>https://yt3.ggpht.com/ytc/AKedOLRV6qzdyWaL_B9qPLXVkogr17OKP1pnV_IQxguLlw=s88-c-k-c0x00ffffff-no-rj</v>
      </c>
      <c r="AL306" s="80">
        <v>1647</v>
      </c>
      <c r="AM306" s="80">
        <v>0</v>
      </c>
      <c r="AN306" s="80">
        <v>60</v>
      </c>
      <c r="AO306" s="80" t="b">
        <v>0</v>
      </c>
      <c r="AP306" s="80">
        <v>12</v>
      </c>
      <c r="AQ306" s="80"/>
      <c r="AR306" s="80"/>
      <c r="AS306" s="80" t="s">
        <v>2085</v>
      </c>
      <c r="AT306" s="85" t="str">
        <f>HYPERLINK("https://www.youtube.com/channel/UCLAKOuNTsy7brXkqnf8VMZw")</f>
        <v>https://www.youtube.com/channel/UCLAKOuNTsy7brXkqnf8VMZw</v>
      </c>
      <c r="AU306" s="80" t="str">
        <f>REPLACE(INDEX(GroupVertices[Group],MATCH(Vertices[[#This Row],[Vertex]],GroupVertices[Vertex],0)),1,1,"")</f>
        <v>1</v>
      </c>
      <c r="AV306" s="49">
        <v>1</v>
      </c>
      <c r="AW306" s="50">
        <v>50</v>
      </c>
      <c r="AX306" s="49">
        <v>0</v>
      </c>
      <c r="AY306" s="50">
        <v>0</v>
      </c>
      <c r="AZ306" s="49">
        <v>0</v>
      </c>
      <c r="BA306" s="50">
        <v>0</v>
      </c>
      <c r="BB306" s="49">
        <v>1</v>
      </c>
      <c r="BC306" s="50">
        <v>50</v>
      </c>
      <c r="BD306" s="49">
        <v>2</v>
      </c>
      <c r="BE306" s="49"/>
      <c r="BF306" s="49"/>
      <c r="BG306" s="49"/>
      <c r="BH306" s="49"/>
      <c r="BI306" s="49"/>
      <c r="BJ306" s="49"/>
      <c r="BK306" s="111" t="s">
        <v>1927</v>
      </c>
      <c r="BL306" s="111" t="s">
        <v>1927</v>
      </c>
      <c r="BM306" s="111" t="s">
        <v>1927</v>
      </c>
      <c r="BN306" s="111" t="s">
        <v>1927</v>
      </c>
      <c r="BO306" s="2"/>
      <c r="BP306" s="3"/>
      <c r="BQ306" s="3"/>
      <c r="BR306" s="3"/>
      <c r="BS306" s="3"/>
    </row>
    <row r="307" spans="1:71" ht="15">
      <c r="A307" s="65" t="s">
        <v>641</v>
      </c>
      <c r="B307" s="66"/>
      <c r="C307" s="66"/>
      <c r="D307" s="67">
        <v>150</v>
      </c>
      <c r="E307" s="69"/>
      <c r="F307" s="103" t="str">
        <f>HYPERLINK("https://yt3.ggpht.com/ytc/AKedOLQJgZenMIoAavfWyro4KqhBE2nNaVVGrDfaHVZXmg=s88-c-k-c0x00ffffff-no-rj")</f>
        <v>https://yt3.ggpht.com/ytc/AKedOLQJgZenMIoAavfWyro4KqhBE2nNaVVGrDfaHVZXmg=s88-c-k-c0x00ffffff-no-rj</v>
      </c>
      <c r="G307" s="66"/>
      <c r="H307" s="70" t="s">
        <v>1708</v>
      </c>
      <c r="I307" s="71"/>
      <c r="J307" s="71" t="s">
        <v>159</v>
      </c>
      <c r="K307" s="70" t="s">
        <v>1708</v>
      </c>
      <c r="L307" s="74">
        <v>1</v>
      </c>
      <c r="M307" s="75">
        <v>6244.767578125</v>
      </c>
      <c r="N307" s="75">
        <v>9216.4814453125</v>
      </c>
      <c r="O307" s="76"/>
      <c r="P307" s="77"/>
      <c r="Q307" s="77"/>
      <c r="R307" s="89"/>
      <c r="S307" s="49">
        <v>0</v>
      </c>
      <c r="T307" s="49">
        <v>1</v>
      </c>
      <c r="U307" s="50">
        <v>0</v>
      </c>
      <c r="V307" s="50">
        <v>0.478122</v>
      </c>
      <c r="W307" s="50">
        <v>0.03471</v>
      </c>
      <c r="X307" s="50">
        <v>0.001935</v>
      </c>
      <c r="Y307" s="50">
        <v>0</v>
      </c>
      <c r="Z307" s="50">
        <v>0</v>
      </c>
      <c r="AA307" s="72">
        <v>307</v>
      </c>
      <c r="AB307" s="72"/>
      <c r="AC307" s="73"/>
      <c r="AD307" s="80" t="s">
        <v>1708</v>
      </c>
      <c r="AE307" s="80"/>
      <c r="AF307" s="80"/>
      <c r="AG307" s="80"/>
      <c r="AH307" s="80"/>
      <c r="AI307" s="80" t="s">
        <v>2076</v>
      </c>
      <c r="AJ307" s="87">
        <v>41192.196747685186</v>
      </c>
      <c r="AK307" s="85" t="str">
        <f>HYPERLINK("https://yt3.ggpht.com/ytc/AKedOLQJgZenMIoAavfWyro4KqhBE2nNaVVGrDfaHVZXmg=s88-c-k-c0x00ffffff-no-rj")</f>
        <v>https://yt3.ggpht.com/ytc/AKedOLQJgZenMIoAavfWyro4KqhBE2nNaVVGrDfaHVZXmg=s88-c-k-c0x00ffffff-no-rj</v>
      </c>
      <c r="AL307" s="80">
        <v>9210</v>
      </c>
      <c r="AM307" s="80">
        <v>0</v>
      </c>
      <c r="AN307" s="80">
        <v>66</v>
      </c>
      <c r="AO307" s="80" t="b">
        <v>0</v>
      </c>
      <c r="AP307" s="80">
        <v>152</v>
      </c>
      <c r="AQ307" s="80"/>
      <c r="AR307" s="80"/>
      <c r="AS307" s="80" t="s">
        <v>2085</v>
      </c>
      <c r="AT307" s="85" t="str">
        <f>HYPERLINK("https://www.youtube.com/channel/UC0Ic0uvANWeMxAyfIVLZMqg")</f>
        <v>https://www.youtube.com/channel/UC0Ic0uvANWeMxAyfIVLZMqg</v>
      </c>
      <c r="AU307" s="80" t="str">
        <f>REPLACE(INDEX(GroupVertices[Group],MATCH(Vertices[[#This Row],[Vertex]],GroupVertices[Vertex],0)),1,1,"")</f>
        <v>1</v>
      </c>
      <c r="AV307" s="49">
        <v>6</v>
      </c>
      <c r="AW307" s="50">
        <v>13.953488372093023</v>
      </c>
      <c r="AX307" s="49">
        <v>1</v>
      </c>
      <c r="AY307" s="50">
        <v>2.3255813953488373</v>
      </c>
      <c r="AZ307" s="49">
        <v>0</v>
      </c>
      <c r="BA307" s="50">
        <v>0</v>
      </c>
      <c r="BB307" s="49">
        <v>36</v>
      </c>
      <c r="BC307" s="50">
        <v>83.72093023255815</v>
      </c>
      <c r="BD307" s="49">
        <v>43</v>
      </c>
      <c r="BE307" s="49"/>
      <c r="BF307" s="49"/>
      <c r="BG307" s="49"/>
      <c r="BH307" s="49"/>
      <c r="BI307" s="49"/>
      <c r="BJ307" s="49"/>
      <c r="BK307" s="111" t="s">
        <v>3679</v>
      </c>
      <c r="BL307" s="111" t="s">
        <v>3679</v>
      </c>
      <c r="BM307" s="111" t="s">
        <v>4126</v>
      </c>
      <c r="BN307" s="111" t="s">
        <v>4126</v>
      </c>
      <c r="BO307" s="2"/>
      <c r="BP307" s="3"/>
      <c r="BQ307" s="3"/>
      <c r="BR307" s="3"/>
      <c r="BS307" s="3"/>
    </row>
    <row r="308" spans="1:71" ht="15">
      <c r="A308" s="65" t="s">
        <v>642</v>
      </c>
      <c r="B308" s="66"/>
      <c r="C308" s="66"/>
      <c r="D308" s="67">
        <v>150</v>
      </c>
      <c r="E308" s="69"/>
      <c r="F308" s="103" t="str">
        <f>HYPERLINK("https://yt3.ggpht.com/ytc/AKedOLTlOjJSRqK-z2MWq3hdKZB1maaqgkaATHdmM5uB=s88-c-k-c0x00ffffff-no-rj")</f>
        <v>https://yt3.ggpht.com/ytc/AKedOLTlOjJSRqK-z2MWq3hdKZB1maaqgkaATHdmM5uB=s88-c-k-c0x00ffffff-no-rj</v>
      </c>
      <c r="G308" s="66"/>
      <c r="H308" s="70" t="s">
        <v>1709</v>
      </c>
      <c r="I308" s="71"/>
      <c r="J308" s="71" t="s">
        <v>159</v>
      </c>
      <c r="K308" s="70" t="s">
        <v>1709</v>
      </c>
      <c r="L308" s="74">
        <v>1</v>
      </c>
      <c r="M308" s="75">
        <v>8523.5634765625</v>
      </c>
      <c r="N308" s="75">
        <v>2338.00146484375</v>
      </c>
      <c r="O308" s="76"/>
      <c r="P308" s="77"/>
      <c r="Q308" s="77"/>
      <c r="R308" s="89"/>
      <c r="S308" s="49">
        <v>0</v>
      </c>
      <c r="T308" s="49">
        <v>1</v>
      </c>
      <c r="U308" s="50">
        <v>0</v>
      </c>
      <c r="V308" s="50">
        <v>0.324638</v>
      </c>
      <c r="W308" s="50">
        <v>0.001755</v>
      </c>
      <c r="X308" s="50">
        <v>0.001992</v>
      </c>
      <c r="Y308" s="50">
        <v>0</v>
      </c>
      <c r="Z308" s="50">
        <v>0</v>
      </c>
      <c r="AA308" s="72">
        <v>308</v>
      </c>
      <c r="AB308" s="72"/>
      <c r="AC308" s="73"/>
      <c r="AD308" s="80" t="s">
        <v>1709</v>
      </c>
      <c r="AE308" s="80" t="s">
        <v>2020</v>
      </c>
      <c r="AF308" s="80"/>
      <c r="AG308" s="80"/>
      <c r="AH308" s="80"/>
      <c r="AI308" s="80"/>
      <c r="AJ308" s="87">
        <v>39418.06905092593</v>
      </c>
      <c r="AK308" s="85" t="str">
        <f>HYPERLINK("https://yt3.ggpht.com/ytc/AKedOLTlOjJSRqK-z2MWq3hdKZB1maaqgkaATHdmM5uB=s88-c-k-c0x00ffffff-no-rj")</f>
        <v>https://yt3.ggpht.com/ytc/AKedOLTlOjJSRqK-z2MWq3hdKZB1maaqgkaATHdmM5uB=s88-c-k-c0x00ffffff-no-rj</v>
      </c>
      <c r="AL308" s="80">
        <v>2196</v>
      </c>
      <c r="AM308" s="80">
        <v>0</v>
      </c>
      <c r="AN308" s="80">
        <v>27</v>
      </c>
      <c r="AO308" s="80" t="b">
        <v>0</v>
      </c>
      <c r="AP308" s="80">
        <v>2</v>
      </c>
      <c r="AQ308" s="80"/>
      <c r="AR308" s="80"/>
      <c r="AS308" s="80" t="s">
        <v>2085</v>
      </c>
      <c r="AT308" s="85" t="str">
        <f>HYPERLINK("https://www.youtube.com/channel/UCcwFS01ST2FMMp2DVER2UWg")</f>
        <v>https://www.youtube.com/channel/UCcwFS01ST2FMMp2DVER2UWg</v>
      </c>
      <c r="AU308" s="80" t="str">
        <f>REPLACE(INDEX(GroupVertices[Group],MATCH(Vertices[[#This Row],[Vertex]],GroupVertices[Vertex],0)),1,1,"")</f>
        <v>8</v>
      </c>
      <c r="AV308" s="49">
        <v>0</v>
      </c>
      <c r="AW308" s="50">
        <v>0</v>
      </c>
      <c r="AX308" s="49">
        <v>0</v>
      </c>
      <c r="AY308" s="50">
        <v>0</v>
      </c>
      <c r="AZ308" s="49">
        <v>0</v>
      </c>
      <c r="BA308" s="50">
        <v>0</v>
      </c>
      <c r="BB308" s="49">
        <v>2</v>
      </c>
      <c r="BC308" s="50">
        <v>100</v>
      </c>
      <c r="BD308" s="49">
        <v>2</v>
      </c>
      <c r="BE308" s="49"/>
      <c r="BF308" s="49"/>
      <c r="BG308" s="49"/>
      <c r="BH308" s="49"/>
      <c r="BI308" s="49"/>
      <c r="BJ308" s="49"/>
      <c r="BK308" s="111" t="s">
        <v>2192</v>
      </c>
      <c r="BL308" s="111" t="s">
        <v>2192</v>
      </c>
      <c r="BM308" s="111" t="s">
        <v>1927</v>
      </c>
      <c r="BN308" s="111" t="s">
        <v>1927</v>
      </c>
      <c r="BO308" s="2"/>
      <c r="BP308" s="3"/>
      <c r="BQ308" s="3"/>
      <c r="BR308" s="3"/>
      <c r="BS308" s="3"/>
    </row>
    <row r="309" spans="1:71" ht="15">
      <c r="A309" s="65" t="s">
        <v>644</v>
      </c>
      <c r="B309" s="66"/>
      <c r="C309" s="66"/>
      <c r="D309" s="67">
        <v>363.9374295377678</v>
      </c>
      <c r="E309" s="69"/>
      <c r="F309" s="103" t="str">
        <f>HYPERLINK("https://yt3.ggpht.com/ytc/AKedOLS0S7GCxqXm63NnCvKThXNj5B98QdWBTQ34SAqN=s88-c-k-c0x00ffffff-no-rj")</f>
        <v>https://yt3.ggpht.com/ytc/AKedOLS0S7GCxqXm63NnCvKThXNj5B98QdWBTQ34SAqN=s88-c-k-c0x00ffffff-no-rj</v>
      </c>
      <c r="G309" s="66"/>
      <c r="H309" s="70" t="s">
        <v>1711</v>
      </c>
      <c r="I309" s="71"/>
      <c r="J309" s="71" t="s">
        <v>75</v>
      </c>
      <c r="K309" s="70" t="s">
        <v>1711</v>
      </c>
      <c r="L309" s="74">
        <v>90.30647601471401</v>
      </c>
      <c r="M309" s="75">
        <v>8523.5634765625</v>
      </c>
      <c r="N309" s="75">
        <v>2014.50439453125</v>
      </c>
      <c r="O309" s="76"/>
      <c r="P309" s="77"/>
      <c r="Q309" s="77"/>
      <c r="R309" s="89"/>
      <c r="S309" s="49">
        <v>3</v>
      </c>
      <c r="T309" s="49">
        <v>2</v>
      </c>
      <c r="U309" s="50">
        <v>1786</v>
      </c>
      <c r="V309" s="50">
        <v>0.480171</v>
      </c>
      <c r="W309" s="50">
        <v>0.036636</v>
      </c>
      <c r="X309" s="50">
        <v>0.002631</v>
      </c>
      <c r="Y309" s="50">
        <v>0</v>
      </c>
      <c r="Z309" s="50">
        <v>0</v>
      </c>
      <c r="AA309" s="72">
        <v>309</v>
      </c>
      <c r="AB309" s="72"/>
      <c r="AC309" s="73"/>
      <c r="AD309" s="80" t="s">
        <v>1711</v>
      </c>
      <c r="AE309" s="80"/>
      <c r="AF309" s="80"/>
      <c r="AG309" s="80"/>
      <c r="AH309" s="80"/>
      <c r="AI309" s="80"/>
      <c r="AJ309" s="87">
        <v>38782.98732638889</v>
      </c>
      <c r="AK309" s="85" t="str">
        <f>HYPERLINK("https://yt3.ggpht.com/ytc/AKedOLS0S7GCxqXm63NnCvKThXNj5B98QdWBTQ34SAqN=s88-c-k-c0x00ffffff-no-rj")</f>
        <v>https://yt3.ggpht.com/ytc/AKedOLS0S7GCxqXm63NnCvKThXNj5B98QdWBTQ34SAqN=s88-c-k-c0x00ffffff-no-rj</v>
      </c>
      <c r="AL309" s="80">
        <v>0</v>
      </c>
      <c r="AM309" s="80">
        <v>0</v>
      </c>
      <c r="AN309" s="80">
        <v>11</v>
      </c>
      <c r="AO309" s="80" t="b">
        <v>0</v>
      </c>
      <c r="AP309" s="80">
        <v>0</v>
      </c>
      <c r="AQ309" s="80"/>
      <c r="AR309" s="80"/>
      <c r="AS309" s="80" t="s">
        <v>2085</v>
      </c>
      <c r="AT309" s="85" t="str">
        <f>HYPERLINK("https://www.youtube.com/channel/UC6wJYPTtqP4akuk1eEf-fDg")</f>
        <v>https://www.youtube.com/channel/UC6wJYPTtqP4akuk1eEf-fDg</v>
      </c>
      <c r="AU309" s="80" t="str">
        <f>REPLACE(INDEX(GroupVertices[Group],MATCH(Vertices[[#This Row],[Vertex]],GroupVertices[Vertex],0)),1,1,"")</f>
        <v>8</v>
      </c>
      <c r="AV309" s="49">
        <v>0</v>
      </c>
      <c r="AW309" s="50">
        <v>0</v>
      </c>
      <c r="AX309" s="49">
        <v>1</v>
      </c>
      <c r="AY309" s="50">
        <v>3.8461538461538463</v>
      </c>
      <c r="AZ309" s="49">
        <v>0</v>
      </c>
      <c r="BA309" s="50">
        <v>0</v>
      </c>
      <c r="BB309" s="49">
        <v>25</v>
      </c>
      <c r="BC309" s="50">
        <v>96.15384615384616</v>
      </c>
      <c r="BD309" s="49">
        <v>26</v>
      </c>
      <c r="BE309" s="49"/>
      <c r="BF309" s="49"/>
      <c r="BG309" s="49"/>
      <c r="BH309" s="49"/>
      <c r="BI309" s="49"/>
      <c r="BJ309" s="49"/>
      <c r="BK309" s="111" t="s">
        <v>3680</v>
      </c>
      <c r="BL309" s="111" t="s">
        <v>3680</v>
      </c>
      <c r="BM309" s="111" t="s">
        <v>4127</v>
      </c>
      <c r="BN309" s="111" t="s">
        <v>4127</v>
      </c>
      <c r="BO309" s="2"/>
      <c r="BP309" s="3"/>
      <c r="BQ309" s="3"/>
      <c r="BR309" s="3"/>
      <c r="BS309" s="3"/>
    </row>
    <row r="310" spans="1:71" ht="15">
      <c r="A310" s="65" t="s">
        <v>643</v>
      </c>
      <c r="B310" s="66"/>
      <c r="C310" s="66"/>
      <c r="D310" s="67">
        <v>150</v>
      </c>
      <c r="E310" s="69"/>
      <c r="F310" s="103" t="str">
        <f>HYPERLINK("https://yt3.ggpht.com/ytc/AKedOLR062KZDrwpyi6f3fphTkjJhIsc1wVm9WzFUA=s88-c-k-c0x00ffffff-no-rj")</f>
        <v>https://yt3.ggpht.com/ytc/AKedOLR062KZDrwpyi6f3fphTkjJhIsc1wVm9WzFUA=s88-c-k-c0x00ffffff-no-rj</v>
      </c>
      <c r="G310" s="66"/>
      <c r="H310" s="70" t="s">
        <v>1710</v>
      </c>
      <c r="I310" s="71"/>
      <c r="J310" s="71" t="s">
        <v>159</v>
      </c>
      <c r="K310" s="70" t="s">
        <v>1710</v>
      </c>
      <c r="L310" s="74">
        <v>1</v>
      </c>
      <c r="M310" s="75">
        <v>8884.4619140625</v>
      </c>
      <c r="N310" s="75">
        <v>2338.00146484375</v>
      </c>
      <c r="O310" s="76"/>
      <c r="P310" s="77"/>
      <c r="Q310" s="77"/>
      <c r="R310" s="89"/>
      <c r="S310" s="49">
        <v>0</v>
      </c>
      <c r="T310" s="49">
        <v>1</v>
      </c>
      <c r="U310" s="50">
        <v>0</v>
      </c>
      <c r="V310" s="50">
        <v>0.324638</v>
      </c>
      <c r="W310" s="50">
        <v>0.001755</v>
      </c>
      <c r="X310" s="50">
        <v>0.001992</v>
      </c>
      <c r="Y310" s="50">
        <v>0</v>
      </c>
      <c r="Z310" s="50">
        <v>0</v>
      </c>
      <c r="AA310" s="72">
        <v>310</v>
      </c>
      <c r="AB310" s="72"/>
      <c r="AC310" s="73"/>
      <c r="AD310" s="80" t="s">
        <v>1710</v>
      </c>
      <c r="AE310" s="80"/>
      <c r="AF310" s="80"/>
      <c r="AG310" s="80"/>
      <c r="AH310" s="80"/>
      <c r="AI310" s="80"/>
      <c r="AJ310" s="87">
        <v>40998.149722222224</v>
      </c>
      <c r="AK310" s="85" t="str">
        <f>HYPERLINK("https://yt3.ggpht.com/ytc/AKedOLR062KZDrwpyi6f3fphTkjJhIsc1wVm9WzFUA=s88-c-k-c0x00ffffff-no-rj")</f>
        <v>https://yt3.ggpht.com/ytc/AKedOLR062KZDrwpyi6f3fphTkjJhIsc1wVm9WzFUA=s88-c-k-c0x00ffffff-no-rj</v>
      </c>
      <c r="AL310" s="80">
        <v>0</v>
      </c>
      <c r="AM310" s="80">
        <v>0</v>
      </c>
      <c r="AN310" s="80">
        <v>5</v>
      </c>
      <c r="AO310" s="80" t="b">
        <v>0</v>
      </c>
      <c r="AP310" s="80">
        <v>0</v>
      </c>
      <c r="AQ310" s="80"/>
      <c r="AR310" s="80"/>
      <c r="AS310" s="80" t="s">
        <v>2085</v>
      </c>
      <c r="AT310" s="85" t="str">
        <f>HYPERLINK("https://www.youtube.com/channel/UCxlPKzjwwusCJkFDq-XvuvA")</f>
        <v>https://www.youtube.com/channel/UCxlPKzjwwusCJkFDq-XvuvA</v>
      </c>
      <c r="AU310" s="80" t="str">
        <f>REPLACE(INDEX(GroupVertices[Group],MATCH(Vertices[[#This Row],[Vertex]],GroupVertices[Vertex],0)),1,1,"")</f>
        <v>8</v>
      </c>
      <c r="AV310" s="49">
        <v>0</v>
      </c>
      <c r="AW310" s="50">
        <v>0</v>
      </c>
      <c r="AX310" s="49">
        <v>0</v>
      </c>
      <c r="AY310" s="50">
        <v>0</v>
      </c>
      <c r="AZ310" s="49">
        <v>0</v>
      </c>
      <c r="BA310" s="50">
        <v>0</v>
      </c>
      <c r="BB310" s="49">
        <v>12</v>
      </c>
      <c r="BC310" s="50">
        <v>100</v>
      </c>
      <c r="BD310" s="49">
        <v>12</v>
      </c>
      <c r="BE310" s="49"/>
      <c r="BF310" s="49"/>
      <c r="BG310" s="49"/>
      <c r="BH310" s="49"/>
      <c r="BI310" s="49"/>
      <c r="BJ310" s="49"/>
      <c r="BK310" s="111" t="s">
        <v>3313</v>
      </c>
      <c r="BL310" s="111" t="s">
        <v>3313</v>
      </c>
      <c r="BM310" s="111" t="s">
        <v>4128</v>
      </c>
      <c r="BN310" s="111" t="s">
        <v>4128</v>
      </c>
      <c r="BO310" s="2"/>
      <c r="BP310" s="3"/>
      <c r="BQ310" s="3"/>
      <c r="BR310" s="3"/>
      <c r="BS310" s="3"/>
    </row>
    <row r="311" spans="1:71" ht="15">
      <c r="A311" s="65" t="s">
        <v>645</v>
      </c>
      <c r="B311" s="66"/>
      <c r="C311" s="66"/>
      <c r="D311" s="67">
        <v>150</v>
      </c>
      <c r="E311" s="69"/>
      <c r="F311" s="103" t="str">
        <f>HYPERLINK("https://yt3.ggpht.com/ytc/AKedOLQ_IBmA500kBbFFRIjiWMpj16VuEzuVEaSh4oEXzQ=s88-c-k-c0x00ffffff-no-rj")</f>
        <v>https://yt3.ggpht.com/ytc/AKedOLQ_IBmA500kBbFFRIjiWMpj16VuEzuVEaSh4oEXzQ=s88-c-k-c0x00ffffff-no-rj</v>
      </c>
      <c r="G311" s="66"/>
      <c r="H311" s="70" t="s">
        <v>1712</v>
      </c>
      <c r="I311" s="71"/>
      <c r="J311" s="71" t="s">
        <v>159</v>
      </c>
      <c r="K311" s="70" t="s">
        <v>1712</v>
      </c>
      <c r="L311" s="74">
        <v>1</v>
      </c>
      <c r="M311" s="75">
        <v>9351.5087890625</v>
      </c>
      <c r="N311" s="75">
        <v>4642.8818359375</v>
      </c>
      <c r="O311" s="76"/>
      <c r="P311" s="77"/>
      <c r="Q311" s="77"/>
      <c r="R311" s="89"/>
      <c r="S311" s="49">
        <v>1</v>
      </c>
      <c r="T311" s="49">
        <v>1</v>
      </c>
      <c r="U311" s="50">
        <v>0</v>
      </c>
      <c r="V311" s="50">
        <v>0.478632</v>
      </c>
      <c r="W311" s="50">
        <v>0.036714</v>
      </c>
      <c r="X311" s="50">
        <v>0.002011</v>
      </c>
      <c r="Y311" s="50">
        <v>0.5</v>
      </c>
      <c r="Z311" s="50">
        <v>0</v>
      </c>
      <c r="AA311" s="72">
        <v>311</v>
      </c>
      <c r="AB311" s="72"/>
      <c r="AC311" s="73"/>
      <c r="AD311" s="80" t="s">
        <v>1712</v>
      </c>
      <c r="AE311" s="80"/>
      <c r="AF311" s="80"/>
      <c r="AG311" s="80"/>
      <c r="AH311" s="80"/>
      <c r="AI311" s="80"/>
      <c r="AJ311" s="87">
        <v>39300.9581712963</v>
      </c>
      <c r="AK311" s="85" t="str">
        <f>HYPERLINK("https://yt3.ggpht.com/ytc/AKedOLQ_IBmA500kBbFFRIjiWMpj16VuEzuVEaSh4oEXzQ=s88-c-k-c0x00ffffff-no-rj")</f>
        <v>https://yt3.ggpht.com/ytc/AKedOLQ_IBmA500kBbFFRIjiWMpj16VuEzuVEaSh4oEXzQ=s88-c-k-c0x00ffffff-no-rj</v>
      </c>
      <c r="AL311" s="80">
        <v>0</v>
      </c>
      <c r="AM311" s="80">
        <v>0</v>
      </c>
      <c r="AN311" s="80">
        <v>13</v>
      </c>
      <c r="AO311" s="80" t="b">
        <v>0</v>
      </c>
      <c r="AP311" s="80">
        <v>0</v>
      </c>
      <c r="AQ311" s="80"/>
      <c r="AR311" s="80"/>
      <c r="AS311" s="80" t="s">
        <v>2085</v>
      </c>
      <c r="AT311" s="85" t="str">
        <f>HYPERLINK("https://www.youtube.com/channel/UC3DdFaCE0PYo32ElY4LpVpg")</f>
        <v>https://www.youtube.com/channel/UC3DdFaCE0PYo32ElY4LpVpg</v>
      </c>
      <c r="AU311" s="80" t="str">
        <f>REPLACE(INDEX(GroupVertices[Group],MATCH(Vertices[[#This Row],[Vertex]],GroupVertices[Vertex],0)),1,1,"")</f>
        <v>5</v>
      </c>
      <c r="AV311" s="49">
        <v>2</v>
      </c>
      <c r="AW311" s="50">
        <v>50</v>
      </c>
      <c r="AX311" s="49">
        <v>0</v>
      </c>
      <c r="AY311" s="50">
        <v>0</v>
      </c>
      <c r="AZ311" s="49">
        <v>0</v>
      </c>
      <c r="BA311" s="50">
        <v>0</v>
      </c>
      <c r="BB311" s="49">
        <v>2</v>
      </c>
      <c r="BC311" s="50">
        <v>50</v>
      </c>
      <c r="BD311" s="49">
        <v>4</v>
      </c>
      <c r="BE311" s="49"/>
      <c r="BF311" s="49"/>
      <c r="BG311" s="49"/>
      <c r="BH311" s="49"/>
      <c r="BI311" s="49"/>
      <c r="BJ311" s="49"/>
      <c r="BK311" s="111" t="s">
        <v>3681</v>
      </c>
      <c r="BL311" s="111" t="s">
        <v>3681</v>
      </c>
      <c r="BM311" s="111" t="s">
        <v>4129</v>
      </c>
      <c r="BN311" s="111" t="s">
        <v>4129</v>
      </c>
      <c r="BO311" s="2"/>
      <c r="BP311" s="3"/>
      <c r="BQ311" s="3"/>
      <c r="BR311" s="3"/>
      <c r="BS311" s="3"/>
    </row>
    <row r="312" spans="1:71" ht="15">
      <c r="A312" s="65" t="s">
        <v>646</v>
      </c>
      <c r="B312" s="66"/>
      <c r="C312" s="66"/>
      <c r="D312" s="67">
        <v>150</v>
      </c>
      <c r="E312" s="69"/>
      <c r="F312" s="103" t="str">
        <f>HYPERLINK("https://yt3.ggpht.com/ytc/AKedOLSEG9_LhmjiIrKL8r3sfpFPgeOTdAG6u4o4kA=s88-c-k-c0x00ffffff-no-rj")</f>
        <v>https://yt3.ggpht.com/ytc/AKedOLSEG9_LhmjiIrKL8r3sfpFPgeOTdAG6u4o4kA=s88-c-k-c0x00ffffff-no-rj</v>
      </c>
      <c r="G312" s="66"/>
      <c r="H312" s="70" t="s">
        <v>1713</v>
      </c>
      <c r="I312" s="71"/>
      <c r="J312" s="71" t="s">
        <v>159</v>
      </c>
      <c r="K312" s="70" t="s">
        <v>1713</v>
      </c>
      <c r="L312" s="74">
        <v>1</v>
      </c>
      <c r="M312" s="75">
        <v>4793.4609375</v>
      </c>
      <c r="N312" s="75">
        <v>4074.501953125</v>
      </c>
      <c r="O312" s="76"/>
      <c r="P312" s="77"/>
      <c r="Q312" s="77"/>
      <c r="R312" s="89"/>
      <c r="S312" s="49">
        <v>0</v>
      </c>
      <c r="T312" s="49">
        <v>1</v>
      </c>
      <c r="U312" s="50">
        <v>0</v>
      </c>
      <c r="V312" s="50">
        <v>0.478122</v>
      </c>
      <c r="W312" s="50">
        <v>0.03471</v>
      </c>
      <c r="X312" s="50">
        <v>0.001935</v>
      </c>
      <c r="Y312" s="50">
        <v>0</v>
      </c>
      <c r="Z312" s="50">
        <v>0</v>
      </c>
      <c r="AA312" s="72">
        <v>312</v>
      </c>
      <c r="AB312" s="72"/>
      <c r="AC312" s="73"/>
      <c r="AD312" s="80" t="s">
        <v>1713</v>
      </c>
      <c r="AE312" s="80"/>
      <c r="AF312" s="80"/>
      <c r="AG312" s="80"/>
      <c r="AH312" s="80"/>
      <c r="AI312" s="80"/>
      <c r="AJ312" s="87">
        <v>41647.55363425926</v>
      </c>
      <c r="AK312" s="85" t="str">
        <f>HYPERLINK("https://yt3.ggpht.com/ytc/AKedOLSEG9_LhmjiIrKL8r3sfpFPgeOTdAG6u4o4kA=s88-c-k-c0x00ffffff-no-rj")</f>
        <v>https://yt3.ggpht.com/ytc/AKedOLSEG9_LhmjiIrKL8r3sfpFPgeOTdAG6u4o4kA=s88-c-k-c0x00ffffff-no-rj</v>
      </c>
      <c r="AL312" s="80">
        <v>0</v>
      </c>
      <c r="AM312" s="80">
        <v>0</v>
      </c>
      <c r="AN312" s="80">
        <v>0</v>
      </c>
      <c r="AO312" s="80" t="b">
        <v>0</v>
      </c>
      <c r="AP312" s="80">
        <v>0</v>
      </c>
      <c r="AQ312" s="80"/>
      <c r="AR312" s="80"/>
      <c r="AS312" s="80" t="s">
        <v>2085</v>
      </c>
      <c r="AT312" s="85" t="str">
        <f>HYPERLINK("https://www.youtube.com/channel/UCCcPxncbMrO7LJE-sF9B0pg")</f>
        <v>https://www.youtube.com/channel/UCCcPxncbMrO7LJE-sF9B0pg</v>
      </c>
      <c r="AU312" s="80" t="str">
        <f>REPLACE(INDEX(GroupVertices[Group],MATCH(Vertices[[#This Row],[Vertex]],GroupVertices[Vertex],0)),1,1,"")</f>
        <v>1</v>
      </c>
      <c r="AV312" s="49">
        <v>3</v>
      </c>
      <c r="AW312" s="50">
        <v>2.2388059701492535</v>
      </c>
      <c r="AX312" s="49">
        <v>8</v>
      </c>
      <c r="AY312" s="50">
        <v>5.970149253731344</v>
      </c>
      <c r="AZ312" s="49">
        <v>0</v>
      </c>
      <c r="BA312" s="50">
        <v>0</v>
      </c>
      <c r="BB312" s="49">
        <v>123</v>
      </c>
      <c r="BC312" s="50">
        <v>91.7910447761194</v>
      </c>
      <c r="BD312" s="49">
        <v>134</v>
      </c>
      <c r="BE312" s="49"/>
      <c r="BF312" s="49"/>
      <c r="BG312" s="49"/>
      <c r="BH312" s="49"/>
      <c r="BI312" s="49"/>
      <c r="BJ312" s="49"/>
      <c r="BK312" s="111" t="s">
        <v>3682</v>
      </c>
      <c r="BL312" s="111" t="s">
        <v>3682</v>
      </c>
      <c r="BM312" s="111" t="s">
        <v>4130</v>
      </c>
      <c r="BN312" s="111" t="s">
        <v>4130</v>
      </c>
      <c r="BO312" s="2"/>
      <c r="BP312" s="3"/>
      <c r="BQ312" s="3"/>
      <c r="BR312" s="3"/>
      <c r="BS312" s="3"/>
    </row>
    <row r="313" spans="1:71" ht="15">
      <c r="A313" s="65" t="s">
        <v>647</v>
      </c>
      <c r="B313" s="66"/>
      <c r="C313" s="66"/>
      <c r="D313" s="67">
        <v>150</v>
      </c>
      <c r="E313" s="69"/>
      <c r="F313" s="103" t="str">
        <f>HYPERLINK("https://yt3.ggpht.com/ytc/AKedOLQ6mM6mJnGPa7gIfi2tDKVriI4xcxI-Lb5FQQ=s88-c-k-c0x00ffffff-no-rj")</f>
        <v>https://yt3.ggpht.com/ytc/AKedOLQ6mM6mJnGPa7gIfi2tDKVriI4xcxI-Lb5FQQ=s88-c-k-c0x00ffffff-no-rj</v>
      </c>
      <c r="G313" s="66"/>
      <c r="H313" s="70" t="s">
        <v>1714</v>
      </c>
      <c r="I313" s="71"/>
      <c r="J313" s="71" t="s">
        <v>159</v>
      </c>
      <c r="K313" s="70" t="s">
        <v>1714</v>
      </c>
      <c r="L313" s="74">
        <v>1</v>
      </c>
      <c r="M313" s="75">
        <v>4905.81494140625</v>
      </c>
      <c r="N313" s="75">
        <v>4581.38037109375</v>
      </c>
      <c r="O313" s="76"/>
      <c r="P313" s="77"/>
      <c r="Q313" s="77"/>
      <c r="R313" s="89"/>
      <c r="S313" s="49">
        <v>0</v>
      </c>
      <c r="T313" s="49">
        <v>1</v>
      </c>
      <c r="U313" s="50">
        <v>0</v>
      </c>
      <c r="V313" s="50">
        <v>0.478122</v>
      </c>
      <c r="W313" s="50">
        <v>0.03471</v>
      </c>
      <c r="X313" s="50">
        <v>0.001935</v>
      </c>
      <c r="Y313" s="50">
        <v>0</v>
      </c>
      <c r="Z313" s="50">
        <v>0</v>
      </c>
      <c r="AA313" s="72">
        <v>313</v>
      </c>
      <c r="AB313" s="72"/>
      <c r="AC313" s="73"/>
      <c r="AD313" s="80" t="s">
        <v>1714</v>
      </c>
      <c r="AE313" s="80"/>
      <c r="AF313" s="80"/>
      <c r="AG313" s="80"/>
      <c r="AH313" s="80"/>
      <c r="AI313" s="80"/>
      <c r="AJ313" s="87">
        <v>42110.893425925926</v>
      </c>
      <c r="AK313" s="85" t="str">
        <f>HYPERLINK("https://yt3.ggpht.com/ytc/AKedOLQ6mM6mJnGPa7gIfi2tDKVriI4xcxI-Lb5FQQ=s88-c-k-c0x00ffffff-no-rj")</f>
        <v>https://yt3.ggpht.com/ytc/AKedOLQ6mM6mJnGPa7gIfi2tDKVriI4xcxI-Lb5FQQ=s88-c-k-c0x00ffffff-no-rj</v>
      </c>
      <c r="AL313" s="80">
        <v>0</v>
      </c>
      <c r="AM313" s="80">
        <v>0</v>
      </c>
      <c r="AN313" s="80">
        <v>1</v>
      </c>
      <c r="AO313" s="80" t="b">
        <v>0</v>
      </c>
      <c r="AP313" s="80">
        <v>0</v>
      </c>
      <c r="AQ313" s="80"/>
      <c r="AR313" s="80"/>
      <c r="AS313" s="80" t="s">
        <v>2085</v>
      </c>
      <c r="AT313" s="85" t="str">
        <f>HYPERLINK("https://www.youtube.com/channel/UCZf8XvtinlP2iQak9w50SHg")</f>
        <v>https://www.youtube.com/channel/UCZf8XvtinlP2iQak9w50SHg</v>
      </c>
      <c r="AU313" s="80" t="str">
        <f>REPLACE(INDEX(GroupVertices[Group],MATCH(Vertices[[#This Row],[Vertex]],GroupVertices[Vertex],0)),1,1,"")</f>
        <v>1</v>
      </c>
      <c r="AV313" s="49">
        <v>0</v>
      </c>
      <c r="AW313" s="50">
        <v>0</v>
      </c>
      <c r="AX313" s="49">
        <v>0</v>
      </c>
      <c r="AY313" s="50">
        <v>0</v>
      </c>
      <c r="AZ313" s="49">
        <v>0</v>
      </c>
      <c r="BA313" s="50">
        <v>0</v>
      </c>
      <c r="BB313" s="49">
        <v>7</v>
      </c>
      <c r="BC313" s="50">
        <v>100</v>
      </c>
      <c r="BD313" s="49">
        <v>7</v>
      </c>
      <c r="BE313" s="49"/>
      <c r="BF313" s="49"/>
      <c r="BG313" s="49"/>
      <c r="BH313" s="49"/>
      <c r="BI313" s="49"/>
      <c r="BJ313" s="49"/>
      <c r="BK313" s="111" t="s">
        <v>3683</v>
      </c>
      <c r="BL313" s="111" t="s">
        <v>3683</v>
      </c>
      <c r="BM313" s="111" t="s">
        <v>4131</v>
      </c>
      <c r="BN313" s="111" t="s">
        <v>4131</v>
      </c>
      <c r="BO313" s="2"/>
      <c r="BP313" s="3"/>
      <c r="BQ313" s="3"/>
      <c r="BR313" s="3"/>
      <c r="BS313" s="3"/>
    </row>
    <row r="314" spans="1:71" ht="15">
      <c r="A314" s="65" t="s">
        <v>648</v>
      </c>
      <c r="B314" s="66"/>
      <c r="C314" s="66"/>
      <c r="D314" s="67">
        <v>150</v>
      </c>
      <c r="E314" s="69"/>
      <c r="F314" s="103" t="str">
        <f>HYPERLINK("https://yt3.ggpht.com/ytc/AKedOLTGWhkOZPC0hO7Mzibv0HS8p1DtWevO5dBpgdl7=s88-c-k-c0x00ffffff-no-rj")</f>
        <v>https://yt3.ggpht.com/ytc/AKedOLTGWhkOZPC0hO7Mzibv0HS8p1DtWevO5dBpgdl7=s88-c-k-c0x00ffffff-no-rj</v>
      </c>
      <c r="G314" s="66"/>
      <c r="H314" s="70" t="s">
        <v>1715</v>
      </c>
      <c r="I314" s="71"/>
      <c r="J314" s="71" t="s">
        <v>159</v>
      </c>
      <c r="K314" s="70" t="s">
        <v>1715</v>
      </c>
      <c r="L314" s="74">
        <v>1</v>
      </c>
      <c r="M314" s="75">
        <v>9892.853515625</v>
      </c>
      <c r="N314" s="75">
        <v>5514.154296875</v>
      </c>
      <c r="O314" s="76"/>
      <c r="P314" s="77"/>
      <c r="Q314" s="77"/>
      <c r="R314" s="89"/>
      <c r="S314" s="49">
        <v>1</v>
      </c>
      <c r="T314" s="49">
        <v>1</v>
      </c>
      <c r="U314" s="50">
        <v>0</v>
      </c>
      <c r="V314" s="50">
        <v>0.478632</v>
      </c>
      <c r="W314" s="50">
        <v>0.036714</v>
      </c>
      <c r="X314" s="50">
        <v>0.002011</v>
      </c>
      <c r="Y314" s="50">
        <v>0.5</v>
      </c>
      <c r="Z314" s="50">
        <v>0</v>
      </c>
      <c r="AA314" s="72">
        <v>314</v>
      </c>
      <c r="AB314" s="72"/>
      <c r="AC314" s="73"/>
      <c r="AD314" s="80" t="s">
        <v>1715</v>
      </c>
      <c r="AE314" s="80"/>
      <c r="AF314" s="80"/>
      <c r="AG314" s="80"/>
      <c r="AH314" s="80"/>
      <c r="AI314" s="80"/>
      <c r="AJ314" s="87">
        <v>41286.98685185185</v>
      </c>
      <c r="AK314" s="85" t="str">
        <f>HYPERLINK("https://yt3.ggpht.com/ytc/AKedOLTGWhkOZPC0hO7Mzibv0HS8p1DtWevO5dBpgdl7=s88-c-k-c0x00ffffff-no-rj")</f>
        <v>https://yt3.ggpht.com/ytc/AKedOLTGWhkOZPC0hO7Mzibv0HS8p1DtWevO5dBpgdl7=s88-c-k-c0x00ffffff-no-rj</v>
      </c>
      <c r="AL314" s="80">
        <v>3</v>
      </c>
      <c r="AM314" s="80">
        <v>0</v>
      </c>
      <c r="AN314" s="80">
        <v>2</v>
      </c>
      <c r="AO314" s="80" t="b">
        <v>0</v>
      </c>
      <c r="AP314" s="80">
        <v>1</v>
      </c>
      <c r="AQ314" s="80"/>
      <c r="AR314" s="80"/>
      <c r="AS314" s="80" t="s">
        <v>2085</v>
      </c>
      <c r="AT314" s="85" t="str">
        <f>HYPERLINK("https://www.youtube.com/channel/UCXWOsNdoKRvkunTglBbLRKg")</f>
        <v>https://www.youtube.com/channel/UCXWOsNdoKRvkunTglBbLRKg</v>
      </c>
      <c r="AU314" s="80" t="str">
        <f>REPLACE(INDEX(GroupVertices[Group],MATCH(Vertices[[#This Row],[Vertex]],GroupVertices[Vertex],0)),1,1,"")</f>
        <v>5</v>
      </c>
      <c r="AV314" s="49">
        <v>2</v>
      </c>
      <c r="AW314" s="50">
        <v>12.5</v>
      </c>
      <c r="AX314" s="49">
        <v>1</v>
      </c>
      <c r="AY314" s="50">
        <v>6.25</v>
      </c>
      <c r="AZ314" s="49">
        <v>0</v>
      </c>
      <c r="BA314" s="50">
        <v>0</v>
      </c>
      <c r="BB314" s="49">
        <v>13</v>
      </c>
      <c r="BC314" s="50">
        <v>81.25</v>
      </c>
      <c r="BD314" s="49">
        <v>16</v>
      </c>
      <c r="BE314" s="49"/>
      <c r="BF314" s="49"/>
      <c r="BG314" s="49"/>
      <c r="BH314" s="49"/>
      <c r="BI314" s="49"/>
      <c r="BJ314" s="49"/>
      <c r="BK314" s="111" t="s">
        <v>3684</v>
      </c>
      <c r="BL314" s="111" t="s">
        <v>3684</v>
      </c>
      <c r="BM314" s="111" t="s">
        <v>4132</v>
      </c>
      <c r="BN314" s="111" t="s">
        <v>4132</v>
      </c>
      <c r="BO314" s="2"/>
      <c r="BP314" s="3"/>
      <c r="BQ314" s="3"/>
      <c r="BR314" s="3"/>
      <c r="BS314" s="3"/>
    </row>
    <row r="315" spans="1:71" ht="15">
      <c r="A315" s="65" t="s">
        <v>649</v>
      </c>
      <c r="B315" s="66"/>
      <c r="C315" s="66"/>
      <c r="D315" s="67">
        <v>150</v>
      </c>
      <c r="E315" s="69"/>
      <c r="F315" s="103" t="str">
        <f>HYPERLINK("https://yt3.ggpht.com/ytc/AKedOLSbnun9UJBrQBu-slg2wSMXzRXqMActCpNVxg=s88-c-k-c0x00ffffff-no-rj")</f>
        <v>https://yt3.ggpht.com/ytc/AKedOLSbnun9UJBrQBu-slg2wSMXzRXqMActCpNVxg=s88-c-k-c0x00ffffff-no-rj</v>
      </c>
      <c r="G315" s="66"/>
      <c r="H315" s="70" t="s">
        <v>1716</v>
      </c>
      <c r="I315" s="71"/>
      <c r="J315" s="71" t="s">
        <v>159</v>
      </c>
      <c r="K315" s="70" t="s">
        <v>1716</v>
      </c>
      <c r="L315" s="74">
        <v>1</v>
      </c>
      <c r="M315" s="75">
        <v>9691.1748046875</v>
      </c>
      <c r="N315" s="75">
        <v>1529.2587890625</v>
      </c>
      <c r="O315" s="76"/>
      <c r="P315" s="77"/>
      <c r="Q315" s="77"/>
      <c r="R315" s="89"/>
      <c r="S315" s="49">
        <v>0</v>
      </c>
      <c r="T315" s="49">
        <v>1</v>
      </c>
      <c r="U315" s="50">
        <v>0</v>
      </c>
      <c r="V315" s="50">
        <v>0.324168</v>
      </c>
      <c r="W315" s="50">
        <v>0.00175</v>
      </c>
      <c r="X315" s="50">
        <v>0.002011</v>
      </c>
      <c r="Y315" s="50">
        <v>0</v>
      </c>
      <c r="Z315" s="50">
        <v>0</v>
      </c>
      <c r="AA315" s="72">
        <v>315</v>
      </c>
      <c r="AB315" s="72"/>
      <c r="AC315" s="73"/>
      <c r="AD315" s="80" t="s">
        <v>1716</v>
      </c>
      <c r="AE315" s="80"/>
      <c r="AF315" s="80"/>
      <c r="AG315" s="80"/>
      <c r="AH315" s="80"/>
      <c r="AI315" s="80"/>
      <c r="AJ315" s="87">
        <v>41522.290821759256</v>
      </c>
      <c r="AK315" s="85" t="str">
        <f>HYPERLINK("https://yt3.ggpht.com/ytc/AKedOLSbnun9UJBrQBu-slg2wSMXzRXqMActCpNVxg=s88-c-k-c0x00ffffff-no-rj")</f>
        <v>https://yt3.ggpht.com/ytc/AKedOLSbnun9UJBrQBu-slg2wSMXzRXqMActCpNVxg=s88-c-k-c0x00ffffff-no-rj</v>
      </c>
      <c r="AL315" s="80">
        <v>0</v>
      </c>
      <c r="AM315" s="80">
        <v>0</v>
      </c>
      <c r="AN315" s="80">
        <v>2</v>
      </c>
      <c r="AO315" s="80" t="b">
        <v>0</v>
      </c>
      <c r="AP315" s="80">
        <v>0</v>
      </c>
      <c r="AQ315" s="80"/>
      <c r="AR315" s="80"/>
      <c r="AS315" s="80" t="s">
        <v>2085</v>
      </c>
      <c r="AT315" s="85" t="str">
        <f>HYPERLINK("https://www.youtube.com/channel/UCiKNMnyn8SVCFa39NFwk1Dg")</f>
        <v>https://www.youtube.com/channel/UCiKNMnyn8SVCFa39NFwk1Dg</v>
      </c>
      <c r="AU315" s="80" t="str">
        <f>REPLACE(INDEX(GroupVertices[Group],MATCH(Vertices[[#This Row],[Vertex]],GroupVertices[Vertex],0)),1,1,"")</f>
        <v>16</v>
      </c>
      <c r="AV315" s="49">
        <v>1</v>
      </c>
      <c r="AW315" s="50">
        <v>7.142857142857143</v>
      </c>
      <c r="AX315" s="49">
        <v>0</v>
      </c>
      <c r="AY315" s="50">
        <v>0</v>
      </c>
      <c r="AZ315" s="49">
        <v>0</v>
      </c>
      <c r="BA315" s="50">
        <v>0</v>
      </c>
      <c r="BB315" s="49">
        <v>13</v>
      </c>
      <c r="BC315" s="50">
        <v>92.85714285714286</v>
      </c>
      <c r="BD315" s="49">
        <v>14</v>
      </c>
      <c r="BE315" s="49"/>
      <c r="BF315" s="49"/>
      <c r="BG315" s="49"/>
      <c r="BH315" s="49"/>
      <c r="BI315" s="49"/>
      <c r="BJ315" s="49"/>
      <c r="BK315" s="111" t="s">
        <v>3685</v>
      </c>
      <c r="BL315" s="111" t="s">
        <v>3685</v>
      </c>
      <c r="BM315" s="111" t="s">
        <v>4133</v>
      </c>
      <c r="BN315" s="111" t="s">
        <v>4133</v>
      </c>
      <c r="BO315" s="2"/>
      <c r="BP315" s="3"/>
      <c r="BQ315" s="3"/>
      <c r="BR315" s="3"/>
      <c r="BS315" s="3"/>
    </row>
    <row r="316" spans="1:71" ht="15">
      <c r="A316" s="65" t="s">
        <v>650</v>
      </c>
      <c r="B316" s="66"/>
      <c r="C316" s="66"/>
      <c r="D316" s="67">
        <v>257.08850056369783</v>
      </c>
      <c r="E316" s="69"/>
      <c r="F316" s="103" t="str">
        <f>HYPERLINK("https://yt3.ggpht.com/ytc/AKedOLQHlOov1ANosyIpAwFmKamxefdfEZ0sUXA84RrgDw=s88-c-k-c0x00ffffff-no-rj")</f>
        <v>https://yt3.ggpht.com/ytc/AKedOLQHlOov1ANosyIpAwFmKamxefdfEZ0sUXA84RrgDw=s88-c-k-c0x00ffffff-no-rj</v>
      </c>
      <c r="G316" s="66"/>
      <c r="H316" s="70" t="s">
        <v>1717</v>
      </c>
      <c r="I316" s="71"/>
      <c r="J316" s="71" t="s">
        <v>75</v>
      </c>
      <c r="K316" s="70" t="s">
        <v>1717</v>
      </c>
      <c r="L316" s="74">
        <v>45.70324163334509</v>
      </c>
      <c r="M316" s="75">
        <v>9691.1748046875</v>
      </c>
      <c r="N316" s="75">
        <v>1176.3529052734375</v>
      </c>
      <c r="O316" s="76"/>
      <c r="P316" s="77"/>
      <c r="Q316" s="77"/>
      <c r="R316" s="89"/>
      <c r="S316" s="49">
        <v>2</v>
      </c>
      <c r="T316" s="49">
        <v>2</v>
      </c>
      <c r="U316" s="50">
        <v>894</v>
      </c>
      <c r="V316" s="50">
        <v>0.479144</v>
      </c>
      <c r="W316" s="50">
        <v>0.036545</v>
      </c>
      <c r="X316" s="50">
        <v>0.002354</v>
      </c>
      <c r="Y316" s="50">
        <v>0</v>
      </c>
      <c r="Z316" s="50">
        <v>0</v>
      </c>
      <c r="AA316" s="72">
        <v>316</v>
      </c>
      <c r="AB316" s="72"/>
      <c r="AC316" s="73"/>
      <c r="AD316" s="80" t="s">
        <v>1717</v>
      </c>
      <c r="AE316" s="80"/>
      <c r="AF316" s="80"/>
      <c r="AG316" s="80"/>
      <c r="AH316" s="80"/>
      <c r="AI316" s="80"/>
      <c r="AJ316" s="87">
        <v>40477.24037037037</v>
      </c>
      <c r="AK316" s="85" t="str">
        <f>HYPERLINK("https://yt3.ggpht.com/ytc/AKedOLQHlOov1ANosyIpAwFmKamxefdfEZ0sUXA84RrgDw=s88-c-k-c0x00ffffff-no-rj")</f>
        <v>https://yt3.ggpht.com/ytc/AKedOLQHlOov1ANosyIpAwFmKamxefdfEZ0sUXA84RrgDw=s88-c-k-c0x00ffffff-no-rj</v>
      </c>
      <c r="AL316" s="80">
        <v>517</v>
      </c>
      <c r="AM316" s="80">
        <v>0</v>
      </c>
      <c r="AN316" s="80">
        <v>20</v>
      </c>
      <c r="AO316" s="80" t="b">
        <v>0</v>
      </c>
      <c r="AP316" s="80">
        <v>16</v>
      </c>
      <c r="AQ316" s="80"/>
      <c r="AR316" s="80"/>
      <c r="AS316" s="80" t="s">
        <v>2085</v>
      </c>
      <c r="AT316" s="85" t="str">
        <f>HYPERLINK("https://www.youtube.com/channel/UC4FuRQY-zQBfFPOPuaRAWgw")</f>
        <v>https://www.youtube.com/channel/UC4FuRQY-zQBfFPOPuaRAWgw</v>
      </c>
      <c r="AU316" s="80" t="str">
        <f>REPLACE(INDEX(GroupVertices[Group],MATCH(Vertices[[#This Row],[Vertex]],GroupVertices[Vertex],0)),1,1,"")</f>
        <v>16</v>
      </c>
      <c r="AV316" s="49">
        <v>5</v>
      </c>
      <c r="AW316" s="50">
        <v>3.6231884057971016</v>
      </c>
      <c r="AX316" s="49">
        <v>9</v>
      </c>
      <c r="AY316" s="50">
        <v>6.521739130434782</v>
      </c>
      <c r="AZ316" s="49">
        <v>0</v>
      </c>
      <c r="BA316" s="50">
        <v>0</v>
      </c>
      <c r="BB316" s="49">
        <v>124</v>
      </c>
      <c r="BC316" s="50">
        <v>89.85507246376811</v>
      </c>
      <c r="BD316" s="49">
        <v>138</v>
      </c>
      <c r="BE316" s="49" t="s">
        <v>3265</v>
      </c>
      <c r="BF316" s="49" t="s">
        <v>3265</v>
      </c>
      <c r="BG316" s="49" t="s">
        <v>1922</v>
      </c>
      <c r="BH316" s="49" t="s">
        <v>1922</v>
      </c>
      <c r="BI316" s="49"/>
      <c r="BJ316" s="49"/>
      <c r="BK316" s="111" t="s">
        <v>3686</v>
      </c>
      <c r="BL316" s="111" t="s">
        <v>3686</v>
      </c>
      <c r="BM316" s="111" t="s">
        <v>4134</v>
      </c>
      <c r="BN316" s="111" t="s">
        <v>4134</v>
      </c>
      <c r="BO316" s="2"/>
      <c r="BP316" s="3"/>
      <c r="BQ316" s="3"/>
      <c r="BR316" s="3"/>
      <c r="BS316" s="3"/>
    </row>
    <row r="317" spans="1:71" ht="15">
      <c r="A317" s="65" t="s">
        <v>651</v>
      </c>
      <c r="B317" s="66"/>
      <c r="C317" s="66"/>
      <c r="D317" s="67">
        <v>150</v>
      </c>
      <c r="E317" s="69"/>
      <c r="F317" s="103" t="str">
        <f>HYPERLINK("https://yt3.ggpht.com/cG-Jm2lFoYh_BjkTyG3YRPJjLMP1FbxR9OEpjQq6geAxzMPU2txQ9PZzpMq7y7btH5dMYzbq3Q=s88-c-k-c0x00ffffff-no-rj")</f>
        <v>https://yt3.ggpht.com/cG-Jm2lFoYh_BjkTyG3YRPJjLMP1FbxR9OEpjQq6geAxzMPU2txQ9PZzpMq7y7btH5dMYzbq3Q=s88-c-k-c0x00ffffff-no-rj</v>
      </c>
      <c r="G317" s="66"/>
      <c r="H317" s="70" t="s">
        <v>1718</v>
      </c>
      <c r="I317" s="71"/>
      <c r="J317" s="71" t="s">
        <v>159</v>
      </c>
      <c r="K317" s="70" t="s">
        <v>1718</v>
      </c>
      <c r="L317" s="74">
        <v>1</v>
      </c>
      <c r="M317" s="75">
        <v>3127.1806640625</v>
      </c>
      <c r="N317" s="75">
        <v>3055.64892578125</v>
      </c>
      <c r="O317" s="76"/>
      <c r="P317" s="77"/>
      <c r="Q317" s="77"/>
      <c r="R317" s="89"/>
      <c r="S317" s="49">
        <v>0</v>
      </c>
      <c r="T317" s="49">
        <v>1</v>
      </c>
      <c r="U317" s="50">
        <v>0</v>
      </c>
      <c r="V317" s="50">
        <v>0.478122</v>
      </c>
      <c r="W317" s="50">
        <v>0.03471</v>
      </c>
      <c r="X317" s="50">
        <v>0.001935</v>
      </c>
      <c r="Y317" s="50">
        <v>0</v>
      </c>
      <c r="Z317" s="50">
        <v>0</v>
      </c>
      <c r="AA317" s="72">
        <v>317</v>
      </c>
      <c r="AB317" s="72"/>
      <c r="AC317" s="73"/>
      <c r="AD317" s="80" t="s">
        <v>1718</v>
      </c>
      <c r="AE317" s="80"/>
      <c r="AF317" s="80"/>
      <c r="AG317" s="80"/>
      <c r="AH317" s="80"/>
      <c r="AI317" s="80"/>
      <c r="AJ317" s="87">
        <v>40447.172789351855</v>
      </c>
      <c r="AK317" s="85" t="str">
        <f>HYPERLINK("https://yt3.ggpht.com/cG-Jm2lFoYh_BjkTyG3YRPJjLMP1FbxR9OEpjQq6geAxzMPU2txQ9PZzpMq7y7btH5dMYzbq3Q=s88-c-k-c0x00ffffff-no-rj")</f>
        <v>https://yt3.ggpht.com/cG-Jm2lFoYh_BjkTyG3YRPJjLMP1FbxR9OEpjQq6geAxzMPU2txQ9PZzpMq7y7btH5dMYzbq3Q=s88-c-k-c0x00ffffff-no-rj</v>
      </c>
      <c r="AL317" s="80">
        <v>17588</v>
      </c>
      <c r="AM317" s="80">
        <v>0</v>
      </c>
      <c r="AN317" s="80">
        <v>18</v>
      </c>
      <c r="AO317" s="80" t="b">
        <v>0</v>
      </c>
      <c r="AP317" s="80">
        <v>71</v>
      </c>
      <c r="AQ317" s="80"/>
      <c r="AR317" s="80"/>
      <c r="AS317" s="80" t="s">
        <v>2085</v>
      </c>
      <c r="AT317" s="85" t="str">
        <f>HYPERLINK("https://www.youtube.com/channel/UCPJ7ELWQkVwveADc9hAsqNg")</f>
        <v>https://www.youtube.com/channel/UCPJ7ELWQkVwveADc9hAsqNg</v>
      </c>
      <c r="AU317" s="80" t="str">
        <f>REPLACE(INDEX(GroupVertices[Group],MATCH(Vertices[[#This Row],[Vertex]],GroupVertices[Vertex],0)),1,1,"")</f>
        <v>1</v>
      </c>
      <c r="AV317" s="49">
        <v>5</v>
      </c>
      <c r="AW317" s="50">
        <v>3.4246575342465753</v>
      </c>
      <c r="AX317" s="49">
        <v>4</v>
      </c>
      <c r="AY317" s="50">
        <v>2.73972602739726</v>
      </c>
      <c r="AZ317" s="49">
        <v>0</v>
      </c>
      <c r="BA317" s="50">
        <v>0</v>
      </c>
      <c r="BB317" s="49">
        <v>137</v>
      </c>
      <c r="BC317" s="50">
        <v>93.83561643835617</v>
      </c>
      <c r="BD317" s="49">
        <v>146</v>
      </c>
      <c r="BE317" s="49" t="s">
        <v>3385</v>
      </c>
      <c r="BF317" s="49" t="s">
        <v>3385</v>
      </c>
      <c r="BG317" s="49" t="s">
        <v>1922</v>
      </c>
      <c r="BH317" s="49" t="s">
        <v>1922</v>
      </c>
      <c r="BI317" s="49"/>
      <c r="BJ317" s="49"/>
      <c r="BK317" s="111" t="s">
        <v>3687</v>
      </c>
      <c r="BL317" s="111" t="s">
        <v>3687</v>
      </c>
      <c r="BM317" s="111" t="s">
        <v>4135</v>
      </c>
      <c r="BN317" s="111" t="s">
        <v>4135</v>
      </c>
      <c r="BO317" s="2"/>
      <c r="BP317" s="3"/>
      <c r="BQ317" s="3"/>
      <c r="BR317" s="3"/>
      <c r="BS317" s="3"/>
    </row>
    <row r="318" spans="1:71" ht="15">
      <c r="A318" s="65" t="s">
        <v>652</v>
      </c>
      <c r="B318" s="66"/>
      <c r="C318" s="66"/>
      <c r="D318" s="67">
        <v>150</v>
      </c>
      <c r="E318" s="69"/>
      <c r="F318" s="103" t="str">
        <f>HYPERLINK("https://yt3.ggpht.com/ytc/AKedOLRJYdAEgqC7Mo8Ck1tpdiBWWnjfDMo9e2t4PQ=s88-c-k-c0x00ffffff-no-rj")</f>
        <v>https://yt3.ggpht.com/ytc/AKedOLRJYdAEgqC7Mo8Ck1tpdiBWWnjfDMo9e2t4PQ=s88-c-k-c0x00ffffff-no-rj</v>
      </c>
      <c r="G318" s="66"/>
      <c r="H318" s="70" t="s">
        <v>1719</v>
      </c>
      <c r="I318" s="71"/>
      <c r="J318" s="71" t="s">
        <v>159</v>
      </c>
      <c r="K318" s="70" t="s">
        <v>1719</v>
      </c>
      <c r="L318" s="74">
        <v>1</v>
      </c>
      <c r="M318" s="75">
        <v>904.0828247070312</v>
      </c>
      <c r="N318" s="75">
        <v>5412.515625</v>
      </c>
      <c r="O318" s="76"/>
      <c r="P318" s="77"/>
      <c r="Q318" s="77"/>
      <c r="R318" s="89"/>
      <c r="S318" s="49">
        <v>0</v>
      </c>
      <c r="T318" s="49">
        <v>1</v>
      </c>
      <c r="U318" s="50">
        <v>0</v>
      </c>
      <c r="V318" s="50">
        <v>0.478122</v>
      </c>
      <c r="W318" s="50">
        <v>0.03471</v>
      </c>
      <c r="X318" s="50">
        <v>0.001935</v>
      </c>
      <c r="Y318" s="50">
        <v>0</v>
      </c>
      <c r="Z318" s="50">
        <v>0</v>
      </c>
      <c r="AA318" s="72">
        <v>318</v>
      </c>
      <c r="AB318" s="72"/>
      <c r="AC318" s="73"/>
      <c r="AD318" s="80" t="s">
        <v>1719</v>
      </c>
      <c r="AE318" s="80"/>
      <c r="AF318" s="80"/>
      <c r="AG318" s="80"/>
      <c r="AH318" s="80"/>
      <c r="AI318" s="80"/>
      <c r="AJ318" s="87">
        <v>41871.03313657407</v>
      </c>
      <c r="AK318" s="85" t="str">
        <f>HYPERLINK("https://yt3.ggpht.com/ytc/AKedOLRJYdAEgqC7Mo8Ck1tpdiBWWnjfDMo9e2t4PQ=s88-c-k-c0x00ffffff-no-rj")</f>
        <v>https://yt3.ggpht.com/ytc/AKedOLRJYdAEgqC7Mo8Ck1tpdiBWWnjfDMo9e2t4PQ=s88-c-k-c0x00ffffff-no-rj</v>
      </c>
      <c r="AL318" s="80">
        <v>0</v>
      </c>
      <c r="AM318" s="80">
        <v>0</v>
      </c>
      <c r="AN318" s="80">
        <v>1</v>
      </c>
      <c r="AO318" s="80" t="b">
        <v>0</v>
      </c>
      <c r="AP318" s="80">
        <v>0</v>
      </c>
      <c r="AQ318" s="80"/>
      <c r="AR318" s="80"/>
      <c r="AS318" s="80" t="s">
        <v>2085</v>
      </c>
      <c r="AT318" s="85" t="str">
        <f>HYPERLINK("https://www.youtube.com/channel/UCYgxA4x_tHjLWBN0OCgYWcQ")</f>
        <v>https://www.youtube.com/channel/UCYgxA4x_tHjLWBN0OCgYWcQ</v>
      </c>
      <c r="AU318" s="80" t="str">
        <f>REPLACE(INDEX(GroupVertices[Group],MATCH(Vertices[[#This Row],[Vertex]],GroupVertices[Vertex],0)),1,1,"")</f>
        <v>1</v>
      </c>
      <c r="AV318" s="49">
        <v>3</v>
      </c>
      <c r="AW318" s="50">
        <v>5.357142857142857</v>
      </c>
      <c r="AX318" s="49">
        <v>0</v>
      </c>
      <c r="AY318" s="50">
        <v>0</v>
      </c>
      <c r="AZ318" s="49">
        <v>0</v>
      </c>
      <c r="BA318" s="50">
        <v>0</v>
      </c>
      <c r="BB318" s="49">
        <v>53</v>
      </c>
      <c r="BC318" s="50">
        <v>94.64285714285714</v>
      </c>
      <c r="BD318" s="49">
        <v>56</v>
      </c>
      <c r="BE318" s="49"/>
      <c r="BF318" s="49"/>
      <c r="BG318" s="49"/>
      <c r="BH318" s="49"/>
      <c r="BI318" s="49"/>
      <c r="BJ318" s="49"/>
      <c r="BK318" s="111" t="s">
        <v>3688</v>
      </c>
      <c r="BL318" s="111" t="s">
        <v>3688</v>
      </c>
      <c r="BM318" s="111" t="s">
        <v>4136</v>
      </c>
      <c r="BN318" s="111" t="s">
        <v>4136</v>
      </c>
      <c r="BO318" s="2"/>
      <c r="BP318" s="3"/>
      <c r="BQ318" s="3"/>
      <c r="BR318" s="3"/>
      <c r="BS318" s="3"/>
    </row>
    <row r="319" spans="1:71" ht="15">
      <c r="A319" s="65" t="s">
        <v>653</v>
      </c>
      <c r="B319" s="66"/>
      <c r="C319" s="66"/>
      <c r="D319" s="67">
        <v>150</v>
      </c>
      <c r="E319" s="69"/>
      <c r="F319" s="103" t="str">
        <f>HYPERLINK("https://yt3.ggpht.com/ytc/AKedOLS_B1VfSntnzn9gTXCGOdAWICr6diM8hvM3O5MArw=s88-c-k-c0x00ffffff-no-rj")</f>
        <v>https://yt3.ggpht.com/ytc/AKedOLS_B1VfSntnzn9gTXCGOdAWICr6diM8hvM3O5MArw=s88-c-k-c0x00ffffff-no-rj</v>
      </c>
      <c r="G319" s="66"/>
      <c r="H319" s="70" t="s">
        <v>1720</v>
      </c>
      <c r="I319" s="71"/>
      <c r="J319" s="71" t="s">
        <v>159</v>
      </c>
      <c r="K319" s="70" t="s">
        <v>1720</v>
      </c>
      <c r="L319" s="74">
        <v>1</v>
      </c>
      <c r="M319" s="75">
        <v>3109.37109375</v>
      </c>
      <c r="N319" s="75">
        <v>9603.849609375</v>
      </c>
      <c r="O319" s="76"/>
      <c r="P319" s="77"/>
      <c r="Q319" s="77"/>
      <c r="R319" s="89"/>
      <c r="S319" s="49">
        <v>0</v>
      </c>
      <c r="T319" s="49">
        <v>1</v>
      </c>
      <c r="U319" s="50">
        <v>0</v>
      </c>
      <c r="V319" s="50">
        <v>0.478122</v>
      </c>
      <c r="W319" s="50">
        <v>0.03471</v>
      </c>
      <c r="X319" s="50">
        <v>0.001935</v>
      </c>
      <c r="Y319" s="50">
        <v>0</v>
      </c>
      <c r="Z319" s="50">
        <v>0</v>
      </c>
      <c r="AA319" s="72">
        <v>319</v>
      </c>
      <c r="AB319" s="72"/>
      <c r="AC319" s="73"/>
      <c r="AD319" s="80" t="s">
        <v>1720</v>
      </c>
      <c r="AE319" s="80" t="s">
        <v>2021</v>
      </c>
      <c r="AF319" s="80"/>
      <c r="AG319" s="80"/>
      <c r="AH319" s="80"/>
      <c r="AI319" s="80" t="s">
        <v>2077</v>
      </c>
      <c r="AJ319" s="87">
        <v>40485.77143518518</v>
      </c>
      <c r="AK319" s="85" t="str">
        <f>HYPERLINK("https://yt3.ggpht.com/ytc/AKedOLS_B1VfSntnzn9gTXCGOdAWICr6diM8hvM3O5MArw=s88-c-k-c0x00ffffff-no-rj")</f>
        <v>https://yt3.ggpht.com/ytc/AKedOLS_B1VfSntnzn9gTXCGOdAWICr6diM8hvM3O5MArw=s88-c-k-c0x00ffffff-no-rj</v>
      </c>
      <c r="AL319" s="80">
        <v>165749</v>
      </c>
      <c r="AM319" s="80">
        <v>0</v>
      </c>
      <c r="AN319" s="80">
        <v>558</v>
      </c>
      <c r="AO319" s="80" t="b">
        <v>0</v>
      </c>
      <c r="AP319" s="80">
        <v>79</v>
      </c>
      <c r="AQ319" s="80"/>
      <c r="AR319" s="80"/>
      <c r="AS319" s="80" t="s">
        <v>2085</v>
      </c>
      <c r="AT319" s="85" t="str">
        <f>HYPERLINK("https://www.youtube.com/channel/UCzYSQdFdNlITwUanU48B8GQ")</f>
        <v>https://www.youtube.com/channel/UCzYSQdFdNlITwUanU48B8GQ</v>
      </c>
      <c r="AU319" s="80" t="str">
        <f>REPLACE(INDEX(GroupVertices[Group],MATCH(Vertices[[#This Row],[Vertex]],GroupVertices[Vertex],0)),1,1,"")</f>
        <v>1</v>
      </c>
      <c r="AV319" s="49">
        <v>0</v>
      </c>
      <c r="AW319" s="50">
        <v>0</v>
      </c>
      <c r="AX319" s="49">
        <v>0</v>
      </c>
      <c r="AY319" s="50">
        <v>0</v>
      </c>
      <c r="AZ319" s="49">
        <v>0</v>
      </c>
      <c r="BA319" s="50">
        <v>0</v>
      </c>
      <c r="BB319" s="49">
        <v>5</v>
      </c>
      <c r="BC319" s="50">
        <v>100</v>
      </c>
      <c r="BD319" s="49">
        <v>5</v>
      </c>
      <c r="BE319" s="49"/>
      <c r="BF319" s="49"/>
      <c r="BG319" s="49"/>
      <c r="BH319" s="49"/>
      <c r="BI319" s="49"/>
      <c r="BJ319" s="49"/>
      <c r="BK319" s="111" t="s">
        <v>3689</v>
      </c>
      <c r="BL319" s="111" t="s">
        <v>3689</v>
      </c>
      <c r="BM319" s="111" t="s">
        <v>4137</v>
      </c>
      <c r="BN319" s="111" t="s">
        <v>4137</v>
      </c>
      <c r="BO319" s="2"/>
      <c r="BP319" s="3"/>
      <c r="BQ319" s="3"/>
      <c r="BR319" s="3"/>
      <c r="BS319" s="3"/>
    </row>
    <row r="320" spans="1:71" ht="15">
      <c r="A320" s="65" t="s">
        <v>654</v>
      </c>
      <c r="B320" s="66"/>
      <c r="C320" s="66"/>
      <c r="D320" s="67">
        <v>150</v>
      </c>
      <c r="E320" s="69"/>
      <c r="F320" s="103" t="str">
        <f>HYPERLINK("https://yt3.ggpht.com/ytc/AKedOLTqXGNkvCNBchtBYMKWq_L8m2pJlDl6H2tX3g=s88-c-k-c0x00ffffff-no-rj")</f>
        <v>https://yt3.ggpht.com/ytc/AKedOLTqXGNkvCNBchtBYMKWq_L8m2pJlDl6H2tX3g=s88-c-k-c0x00ffffff-no-rj</v>
      </c>
      <c r="G320" s="66"/>
      <c r="H320" s="70" t="s">
        <v>1721</v>
      </c>
      <c r="I320" s="71"/>
      <c r="J320" s="71" t="s">
        <v>159</v>
      </c>
      <c r="K320" s="70" t="s">
        <v>1721</v>
      </c>
      <c r="L320" s="74">
        <v>1</v>
      </c>
      <c r="M320" s="75">
        <v>865.9585571289062</v>
      </c>
      <c r="N320" s="75">
        <v>2529.03369140625</v>
      </c>
      <c r="O320" s="76"/>
      <c r="P320" s="77"/>
      <c r="Q320" s="77"/>
      <c r="R320" s="89"/>
      <c r="S320" s="49">
        <v>0</v>
      </c>
      <c r="T320" s="49">
        <v>1</v>
      </c>
      <c r="U320" s="50">
        <v>0</v>
      </c>
      <c r="V320" s="50">
        <v>0.478122</v>
      </c>
      <c r="W320" s="50">
        <v>0.03471</v>
      </c>
      <c r="X320" s="50">
        <v>0.001935</v>
      </c>
      <c r="Y320" s="50">
        <v>0</v>
      </c>
      <c r="Z320" s="50">
        <v>0</v>
      </c>
      <c r="AA320" s="72">
        <v>320</v>
      </c>
      <c r="AB320" s="72"/>
      <c r="AC320" s="73"/>
      <c r="AD320" s="80" t="s">
        <v>1721</v>
      </c>
      <c r="AE320" s="80"/>
      <c r="AF320" s="80"/>
      <c r="AG320" s="80"/>
      <c r="AH320" s="80"/>
      <c r="AI320" s="80"/>
      <c r="AJ320" s="87">
        <v>41744.82114583333</v>
      </c>
      <c r="AK320" s="85" t="str">
        <f>HYPERLINK("https://yt3.ggpht.com/ytc/AKedOLTqXGNkvCNBchtBYMKWq_L8m2pJlDl6H2tX3g=s88-c-k-c0x00ffffff-no-rj")</f>
        <v>https://yt3.ggpht.com/ytc/AKedOLTqXGNkvCNBchtBYMKWq_L8m2pJlDl6H2tX3g=s88-c-k-c0x00ffffff-no-rj</v>
      </c>
      <c r="AL320" s="80">
        <v>0</v>
      </c>
      <c r="AM320" s="80">
        <v>0</v>
      </c>
      <c r="AN320" s="80">
        <v>0</v>
      </c>
      <c r="AO320" s="80" t="b">
        <v>0</v>
      </c>
      <c r="AP320" s="80">
        <v>0</v>
      </c>
      <c r="AQ320" s="80"/>
      <c r="AR320" s="80"/>
      <c r="AS320" s="80" t="s">
        <v>2085</v>
      </c>
      <c r="AT320" s="85" t="str">
        <f>HYPERLINK("https://www.youtube.com/channel/UCWcBkjCrLsESy4SBkkXI8tQ")</f>
        <v>https://www.youtube.com/channel/UCWcBkjCrLsESy4SBkkXI8tQ</v>
      </c>
      <c r="AU320" s="80" t="str">
        <f>REPLACE(INDEX(GroupVertices[Group],MATCH(Vertices[[#This Row],[Vertex]],GroupVertices[Vertex],0)),1,1,"")</f>
        <v>1</v>
      </c>
      <c r="AV320" s="49">
        <v>1</v>
      </c>
      <c r="AW320" s="50">
        <v>33.333333333333336</v>
      </c>
      <c r="AX320" s="49">
        <v>0</v>
      </c>
      <c r="AY320" s="50">
        <v>0</v>
      </c>
      <c r="AZ320" s="49">
        <v>0</v>
      </c>
      <c r="BA320" s="50">
        <v>0</v>
      </c>
      <c r="BB320" s="49">
        <v>2</v>
      </c>
      <c r="BC320" s="50">
        <v>66.66666666666667</v>
      </c>
      <c r="BD320" s="49">
        <v>3</v>
      </c>
      <c r="BE320" s="49"/>
      <c r="BF320" s="49"/>
      <c r="BG320" s="49"/>
      <c r="BH320" s="49"/>
      <c r="BI320" s="49"/>
      <c r="BJ320" s="49"/>
      <c r="BK320" s="111" t="s">
        <v>3690</v>
      </c>
      <c r="BL320" s="111" t="s">
        <v>3690</v>
      </c>
      <c r="BM320" s="111" t="s">
        <v>4138</v>
      </c>
      <c r="BN320" s="111" t="s">
        <v>4138</v>
      </c>
      <c r="BO320" s="2"/>
      <c r="BP320" s="3"/>
      <c r="BQ320" s="3"/>
      <c r="BR320" s="3"/>
      <c r="BS320" s="3"/>
    </row>
    <row r="321" spans="1:71" ht="15">
      <c r="A321" s="65" t="s">
        <v>655</v>
      </c>
      <c r="B321" s="66"/>
      <c r="C321" s="66"/>
      <c r="D321" s="67">
        <v>150</v>
      </c>
      <c r="E321" s="69"/>
      <c r="F321" s="103" t="str">
        <f>HYPERLINK("https://yt3.ggpht.com/ytc/AKedOLT_wS4idLjAIZ04VInfQdwS68k6eDPZCvX6U5lDjg=s88-c-k-c0x00ffffff-no-rj")</f>
        <v>https://yt3.ggpht.com/ytc/AKedOLT_wS4idLjAIZ04VInfQdwS68k6eDPZCvX6U5lDjg=s88-c-k-c0x00ffffff-no-rj</v>
      </c>
      <c r="G321" s="66"/>
      <c r="H321" s="70" t="s">
        <v>1722</v>
      </c>
      <c r="I321" s="71"/>
      <c r="J321" s="71" t="s">
        <v>159</v>
      </c>
      <c r="K321" s="70" t="s">
        <v>1722</v>
      </c>
      <c r="L321" s="74">
        <v>1</v>
      </c>
      <c r="M321" s="75">
        <v>1428.46533203125</v>
      </c>
      <c r="N321" s="75">
        <v>3125.94482421875</v>
      </c>
      <c r="O321" s="76"/>
      <c r="P321" s="77"/>
      <c r="Q321" s="77"/>
      <c r="R321" s="89"/>
      <c r="S321" s="49">
        <v>0</v>
      </c>
      <c r="T321" s="49">
        <v>1</v>
      </c>
      <c r="U321" s="50">
        <v>0</v>
      </c>
      <c r="V321" s="50">
        <v>0.478122</v>
      </c>
      <c r="W321" s="50">
        <v>0.03471</v>
      </c>
      <c r="X321" s="50">
        <v>0.001935</v>
      </c>
      <c r="Y321" s="50">
        <v>0</v>
      </c>
      <c r="Z321" s="50">
        <v>0</v>
      </c>
      <c r="AA321" s="72">
        <v>321</v>
      </c>
      <c r="AB321" s="72"/>
      <c r="AC321" s="73"/>
      <c r="AD321" s="80" t="s">
        <v>1722</v>
      </c>
      <c r="AE321" s="80"/>
      <c r="AF321" s="80"/>
      <c r="AG321" s="80"/>
      <c r="AH321" s="80"/>
      <c r="AI321" s="80"/>
      <c r="AJ321" s="87">
        <v>42280.78902777778</v>
      </c>
      <c r="AK321" s="85" t="str">
        <f>HYPERLINK("https://yt3.ggpht.com/ytc/AKedOLT_wS4idLjAIZ04VInfQdwS68k6eDPZCvX6U5lDjg=s88-c-k-c0x00ffffff-no-rj")</f>
        <v>https://yt3.ggpht.com/ytc/AKedOLT_wS4idLjAIZ04VInfQdwS68k6eDPZCvX6U5lDjg=s88-c-k-c0x00ffffff-no-rj</v>
      </c>
      <c r="AL321" s="80">
        <v>0</v>
      </c>
      <c r="AM321" s="80">
        <v>0</v>
      </c>
      <c r="AN321" s="80">
        <v>15</v>
      </c>
      <c r="AO321" s="80" t="b">
        <v>0</v>
      </c>
      <c r="AP321" s="80">
        <v>0</v>
      </c>
      <c r="AQ321" s="80"/>
      <c r="AR321" s="80"/>
      <c r="AS321" s="80" t="s">
        <v>2085</v>
      </c>
      <c r="AT321" s="85" t="str">
        <f>HYPERLINK("https://www.youtube.com/channel/UCP68l-lXzYOXJS8cr5g5oMA")</f>
        <v>https://www.youtube.com/channel/UCP68l-lXzYOXJS8cr5g5oMA</v>
      </c>
      <c r="AU321" s="80" t="str">
        <f>REPLACE(INDEX(GroupVertices[Group],MATCH(Vertices[[#This Row],[Vertex]],GroupVertices[Vertex],0)),1,1,"")</f>
        <v>1</v>
      </c>
      <c r="AV321" s="49">
        <v>7</v>
      </c>
      <c r="AW321" s="50">
        <v>4.093567251461988</v>
      </c>
      <c r="AX321" s="49">
        <v>7</v>
      </c>
      <c r="AY321" s="50">
        <v>4.093567251461988</v>
      </c>
      <c r="AZ321" s="49">
        <v>0</v>
      </c>
      <c r="BA321" s="50">
        <v>0</v>
      </c>
      <c r="BB321" s="49">
        <v>157</v>
      </c>
      <c r="BC321" s="50">
        <v>91.81286549707602</v>
      </c>
      <c r="BD321" s="49">
        <v>171</v>
      </c>
      <c r="BE321" s="49"/>
      <c r="BF321" s="49"/>
      <c r="BG321" s="49"/>
      <c r="BH321" s="49"/>
      <c r="BI321" s="49"/>
      <c r="BJ321" s="49"/>
      <c r="BK321" s="111" t="s">
        <v>3691</v>
      </c>
      <c r="BL321" s="111" t="s">
        <v>3691</v>
      </c>
      <c r="BM321" s="111" t="s">
        <v>4139</v>
      </c>
      <c r="BN321" s="111" t="s">
        <v>4139</v>
      </c>
      <c r="BO321" s="2"/>
      <c r="BP321" s="3"/>
      <c r="BQ321" s="3"/>
      <c r="BR321" s="3"/>
      <c r="BS321" s="3"/>
    </row>
    <row r="322" spans="1:71" ht="15">
      <c r="A322" s="65" t="s">
        <v>656</v>
      </c>
      <c r="B322" s="66"/>
      <c r="C322" s="66"/>
      <c r="D322" s="67">
        <v>150</v>
      </c>
      <c r="E322" s="69"/>
      <c r="F322" s="103" t="str">
        <f>HYPERLINK("https://yt3.ggpht.com/ytc/AKedOLRyWfyM-YBw8rgI2j_Wn-2BDZsp2AnPxCTX1eje=s88-c-k-c0x00ffffff-no-rj")</f>
        <v>https://yt3.ggpht.com/ytc/AKedOLRyWfyM-YBw8rgI2j_Wn-2BDZsp2AnPxCTX1eje=s88-c-k-c0x00ffffff-no-rj</v>
      </c>
      <c r="G322" s="66"/>
      <c r="H322" s="70" t="s">
        <v>1723</v>
      </c>
      <c r="I322" s="71"/>
      <c r="J322" s="71" t="s">
        <v>159</v>
      </c>
      <c r="K322" s="70" t="s">
        <v>1723</v>
      </c>
      <c r="L322" s="74">
        <v>1</v>
      </c>
      <c r="M322" s="75">
        <v>4287.5537109375</v>
      </c>
      <c r="N322" s="75">
        <v>7939.71923828125</v>
      </c>
      <c r="O322" s="76"/>
      <c r="P322" s="77"/>
      <c r="Q322" s="77"/>
      <c r="R322" s="89"/>
      <c r="S322" s="49">
        <v>0</v>
      </c>
      <c r="T322" s="49">
        <v>1</v>
      </c>
      <c r="U322" s="50">
        <v>0</v>
      </c>
      <c r="V322" s="50">
        <v>0.478122</v>
      </c>
      <c r="W322" s="50">
        <v>0.03471</v>
      </c>
      <c r="X322" s="50">
        <v>0.001935</v>
      </c>
      <c r="Y322" s="50">
        <v>0</v>
      </c>
      <c r="Z322" s="50">
        <v>0</v>
      </c>
      <c r="AA322" s="72">
        <v>322</v>
      </c>
      <c r="AB322" s="72"/>
      <c r="AC322" s="73"/>
      <c r="AD322" s="80" t="s">
        <v>1723</v>
      </c>
      <c r="AE322" s="80" t="s">
        <v>2022</v>
      </c>
      <c r="AF322" s="80"/>
      <c r="AG322" s="80"/>
      <c r="AH322" s="80"/>
      <c r="AI322" s="80"/>
      <c r="AJ322" s="87">
        <v>41553.288449074076</v>
      </c>
      <c r="AK322" s="85" t="str">
        <f>HYPERLINK("https://yt3.ggpht.com/ytc/AKedOLRyWfyM-YBw8rgI2j_Wn-2BDZsp2AnPxCTX1eje=s88-c-k-c0x00ffffff-no-rj")</f>
        <v>https://yt3.ggpht.com/ytc/AKedOLRyWfyM-YBw8rgI2j_Wn-2BDZsp2AnPxCTX1eje=s88-c-k-c0x00ffffff-no-rj</v>
      </c>
      <c r="AL322" s="80">
        <v>19055</v>
      </c>
      <c r="AM322" s="80">
        <v>0</v>
      </c>
      <c r="AN322" s="80">
        <v>206</v>
      </c>
      <c r="AO322" s="80" t="b">
        <v>0</v>
      </c>
      <c r="AP322" s="80">
        <v>78</v>
      </c>
      <c r="AQ322" s="80"/>
      <c r="AR322" s="80"/>
      <c r="AS322" s="80" t="s">
        <v>2085</v>
      </c>
      <c r="AT322" s="85" t="str">
        <f>HYPERLINK("https://www.youtube.com/channel/UCdzoun2WHzibnHiDh304aNQ")</f>
        <v>https://www.youtube.com/channel/UCdzoun2WHzibnHiDh304aNQ</v>
      </c>
      <c r="AU322" s="80" t="str">
        <f>REPLACE(INDEX(GroupVertices[Group],MATCH(Vertices[[#This Row],[Vertex]],GroupVertices[Vertex],0)),1,1,"")</f>
        <v>1</v>
      </c>
      <c r="AV322" s="49">
        <v>0</v>
      </c>
      <c r="AW322" s="50">
        <v>0</v>
      </c>
      <c r="AX322" s="49">
        <v>0</v>
      </c>
      <c r="AY322" s="50">
        <v>0</v>
      </c>
      <c r="AZ322" s="49">
        <v>0</v>
      </c>
      <c r="BA322" s="50">
        <v>0</v>
      </c>
      <c r="BB322" s="49">
        <v>18</v>
      </c>
      <c r="BC322" s="50">
        <v>100</v>
      </c>
      <c r="BD322" s="49">
        <v>18</v>
      </c>
      <c r="BE322" s="49"/>
      <c r="BF322" s="49"/>
      <c r="BG322" s="49"/>
      <c r="BH322" s="49"/>
      <c r="BI322" s="49"/>
      <c r="BJ322" s="49"/>
      <c r="BK322" s="111" t="s">
        <v>3692</v>
      </c>
      <c r="BL322" s="111" t="s">
        <v>3692</v>
      </c>
      <c r="BM322" s="111" t="s">
        <v>4140</v>
      </c>
      <c r="BN322" s="111" t="s">
        <v>4140</v>
      </c>
      <c r="BO322" s="2"/>
      <c r="BP322" s="3"/>
      <c r="BQ322" s="3"/>
      <c r="BR322" s="3"/>
      <c r="BS322" s="3"/>
    </row>
    <row r="323" spans="1:71" ht="15">
      <c r="A323" s="65" t="s">
        <v>657</v>
      </c>
      <c r="B323" s="66"/>
      <c r="C323" s="66"/>
      <c r="D323" s="67">
        <v>150</v>
      </c>
      <c r="E323" s="69"/>
      <c r="F323" s="103" t="str">
        <f>HYPERLINK("https://yt3.ggpht.com/ytc/AKedOLTds2SdTsa-w8t1uK7g7SIBzkoVAVtE90cHh3zu=s88-c-k-c0x00ffffff-no-rj")</f>
        <v>https://yt3.ggpht.com/ytc/AKedOLTds2SdTsa-w8t1uK7g7SIBzkoVAVtE90cHh3zu=s88-c-k-c0x00ffffff-no-rj</v>
      </c>
      <c r="G323" s="66"/>
      <c r="H323" s="70" t="s">
        <v>1724</v>
      </c>
      <c r="I323" s="71"/>
      <c r="J323" s="71" t="s">
        <v>159</v>
      </c>
      <c r="K323" s="70" t="s">
        <v>1724</v>
      </c>
      <c r="L323" s="74">
        <v>1</v>
      </c>
      <c r="M323" s="75">
        <v>4484.4892578125</v>
      </c>
      <c r="N323" s="75">
        <v>1791.06982421875</v>
      </c>
      <c r="O323" s="76"/>
      <c r="P323" s="77"/>
      <c r="Q323" s="77"/>
      <c r="R323" s="89"/>
      <c r="S323" s="49">
        <v>0</v>
      </c>
      <c r="T323" s="49">
        <v>1</v>
      </c>
      <c r="U323" s="50">
        <v>0</v>
      </c>
      <c r="V323" s="50">
        <v>0.478122</v>
      </c>
      <c r="W323" s="50">
        <v>0.03471</v>
      </c>
      <c r="X323" s="50">
        <v>0.001935</v>
      </c>
      <c r="Y323" s="50">
        <v>0</v>
      </c>
      <c r="Z323" s="50">
        <v>0</v>
      </c>
      <c r="AA323" s="72">
        <v>323</v>
      </c>
      <c r="AB323" s="72"/>
      <c r="AC323" s="73"/>
      <c r="AD323" s="80" t="s">
        <v>1724</v>
      </c>
      <c r="AE323" s="80"/>
      <c r="AF323" s="80"/>
      <c r="AG323" s="80"/>
      <c r="AH323" s="80"/>
      <c r="AI323" s="80"/>
      <c r="AJ323" s="87">
        <v>39149.90798611111</v>
      </c>
      <c r="AK323" s="85" t="str">
        <f>HYPERLINK("https://yt3.ggpht.com/ytc/AKedOLTds2SdTsa-w8t1uK7g7SIBzkoVAVtE90cHh3zu=s88-c-k-c0x00ffffff-no-rj")</f>
        <v>https://yt3.ggpht.com/ytc/AKedOLTds2SdTsa-w8t1uK7g7SIBzkoVAVtE90cHh3zu=s88-c-k-c0x00ffffff-no-rj</v>
      </c>
      <c r="AL323" s="80">
        <v>0</v>
      </c>
      <c r="AM323" s="80">
        <v>0</v>
      </c>
      <c r="AN323" s="80">
        <v>41</v>
      </c>
      <c r="AO323" s="80" t="b">
        <v>0</v>
      </c>
      <c r="AP323" s="80">
        <v>0</v>
      </c>
      <c r="AQ323" s="80"/>
      <c r="AR323" s="80"/>
      <c r="AS323" s="80" t="s">
        <v>2085</v>
      </c>
      <c r="AT323" s="85" t="str">
        <f>HYPERLINK("https://www.youtube.com/channel/UCYgwAbzdUQ9-IIz2emMDWTw")</f>
        <v>https://www.youtube.com/channel/UCYgwAbzdUQ9-IIz2emMDWTw</v>
      </c>
      <c r="AU323" s="80" t="str">
        <f>REPLACE(INDEX(GroupVertices[Group],MATCH(Vertices[[#This Row],[Vertex]],GroupVertices[Vertex],0)),1,1,"")</f>
        <v>1</v>
      </c>
      <c r="AV323" s="49">
        <v>1</v>
      </c>
      <c r="AW323" s="50">
        <v>4.166666666666667</v>
      </c>
      <c r="AX323" s="49">
        <v>2</v>
      </c>
      <c r="AY323" s="50">
        <v>8.333333333333334</v>
      </c>
      <c r="AZ323" s="49">
        <v>0</v>
      </c>
      <c r="BA323" s="50">
        <v>0</v>
      </c>
      <c r="BB323" s="49">
        <v>21</v>
      </c>
      <c r="BC323" s="50">
        <v>87.5</v>
      </c>
      <c r="BD323" s="49">
        <v>24</v>
      </c>
      <c r="BE323" s="49"/>
      <c r="BF323" s="49"/>
      <c r="BG323" s="49"/>
      <c r="BH323" s="49"/>
      <c r="BI323" s="49"/>
      <c r="BJ323" s="49"/>
      <c r="BK323" s="111" t="s">
        <v>3693</v>
      </c>
      <c r="BL323" s="111" t="s">
        <v>3693</v>
      </c>
      <c r="BM323" s="111" t="s">
        <v>4141</v>
      </c>
      <c r="BN323" s="111" t="s">
        <v>4141</v>
      </c>
      <c r="BO323" s="2"/>
      <c r="BP323" s="3"/>
      <c r="BQ323" s="3"/>
      <c r="BR323" s="3"/>
      <c r="BS323" s="3"/>
    </row>
    <row r="324" spans="1:71" ht="15">
      <c r="A324" s="65" t="s">
        <v>658</v>
      </c>
      <c r="B324" s="66"/>
      <c r="C324" s="66"/>
      <c r="D324" s="67">
        <v>150</v>
      </c>
      <c r="E324" s="69"/>
      <c r="F324" s="103" t="str">
        <f>HYPERLINK("https://yt3.ggpht.com/ytc/AKedOLRnqtLhgBQdcbIlULiKPtqpOKc1G7XJUiin56JuDA=s88-c-k-c0x00ffffff-no-rj")</f>
        <v>https://yt3.ggpht.com/ytc/AKedOLRnqtLhgBQdcbIlULiKPtqpOKc1G7XJUiin56JuDA=s88-c-k-c0x00ffffff-no-rj</v>
      </c>
      <c r="G324" s="66"/>
      <c r="H324" s="70" t="s">
        <v>1725</v>
      </c>
      <c r="I324" s="71"/>
      <c r="J324" s="71" t="s">
        <v>159</v>
      </c>
      <c r="K324" s="70" t="s">
        <v>1725</v>
      </c>
      <c r="L324" s="74">
        <v>1</v>
      </c>
      <c r="M324" s="75">
        <v>6535.58203125</v>
      </c>
      <c r="N324" s="75">
        <v>5276.86279296875</v>
      </c>
      <c r="O324" s="76"/>
      <c r="P324" s="77"/>
      <c r="Q324" s="77"/>
      <c r="R324" s="89"/>
      <c r="S324" s="49">
        <v>0</v>
      </c>
      <c r="T324" s="49">
        <v>1</v>
      </c>
      <c r="U324" s="50">
        <v>0</v>
      </c>
      <c r="V324" s="50">
        <v>0.478122</v>
      </c>
      <c r="W324" s="50">
        <v>0.03471</v>
      </c>
      <c r="X324" s="50">
        <v>0.001935</v>
      </c>
      <c r="Y324" s="50">
        <v>0</v>
      </c>
      <c r="Z324" s="50">
        <v>0</v>
      </c>
      <c r="AA324" s="72">
        <v>324</v>
      </c>
      <c r="AB324" s="72"/>
      <c r="AC324" s="73"/>
      <c r="AD324" s="80" t="s">
        <v>1725</v>
      </c>
      <c r="AE324" s="80"/>
      <c r="AF324" s="80"/>
      <c r="AG324" s="80"/>
      <c r="AH324" s="80"/>
      <c r="AI324" s="80"/>
      <c r="AJ324" s="87">
        <v>41339.4372337963</v>
      </c>
      <c r="AK324" s="85" t="str">
        <f>HYPERLINK("https://yt3.ggpht.com/ytc/AKedOLRnqtLhgBQdcbIlULiKPtqpOKc1G7XJUiin56JuDA=s88-c-k-c0x00ffffff-no-rj")</f>
        <v>https://yt3.ggpht.com/ytc/AKedOLRnqtLhgBQdcbIlULiKPtqpOKc1G7XJUiin56JuDA=s88-c-k-c0x00ffffff-no-rj</v>
      </c>
      <c r="AL324" s="80">
        <v>375</v>
      </c>
      <c r="AM324" s="80">
        <v>0</v>
      </c>
      <c r="AN324" s="80">
        <v>1</v>
      </c>
      <c r="AO324" s="80" t="b">
        <v>0</v>
      </c>
      <c r="AP324" s="80">
        <v>1</v>
      </c>
      <c r="AQ324" s="80"/>
      <c r="AR324" s="80"/>
      <c r="AS324" s="80" t="s">
        <v>2085</v>
      </c>
      <c r="AT324" s="85" t="str">
        <f>HYPERLINK("https://www.youtube.com/channel/UCYosfwULRd5rJhnVNVvUU8g")</f>
        <v>https://www.youtube.com/channel/UCYosfwULRd5rJhnVNVvUU8g</v>
      </c>
      <c r="AU324" s="80" t="str">
        <f>REPLACE(INDEX(GroupVertices[Group],MATCH(Vertices[[#This Row],[Vertex]],GroupVertices[Vertex],0)),1,1,"")</f>
        <v>1</v>
      </c>
      <c r="AV324" s="49">
        <v>1</v>
      </c>
      <c r="AW324" s="50">
        <v>11.11111111111111</v>
      </c>
      <c r="AX324" s="49">
        <v>0</v>
      </c>
      <c r="AY324" s="50">
        <v>0</v>
      </c>
      <c r="AZ324" s="49">
        <v>0</v>
      </c>
      <c r="BA324" s="50">
        <v>0</v>
      </c>
      <c r="BB324" s="49">
        <v>8</v>
      </c>
      <c r="BC324" s="50">
        <v>88.88888888888889</v>
      </c>
      <c r="BD324" s="49">
        <v>9</v>
      </c>
      <c r="BE324" s="49"/>
      <c r="BF324" s="49"/>
      <c r="BG324" s="49"/>
      <c r="BH324" s="49"/>
      <c r="BI324" s="49"/>
      <c r="BJ324" s="49"/>
      <c r="BK324" s="111" t="s">
        <v>3694</v>
      </c>
      <c r="BL324" s="111" t="s">
        <v>3694</v>
      </c>
      <c r="BM324" s="111" t="s">
        <v>4142</v>
      </c>
      <c r="BN324" s="111" t="s">
        <v>4142</v>
      </c>
      <c r="BO324" s="2"/>
      <c r="BP324" s="3"/>
      <c r="BQ324" s="3"/>
      <c r="BR324" s="3"/>
      <c r="BS324" s="3"/>
    </row>
    <row r="325" spans="1:71" ht="15">
      <c r="A325" s="65" t="s">
        <v>659</v>
      </c>
      <c r="B325" s="66"/>
      <c r="C325" s="66"/>
      <c r="D325" s="67">
        <v>150</v>
      </c>
      <c r="E325" s="69"/>
      <c r="F325" s="103" t="str">
        <f>HYPERLINK("https://yt3.ggpht.com/ytc/AKedOLQtu6U1PTwm2Bl4-zhJj4xFo6yJzS8qGSlBevORTA=s88-c-k-c0x00ffffff-no-rj")</f>
        <v>https://yt3.ggpht.com/ytc/AKedOLQtu6U1PTwm2Bl4-zhJj4xFo6yJzS8qGSlBevORTA=s88-c-k-c0x00ffffff-no-rj</v>
      </c>
      <c r="G325" s="66"/>
      <c r="H325" s="70" t="s">
        <v>1726</v>
      </c>
      <c r="I325" s="71"/>
      <c r="J325" s="71" t="s">
        <v>159</v>
      </c>
      <c r="K325" s="70" t="s">
        <v>1726</v>
      </c>
      <c r="L325" s="74">
        <v>1</v>
      </c>
      <c r="M325" s="75">
        <v>2975.53369140625</v>
      </c>
      <c r="N325" s="75">
        <v>8749.6650390625</v>
      </c>
      <c r="O325" s="76"/>
      <c r="P325" s="77"/>
      <c r="Q325" s="77"/>
      <c r="R325" s="89"/>
      <c r="S325" s="49">
        <v>0</v>
      </c>
      <c r="T325" s="49">
        <v>1</v>
      </c>
      <c r="U325" s="50">
        <v>0</v>
      </c>
      <c r="V325" s="50">
        <v>0.478122</v>
      </c>
      <c r="W325" s="50">
        <v>0.03471</v>
      </c>
      <c r="X325" s="50">
        <v>0.001935</v>
      </c>
      <c r="Y325" s="50">
        <v>0</v>
      </c>
      <c r="Z325" s="50">
        <v>0</v>
      </c>
      <c r="AA325" s="72">
        <v>325</v>
      </c>
      <c r="AB325" s="72"/>
      <c r="AC325" s="73"/>
      <c r="AD325" s="80" t="s">
        <v>1726</v>
      </c>
      <c r="AE325" s="80"/>
      <c r="AF325" s="80"/>
      <c r="AG325" s="80"/>
      <c r="AH325" s="80"/>
      <c r="AI325" s="80"/>
      <c r="AJ325" s="87">
        <v>40576.59341435185</v>
      </c>
      <c r="AK325" s="85" t="str">
        <f>HYPERLINK("https://yt3.ggpht.com/ytc/AKedOLQtu6U1PTwm2Bl4-zhJj4xFo6yJzS8qGSlBevORTA=s88-c-k-c0x00ffffff-no-rj")</f>
        <v>https://yt3.ggpht.com/ytc/AKedOLQtu6U1PTwm2Bl4-zhJj4xFo6yJzS8qGSlBevORTA=s88-c-k-c0x00ffffff-no-rj</v>
      </c>
      <c r="AL325" s="80">
        <v>0</v>
      </c>
      <c r="AM325" s="80">
        <v>0</v>
      </c>
      <c r="AN325" s="80">
        <v>7</v>
      </c>
      <c r="AO325" s="80" t="b">
        <v>0</v>
      </c>
      <c r="AP325" s="80">
        <v>0</v>
      </c>
      <c r="AQ325" s="80"/>
      <c r="AR325" s="80"/>
      <c r="AS325" s="80" t="s">
        <v>2085</v>
      </c>
      <c r="AT325" s="85" t="str">
        <f>HYPERLINK("https://www.youtube.com/channel/UC1cpHtPcdvqbw4DjatDYNuQ")</f>
        <v>https://www.youtube.com/channel/UC1cpHtPcdvqbw4DjatDYNuQ</v>
      </c>
      <c r="AU325" s="80" t="str">
        <f>REPLACE(INDEX(GroupVertices[Group],MATCH(Vertices[[#This Row],[Vertex]],GroupVertices[Vertex],0)),1,1,"")</f>
        <v>1</v>
      </c>
      <c r="AV325" s="49">
        <v>0</v>
      </c>
      <c r="AW325" s="50">
        <v>0</v>
      </c>
      <c r="AX325" s="49">
        <v>0</v>
      </c>
      <c r="AY325" s="50">
        <v>0</v>
      </c>
      <c r="AZ325" s="49">
        <v>0</v>
      </c>
      <c r="BA325" s="50">
        <v>0</v>
      </c>
      <c r="BB325" s="49">
        <v>4</v>
      </c>
      <c r="BC325" s="50">
        <v>100</v>
      </c>
      <c r="BD325" s="49">
        <v>4</v>
      </c>
      <c r="BE325" s="49"/>
      <c r="BF325" s="49"/>
      <c r="BG325" s="49"/>
      <c r="BH325" s="49"/>
      <c r="BI325" s="49"/>
      <c r="BJ325" s="49"/>
      <c r="BK325" s="111" t="s">
        <v>2208</v>
      </c>
      <c r="BL325" s="111" t="s">
        <v>2208</v>
      </c>
      <c r="BM325" s="111" t="s">
        <v>1927</v>
      </c>
      <c r="BN325" s="111" t="s">
        <v>1927</v>
      </c>
      <c r="BO325" s="2"/>
      <c r="BP325" s="3"/>
      <c r="BQ325" s="3"/>
      <c r="BR325" s="3"/>
      <c r="BS325" s="3"/>
    </row>
    <row r="326" spans="1:71" ht="15">
      <c r="A326" s="65" t="s">
        <v>660</v>
      </c>
      <c r="B326" s="66"/>
      <c r="C326" s="66"/>
      <c r="D326" s="67">
        <v>150</v>
      </c>
      <c r="E326" s="69"/>
      <c r="F326" s="103" t="str">
        <f>HYPERLINK("https://yt3.ggpht.com/ytc/AKedOLSVyA2pmlQQlcNYpm3nTa3tyrn-5rjF_5T8N-XEUFw=s88-c-k-c0x00ffffff-no-rj")</f>
        <v>https://yt3.ggpht.com/ytc/AKedOLSVyA2pmlQQlcNYpm3nTa3tyrn-5rjF_5T8N-XEUFw=s88-c-k-c0x00ffffff-no-rj</v>
      </c>
      <c r="G326" s="66"/>
      <c r="H326" s="70" t="s">
        <v>1727</v>
      </c>
      <c r="I326" s="71"/>
      <c r="J326" s="71" t="s">
        <v>159</v>
      </c>
      <c r="K326" s="70" t="s">
        <v>1727</v>
      </c>
      <c r="L326" s="74">
        <v>1</v>
      </c>
      <c r="M326" s="75">
        <v>4797.67578125</v>
      </c>
      <c r="N326" s="75">
        <v>1412.357666015625</v>
      </c>
      <c r="O326" s="76"/>
      <c r="P326" s="77"/>
      <c r="Q326" s="77"/>
      <c r="R326" s="89"/>
      <c r="S326" s="49">
        <v>0</v>
      </c>
      <c r="T326" s="49">
        <v>1</v>
      </c>
      <c r="U326" s="50">
        <v>0</v>
      </c>
      <c r="V326" s="50">
        <v>0.478122</v>
      </c>
      <c r="W326" s="50">
        <v>0.03471</v>
      </c>
      <c r="X326" s="50">
        <v>0.001935</v>
      </c>
      <c r="Y326" s="50">
        <v>0</v>
      </c>
      <c r="Z326" s="50">
        <v>0</v>
      </c>
      <c r="AA326" s="72">
        <v>326</v>
      </c>
      <c r="AB326" s="72"/>
      <c r="AC326" s="73"/>
      <c r="AD326" s="80" t="s">
        <v>1727</v>
      </c>
      <c r="AE326" s="80" t="s">
        <v>2023</v>
      </c>
      <c r="AF326" s="80"/>
      <c r="AG326" s="80"/>
      <c r="AH326" s="80"/>
      <c r="AI326" s="80"/>
      <c r="AJ326" s="87">
        <v>38864.39524305556</v>
      </c>
      <c r="AK326" s="85" t="str">
        <f>HYPERLINK("https://yt3.ggpht.com/ytc/AKedOLSVyA2pmlQQlcNYpm3nTa3tyrn-5rjF_5T8N-XEUFw=s88-c-k-c0x00ffffff-no-rj")</f>
        <v>https://yt3.ggpht.com/ytc/AKedOLSVyA2pmlQQlcNYpm3nTa3tyrn-5rjF_5T8N-XEUFw=s88-c-k-c0x00ffffff-no-rj</v>
      </c>
      <c r="AL326" s="80">
        <v>291758</v>
      </c>
      <c r="AM326" s="80">
        <v>0</v>
      </c>
      <c r="AN326" s="80">
        <v>147</v>
      </c>
      <c r="AO326" s="80" t="b">
        <v>0</v>
      </c>
      <c r="AP326" s="80">
        <v>136</v>
      </c>
      <c r="AQ326" s="80"/>
      <c r="AR326" s="80"/>
      <c r="AS326" s="80" t="s">
        <v>2085</v>
      </c>
      <c r="AT326" s="85" t="str">
        <f>HYPERLINK("https://www.youtube.com/channel/UCEDx-O32BKm9e3gEKO0t03w")</f>
        <v>https://www.youtube.com/channel/UCEDx-O32BKm9e3gEKO0t03w</v>
      </c>
      <c r="AU326" s="80" t="str">
        <f>REPLACE(INDEX(GroupVertices[Group],MATCH(Vertices[[#This Row],[Vertex]],GroupVertices[Vertex],0)),1,1,"")</f>
        <v>1</v>
      </c>
      <c r="AV326" s="49">
        <v>0</v>
      </c>
      <c r="AW326" s="50">
        <v>0</v>
      </c>
      <c r="AX326" s="49">
        <v>0</v>
      </c>
      <c r="AY326" s="50">
        <v>0</v>
      </c>
      <c r="AZ326" s="49">
        <v>0</v>
      </c>
      <c r="BA326" s="50">
        <v>0</v>
      </c>
      <c r="BB326" s="49">
        <v>6</v>
      </c>
      <c r="BC326" s="50">
        <v>100</v>
      </c>
      <c r="BD326" s="49">
        <v>6</v>
      </c>
      <c r="BE326" s="49"/>
      <c r="BF326" s="49"/>
      <c r="BG326" s="49"/>
      <c r="BH326" s="49"/>
      <c r="BI326" s="49"/>
      <c r="BJ326" s="49"/>
      <c r="BK326" s="111" t="s">
        <v>3695</v>
      </c>
      <c r="BL326" s="111" t="s">
        <v>3695</v>
      </c>
      <c r="BM326" s="111" t="s">
        <v>4143</v>
      </c>
      <c r="BN326" s="111" t="s">
        <v>4143</v>
      </c>
      <c r="BO326" s="2"/>
      <c r="BP326" s="3"/>
      <c r="BQ326" s="3"/>
      <c r="BR326" s="3"/>
      <c r="BS326" s="3"/>
    </row>
    <row r="327" spans="1:71" ht="15">
      <c r="A327" s="65" t="s">
        <v>661</v>
      </c>
      <c r="B327" s="66"/>
      <c r="C327" s="66"/>
      <c r="D327" s="67">
        <v>150</v>
      </c>
      <c r="E327" s="69"/>
      <c r="F327" s="103" t="str">
        <f>HYPERLINK("https://yt3.ggpht.com/ytc/AKedOLSMYxwoxfHEHH2YjNizsaVI1PXld2Nlwt3rEQ=s88-c-k-c0x00ffffff-no-rj")</f>
        <v>https://yt3.ggpht.com/ytc/AKedOLSMYxwoxfHEHH2YjNizsaVI1PXld2Nlwt3rEQ=s88-c-k-c0x00ffffff-no-rj</v>
      </c>
      <c r="G327" s="66"/>
      <c r="H327" s="70" t="s">
        <v>1728</v>
      </c>
      <c r="I327" s="71"/>
      <c r="J327" s="71" t="s">
        <v>159</v>
      </c>
      <c r="K327" s="70" t="s">
        <v>1728</v>
      </c>
      <c r="L327" s="74">
        <v>1</v>
      </c>
      <c r="M327" s="75">
        <v>7619.8701171875</v>
      </c>
      <c r="N327" s="75">
        <v>7487.515625</v>
      </c>
      <c r="O327" s="76"/>
      <c r="P327" s="77"/>
      <c r="Q327" s="77"/>
      <c r="R327" s="89"/>
      <c r="S327" s="49">
        <v>0</v>
      </c>
      <c r="T327" s="49">
        <v>1</v>
      </c>
      <c r="U327" s="50">
        <v>0</v>
      </c>
      <c r="V327" s="50">
        <v>0.478122</v>
      </c>
      <c r="W327" s="50">
        <v>0.03471</v>
      </c>
      <c r="X327" s="50">
        <v>0.001935</v>
      </c>
      <c r="Y327" s="50">
        <v>0</v>
      </c>
      <c r="Z327" s="50">
        <v>0</v>
      </c>
      <c r="AA327" s="72">
        <v>327</v>
      </c>
      <c r="AB327" s="72"/>
      <c r="AC327" s="73"/>
      <c r="AD327" s="80" t="s">
        <v>1728</v>
      </c>
      <c r="AE327" s="80"/>
      <c r="AF327" s="80"/>
      <c r="AG327" s="80"/>
      <c r="AH327" s="80"/>
      <c r="AI327" s="80"/>
      <c r="AJ327" s="87">
        <v>41366.77391203704</v>
      </c>
      <c r="AK327" s="85" t="str">
        <f>HYPERLINK("https://yt3.ggpht.com/ytc/AKedOLSMYxwoxfHEHH2YjNizsaVI1PXld2Nlwt3rEQ=s88-c-k-c0x00ffffff-no-rj")</f>
        <v>https://yt3.ggpht.com/ytc/AKedOLSMYxwoxfHEHH2YjNizsaVI1PXld2Nlwt3rEQ=s88-c-k-c0x00ffffff-no-rj</v>
      </c>
      <c r="AL327" s="80">
        <v>0</v>
      </c>
      <c r="AM327" s="80">
        <v>0</v>
      </c>
      <c r="AN327" s="80">
        <v>4</v>
      </c>
      <c r="AO327" s="80" t="b">
        <v>0</v>
      </c>
      <c r="AP327" s="80">
        <v>0</v>
      </c>
      <c r="AQ327" s="80"/>
      <c r="AR327" s="80"/>
      <c r="AS327" s="80" t="s">
        <v>2085</v>
      </c>
      <c r="AT327" s="85" t="str">
        <f>HYPERLINK("https://www.youtube.com/channel/UCG8E5cWZEf-qkjlpZd9lfSQ")</f>
        <v>https://www.youtube.com/channel/UCG8E5cWZEf-qkjlpZd9lfSQ</v>
      </c>
      <c r="AU327" s="80" t="str">
        <f>REPLACE(INDEX(GroupVertices[Group],MATCH(Vertices[[#This Row],[Vertex]],GroupVertices[Vertex],0)),1,1,"")</f>
        <v>1</v>
      </c>
      <c r="AV327" s="49">
        <v>1</v>
      </c>
      <c r="AW327" s="50">
        <v>6.666666666666667</v>
      </c>
      <c r="AX327" s="49">
        <v>0</v>
      </c>
      <c r="AY327" s="50">
        <v>0</v>
      </c>
      <c r="AZ327" s="49">
        <v>0</v>
      </c>
      <c r="BA327" s="50">
        <v>0</v>
      </c>
      <c r="BB327" s="49">
        <v>14</v>
      </c>
      <c r="BC327" s="50">
        <v>93.33333333333333</v>
      </c>
      <c r="BD327" s="49">
        <v>15</v>
      </c>
      <c r="BE327" s="49" t="s">
        <v>3232</v>
      </c>
      <c r="BF327" s="49" t="s">
        <v>3232</v>
      </c>
      <c r="BG327" s="49" t="s">
        <v>3267</v>
      </c>
      <c r="BH327" s="49" t="s">
        <v>3267</v>
      </c>
      <c r="BI327" s="49"/>
      <c r="BJ327" s="49"/>
      <c r="BK327" s="111" t="s">
        <v>3696</v>
      </c>
      <c r="BL327" s="111" t="s">
        <v>3696</v>
      </c>
      <c r="BM327" s="111" t="s">
        <v>4144</v>
      </c>
      <c r="BN327" s="111" t="s">
        <v>4144</v>
      </c>
      <c r="BO327" s="2"/>
      <c r="BP327" s="3"/>
      <c r="BQ327" s="3"/>
      <c r="BR327" s="3"/>
      <c r="BS327" s="3"/>
    </row>
    <row r="328" spans="1:71" ht="15">
      <c r="A328" s="65" t="s">
        <v>662</v>
      </c>
      <c r="B328" s="66"/>
      <c r="C328" s="66"/>
      <c r="D328" s="67">
        <v>150</v>
      </c>
      <c r="E328" s="69"/>
      <c r="F328" s="103" t="str">
        <f>HYPERLINK("https://yt3.ggpht.com/ytc/AKedOLSF9IotIAU4VM_crN6F74S2rCoSIlQLvJfv0_R9SA=s88-c-k-c0x00ffffff-no-rj")</f>
        <v>https://yt3.ggpht.com/ytc/AKedOLSF9IotIAU4VM_crN6F74S2rCoSIlQLvJfv0_R9SA=s88-c-k-c0x00ffffff-no-rj</v>
      </c>
      <c r="G328" s="66"/>
      <c r="H328" s="70" t="s">
        <v>1729</v>
      </c>
      <c r="I328" s="71"/>
      <c r="J328" s="71" t="s">
        <v>159</v>
      </c>
      <c r="K328" s="70" t="s">
        <v>1729</v>
      </c>
      <c r="L328" s="74">
        <v>1</v>
      </c>
      <c r="M328" s="75">
        <v>1605.1629638671875</v>
      </c>
      <c r="N328" s="75">
        <v>6988.6337890625</v>
      </c>
      <c r="O328" s="76"/>
      <c r="P328" s="77"/>
      <c r="Q328" s="77"/>
      <c r="R328" s="89"/>
      <c r="S328" s="49">
        <v>0</v>
      </c>
      <c r="T328" s="49">
        <v>1</v>
      </c>
      <c r="U328" s="50">
        <v>0</v>
      </c>
      <c r="V328" s="50">
        <v>0.478122</v>
      </c>
      <c r="W328" s="50">
        <v>0.03471</v>
      </c>
      <c r="X328" s="50">
        <v>0.001935</v>
      </c>
      <c r="Y328" s="50">
        <v>0</v>
      </c>
      <c r="Z328" s="50">
        <v>0</v>
      </c>
      <c r="AA328" s="72">
        <v>328</v>
      </c>
      <c r="AB328" s="72"/>
      <c r="AC328" s="73"/>
      <c r="AD328" s="80" t="s">
        <v>1729</v>
      </c>
      <c r="AE328" s="80"/>
      <c r="AF328" s="80"/>
      <c r="AG328" s="80"/>
      <c r="AH328" s="80"/>
      <c r="AI328" s="80"/>
      <c r="AJ328" s="87">
        <v>41568.98403935185</v>
      </c>
      <c r="AK328" s="85" t="str">
        <f>HYPERLINK("https://yt3.ggpht.com/ytc/AKedOLSF9IotIAU4VM_crN6F74S2rCoSIlQLvJfv0_R9SA=s88-c-k-c0x00ffffff-no-rj")</f>
        <v>https://yt3.ggpht.com/ytc/AKedOLSF9IotIAU4VM_crN6F74S2rCoSIlQLvJfv0_R9SA=s88-c-k-c0x00ffffff-no-rj</v>
      </c>
      <c r="AL328" s="80">
        <v>0</v>
      </c>
      <c r="AM328" s="80">
        <v>0</v>
      </c>
      <c r="AN328" s="80">
        <v>2</v>
      </c>
      <c r="AO328" s="80" t="b">
        <v>0</v>
      </c>
      <c r="AP328" s="80">
        <v>0</v>
      </c>
      <c r="AQ328" s="80"/>
      <c r="AR328" s="80"/>
      <c r="AS328" s="80" t="s">
        <v>2085</v>
      </c>
      <c r="AT328" s="85" t="str">
        <f>HYPERLINK("https://www.youtube.com/channel/UCtdquYxMrJ-jWXFxLSDQOwQ")</f>
        <v>https://www.youtube.com/channel/UCtdquYxMrJ-jWXFxLSDQOwQ</v>
      </c>
      <c r="AU328" s="80" t="str">
        <f>REPLACE(INDEX(GroupVertices[Group],MATCH(Vertices[[#This Row],[Vertex]],GroupVertices[Vertex],0)),1,1,"")</f>
        <v>1</v>
      </c>
      <c r="AV328" s="49">
        <v>0</v>
      </c>
      <c r="AW328" s="50">
        <v>0</v>
      </c>
      <c r="AX328" s="49">
        <v>2</v>
      </c>
      <c r="AY328" s="50">
        <v>7.142857142857143</v>
      </c>
      <c r="AZ328" s="49">
        <v>0</v>
      </c>
      <c r="BA328" s="50">
        <v>0</v>
      </c>
      <c r="BB328" s="49">
        <v>26</v>
      </c>
      <c r="BC328" s="50">
        <v>92.85714285714286</v>
      </c>
      <c r="BD328" s="49">
        <v>28</v>
      </c>
      <c r="BE328" s="49" t="s">
        <v>3386</v>
      </c>
      <c r="BF328" s="49" t="s">
        <v>3386</v>
      </c>
      <c r="BG328" s="49" t="s">
        <v>1922</v>
      </c>
      <c r="BH328" s="49" t="s">
        <v>1922</v>
      </c>
      <c r="BI328" s="49"/>
      <c r="BJ328" s="49"/>
      <c r="BK328" s="111" t="s">
        <v>3697</v>
      </c>
      <c r="BL328" s="111" t="s">
        <v>3697</v>
      </c>
      <c r="BM328" s="111" t="s">
        <v>4145</v>
      </c>
      <c r="BN328" s="111" t="s">
        <v>4145</v>
      </c>
      <c r="BO328" s="2"/>
      <c r="BP328" s="3"/>
      <c r="BQ328" s="3"/>
      <c r="BR328" s="3"/>
      <c r="BS328" s="3"/>
    </row>
    <row r="329" spans="1:71" ht="15">
      <c r="A329" s="65" t="s">
        <v>663</v>
      </c>
      <c r="B329" s="66"/>
      <c r="C329" s="66"/>
      <c r="D329" s="67">
        <v>150</v>
      </c>
      <c r="E329" s="69"/>
      <c r="F329" s="103" t="str">
        <f>HYPERLINK("https://yt3.ggpht.com/ytc/AKedOLQUwaYfDyubJA_mzA_WSU5vRsGAl7iTx2ntn2wJ=s88-c-k-c0x00ffffff-no-rj")</f>
        <v>https://yt3.ggpht.com/ytc/AKedOLQUwaYfDyubJA_mzA_WSU5vRsGAl7iTx2ntn2wJ=s88-c-k-c0x00ffffff-no-rj</v>
      </c>
      <c r="G329" s="66"/>
      <c r="H329" s="70" t="s">
        <v>1730</v>
      </c>
      <c r="I329" s="71"/>
      <c r="J329" s="71" t="s">
        <v>159</v>
      </c>
      <c r="K329" s="70" t="s">
        <v>1730</v>
      </c>
      <c r="L329" s="74">
        <v>1</v>
      </c>
      <c r="M329" s="75">
        <v>5503.9189453125</v>
      </c>
      <c r="N329" s="75">
        <v>7285.345703125</v>
      </c>
      <c r="O329" s="76"/>
      <c r="P329" s="77"/>
      <c r="Q329" s="77"/>
      <c r="R329" s="89"/>
      <c r="S329" s="49">
        <v>0</v>
      </c>
      <c r="T329" s="49">
        <v>1</v>
      </c>
      <c r="U329" s="50">
        <v>0</v>
      </c>
      <c r="V329" s="50">
        <v>0.478122</v>
      </c>
      <c r="W329" s="50">
        <v>0.03471</v>
      </c>
      <c r="X329" s="50">
        <v>0.001935</v>
      </c>
      <c r="Y329" s="50">
        <v>0</v>
      </c>
      <c r="Z329" s="50">
        <v>0</v>
      </c>
      <c r="AA329" s="72">
        <v>329</v>
      </c>
      <c r="AB329" s="72"/>
      <c r="AC329" s="73"/>
      <c r="AD329" s="80" t="s">
        <v>1730</v>
      </c>
      <c r="AE329" s="80"/>
      <c r="AF329" s="80"/>
      <c r="AG329" s="80"/>
      <c r="AH329" s="80"/>
      <c r="AI329" s="80"/>
      <c r="AJ329" s="87">
        <v>40154.92585648148</v>
      </c>
      <c r="AK329" s="85" t="str">
        <f>HYPERLINK("https://yt3.ggpht.com/ytc/AKedOLQUwaYfDyubJA_mzA_WSU5vRsGAl7iTx2ntn2wJ=s88-c-k-c0x00ffffff-no-rj")</f>
        <v>https://yt3.ggpht.com/ytc/AKedOLQUwaYfDyubJA_mzA_WSU5vRsGAl7iTx2ntn2wJ=s88-c-k-c0x00ffffff-no-rj</v>
      </c>
      <c r="AL329" s="80">
        <v>0</v>
      </c>
      <c r="AM329" s="80">
        <v>0</v>
      </c>
      <c r="AN329" s="80">
        <v>21</v>
      </c>
      <c r="AO329" s="80" t="b">
        <v>0</v>
      </c>
      <c r="AP329" s="80">
        <v>0</v>
      </c>
      <c r="AQ329" s="80"/>
      <c r="AR329" s="80"/>
      <c r="AS329" s="80" t="s">
        <v>2085</v>
      </c>
      <c r="AT329" s="85" t="str">
        <f>HYPERLINK("https://www.youtube.com/channel/UCdgnAdBCJ1ZR4qv4wg0_seQ")</f>
        <v>https://www.youtube.com/channel/UCdgnAdBCJ1ZR4qv4wg0_seQ</v>
      </c>
      <c r="AU329" s="80" t="str">
        <f>REPLACE(INDEX(GroupVertices[Group],MATCH(Vertices[[#This Row],[Vertex]],GroupVertices[Vertex],0)),1,1,"")</f>
        <v>1</v>
      </c>
      <c r="AV329" s="49">
        <v>0</v>
      </c>
      <c r="AW329" s="50">
        <v>0</v>
      </c>
      <c r="AX329" s="49">
        <v>0</v>
      </c>
      <c r="AY329" s="50">
        <v>0</v>
      </c>
      <c r="AZ329" s="49">
        <v>0</v>
      </c>
      <c r="BA329" s="50">
        <v>0</v>
      </c>
      <c r="BB329" s="49">
        <v>180</v>
      </c>
      <c r="BC329" s="50">
        <v>100</v>
      </c>
      <c r="BD329" s="49">
        <v>180</v>
      </c>
      <c r="BE329" s="49" t="s">
        <v>3387</v>
      </c>
      <c r="BF329" s="49" t="s">
        <v>3387</v>
      </c>
      <c r="BG329" s="49" t="s">
        <v>1922</v>
      </c>
      <c r="BH329" s="49" t="s">
        <v>1922</v>
      </c>
      <c r="BI329" s="49"/>
      <c r="BJ329" s="49"/>
      <c r="BK329" s="111" t="s">
        <v>3698</v>
      </c>
      <c r="BL329" s="111" t="s">
        <v>3844</v>
      </c>
      <c r="BM329" s="111" t="s">
        <v>4146</v>
      </c>
      <c r="BN329" s="111" t="s">
        <v>4146</v>
      </c>
      <c r="BO329" s="2"/>
      <c r="BP329" s="3"/>
      <c r="BQ329" s="3"/>
      <c r="BR329" s="3"/>
      <c r="BS329" s="3"/>
    </row>
    <row r="330" spans="1:71" ht="15">
      <c r="A330" s="65" t="s">
        <v>664</v>
      </c>
      <c r="B330" s="66"/>
      <c r="C330" s="66"/>
      <c r="D330" s="67">
        <v>150</v>
      </c>
      <c r="E330" s="69"/>
      <c r="F330" s="103" t="str">
        <f>HYPERLINK("https://yt3.ggpht.com/ytc/AKedOLSBuxPH1Mv4pa45kJTAXGPXAjhwSqGH8hLrjHH4NA=s88-c-k-c0x00ffffff-no-rj")</f>
        <v>https://yt3.ggpht.com/ytc/AKedOLSBuxPH1Mv4pa45kJTAXGPXAjhwSqGH8hLrjHH4NA=s88-c-k-c0x00ffffff-no-rj</v>
      </c>
      <c r="G330" s="66"/>
      <c r="H330" s="70" t="s">
        <v>1731</v>
      </c>
      <c r="I330" s="71"/>
      <c r="J330" s="71" t="s">
        <v>159</v>
      </c>
      <c r="K330" s="70" t="s">
        <v>1731</v>
      </c>
      <c r="L330" s="74">
        <v>1</v>
      </c>
      <c r="M330" s="75">
        <v>7027.96240234375</v>
      </c>
      <c r="N330" s="75">
        <v>1867.610107421875</v>
      </c>
      <c r="O330" s="76"/>
      <c r="P330" s="77"/>
      <c r="Q330" s="77"/>
      <c r="R330" s="89"/>
      <c r="S330" s="49">
        <v>0</v>
      </c>
      <c r="T330" s="49">
        <v>1</v>
      </c>
      <c r="U330" s="50">
        <v>0</v>
      </c>
      <c r="V330" s="50">
        <v>0.478122</v>
      </c>
      <c r="W330" s="50">
        <v>0.03471</v>
      </c>
      <c r="X330" s="50">
        <v>0.001935</v>
      </c>
      <c r="Y330" s="50">
        <v>0</v>
      </c>
      <c r="Z330" s="50">
        <v>0</v>
      </c>
      <c r="AA330" s="72">
        <v>330</v>
      </c>
      <c r="AB330" s="72"/>
      <c r="AC330" s="73"/>
      <c r="AD330" s="80" t="s">
        <v>1731</v>
      </c>
      <c r="AE330" s="80"/>
      <c r="AF330" s="80"/>
      <c r="AG330" s="80"/>
      <c r="AH330" s="80"/>
      <c r="AI330" s="80"/>
      <c r="AJ330" s="87">
        <v>40578.81335648148</v>
      </c>
      <c r="AK330" s="85" t="str">
        <f>HYPERLINK("https://yt3.ggpht.com/ytc/AKedOLSBuxPH1Mv4pa45kJTAXGPXAjhwSqGH8hLrjHH4NA=s88-c-k-c0x00ffffff-no-rj")</f>
        <v>https://yt3.ggpht.com/ytc/AKedOLSBuxPH1Mv4pa45kJTAXGPXAjhwSqGH8hLrjHH4NA=s88-c-k-c0x00ffffff-no-rj</v>
      </c>
      <c r="AL330" s="80">
        <v>414</v>
      </c>
      <c r="AM330" s="80">
        <v>0</v>
      </c>
      <c r="AN330" s="80">
        <v>2</v>
      </c>
      <c r="AO330" s="80" t="b">
        <v>0</v>
      </c>
      <c r="AP330" s="80">
        <v>8</v>
      </c>
      <c r="AQ330" s="80"/>
      <c r="AR330" s="80"/>
      <c r="AS330" s="80" t="s">
        <v>2085</v>
      </c>
      <c r="AT330" s="85" t="str">
        <f>HYPERLINK("https://www.youtube.com/channel/UCAav2uWG5aOa1jvallyXLqw")</f>
        <v>https://www.youtube.com/channel/UCAav2uWG5aOa1jvallyXLqw</v>
      </c>
      <c r="AU330" s="80" t="str">
        <f>REPLACE(INDEX(GroupVertices[Group],MATCH(Vertices[[#This Row],[Vertex]],GroupVertices[Vertex],0)),1,1,"")</f>
        <v>1</v>
      </c>
      <c r="AV330" s="49">
        <v>3</v>
      </c>
      <c r="AW330" s="50">
        <v>5.660377358490566</v>
      </c>
      <c r="AX330" s="49">
        <v>2</v>
      </c>
      <c r="AY330" s="50">
        <v>3.7735849056603774</v>
      </c>
      <c r="AZ330" s="49">
        <v>0</v>
      </c>
      <c r="BA330" s="50">
        <v>0</v>
      </c>
      <c r="BB330" s="49">
        <v>48</v>
      </c>
      <c r="BC330" s="50">
        <v>90.56603773584905</v>
      </c>
      <c r="BD330" s="49">
        <v>53</v>
      </c>
      <c r="BE330" s="49"/>
      <c r="BF330" s="49"/>
      <c r="BG330" s="49"/>
      <c r="BH330" s="49"/>
      <c r="BI330" s="49"/>
      <c r="BJ330" s="49"/>
      <c r="BK330" s="111" t="s">
        <v>3699</v>
      </c>
      <c r="BL330" s="111" t="s">
        <v>3699</v>
      </c>
      <c r="BM330" s="111" t="s">
        <v>4147</v>
      </c>
      <c r="BN330" s="111" t="s">
        <v>4147</v>
      </c>
      <c r="BO330" s="2"/>
      <c r="BP330" s="3"/>
      <c r="BQ330" s="3"/>
      <c r="BR330" s="3"/>
      <c r="BS330" s="3"/>
    </row>
    <row r="331" spans="1:71" ht="15">
      <c r="A331" s="65" t="s">
        <v>665</v>
      </c>
      <c r="B331" s="66"/>
      <c r="C331" s="66"/>
      <c r="D331" s="67">
        <v>150</v>
      </c>
      <c r="E331" s="69"/>
      <c r="F331" s="103" t="str">
        <f>HYPERLINK("https://yt3.ggpht.com/ytc/AKedOLQdEIkoukdbAgrPK9dDAJQYxFm3FOietPHcDw=s88-c-k-c0x00ffffff-no-rj")</f>
        <v>https://yt3.ggpht.com/ytc/AKedOLQdEIkoukdbAgrPK9dDAJQYxFm3FOietPHcDw=s88-c-k-c0x00ffffff-no-rj</v>
      </c>
      <c r="G331" s="66"/>
      <c r="H331" s="70" t="s">
        <v>1732</v>
      </c>
      <c r="I331" s="71"/>
      <c r="J331" s="71" t="s">
        <v>159</v>
      </c>
      <c r="K331" s="70" t="s">
        <v>1732</v>
      </c>
      <c r="L331" s="74">
        <v>1</v>
      </c>
      <c r="M331" s="75">
        <v>649.5388793945312</v>
      </c>
      <c r="N331" s="75">
        <v>2576.2158203125</v>
      </c>
      <c r="O331" s="76"/>
      <c r="P331" s="77"/>
      <c r="Q331" s="77"/>
      <c r="R331" s="89"/>
      <c r="S331" s="49">
        <v>0</v>
      </c>
      <c r="T331" s="49">
        <v>1</v>
      </c>
      <c r="U331" s="50">
        <v>0</v>
      </c>
      <c r="V331" s="50">
        <v>0.478122</v>
      </c>
      <c r="W331" s="50">
        <v>0.03471</v>
      </c>
      <c r="X331" s="50">
        <v>0.001935</v>
      </c>
      <c r="Y331" s="50">
        <v>0</v>
      </c>
      <c r="Z331" s="50">
        <v>0</v>
      </c>
      <c r="AA331" s="72">
        <v>331</v>
      </c>
      <c r="AB331" s="72"/>
      <c r="AC331" s="73"/>
      <c r="AD331" s="80" t="s">
        <v>1732</v>
      </c>
      <c r="AE331" s="80"/>
      <c r="AF331" s="80"/>
      <c r="AG331" s="80"/>
      <c r="AH331" s="80"/>
      <c r="AI331" s="80"/>
      <c r="AJ331" s="87">
        <v>40784.22851851852</v>
      </c>
      <c r="AK331" s="85" t="str">
        <f>HYPERLINK("https://yt3.ggpht.com/ytc/AKedOLQdEIkoukdbAgrPK9dDAJQYxFm3FOietPHcDw=s88-c-k-c0x00ffffff-no-rj")</f>
        <v>https://yt3.ggpht.com/ytc/AKedOLQdEIkoukdbAgrPK9dDAJQYxFm3FOietPHcDw=s88-c-k-c0x00ffffff-no-rj</v>
      </c>
      <c r="AL331" s="80">
        <v>0</v>
      </c>
      <c r="AM331" s="80">
        <v>0</v>
      </c>
      <c r="AN331" s="80">
        <v>1</v>
      </c>
      <c r="AO331" s="80" t="b">
        <v>0</v>
      </c>
      <c r="AP331" s="80">
        <v>0</v>
      </c>
      <c r="AQ331" s="80"/>
      <c r="AR331" s="80"/>
      <c r="AS331" s="80" t="s">
        <v>2085</v>
      </c>
      <c r="AT331" s="85" t="str">
        <f>HYPERLINK("https://www.youtube.com/channel/UCgxaYSe6khXCJDxA7ggbZtQ")</f>
        <v>https://www.youtube.com/channel/UCgxaYSe6khXCJDxA7ggbZtQ</v>
      </c>
      <c r="AU331" s="80" t="str">
        <f>REPLACE(INDEX(GroupVertices[Group],MATCH(Vertices[[#This Row],[Vertex]],GroupVertices[Vertex],0)),1,1,"")</f>
        <v>1</v>
      </c>
      <c r="AV331" s="49">
        <v>1</v>
      </c>
      <c r="AW331" s="50">
        <v>5.555555555555555</v>
      </c>
      <c r="AX331" s="49">
        <v>0</v>
      </c>
      <c r="AY331" s="50">
        <v>0</v>
      </c>
      <c r="AZ331" s="49">
        <v>0</v>
      </c>
      <c r="BA331" s="50">
        <v>0</v>
      </c>
      <c r="BB331" s="49">
        <v>17</v>
      </c>
      <c r="BC331" s="50">
        <v>94.44444444444444</v>
      </c>
      <c r="BD331" s="49">
        <v>18</v>
      </c>
      <c r="BE331" s="49"/>
      <c r="BF331" s="49"/>
      <c r="BG331" s="49"/>
      <c r="BH331" s="49"/>
      <c r="BI331" s="49"/>
      <c r="BJ331" s="49"/>
      <c r="BK331" s="111" t="s">
        <v>3700</v>
      </c>
      <c r="BL331" s="111" t="s">
        <v>3700</v>
      </c>
      <c r="BM331" s="111" t="s">
        <v>4148</v>
      </c>
      <c r="BN331" s="111" t="s">
        <v>4148</v>
      </c>
      <c r="BO331" s="2"/>
      <c r="BP331" s="3"/>
      <c r="BQ331" s="3"/>
      <c r="BR331" s="3"/>
      <c r="BS331" s="3"/>
    </row>
    <row r="332" spans="1:71" ht="15">
      <c r="A332" s="65" t="s">
        <v>666</v>
      </c>
      <c r="B332" s="66"/>
      <c r="C332" s="66"/>
      <c r="D332" s="67">
        <v>150</v>
      </c>
      <c r="E332" s="69"/>
      <c r="F332" s="103" t="str">
        <f>HYPERLINK("https://yt3.ggpht.com/ytc/AKedOLTYwTGKvtv_jh5uu-I4vG2nmw5JBfEsWnc39ku6ig=s88-c-k-c0x00ffffff-no-rj")</f>
        <v>https://yt3.ggpht.com/ytc/AKedOLTYwTGKvtv_jh5uu-I4vG2nmw5JBfEsWnc39ku6ig=s88-c-k-c0x00ffffff-no-rj</v>
      </c>
      <c r="G332" s="66"/>
      <c r="H332" s="70" t="s">
        <v>1733</v>
      </c>
      <c r="I332" s="71"/>
      <c r="J332" s="71" t="s">
        <v>159</v>
      </c>
      <c r="K332" s="70" t="s">
        <v>1733</v>
      </c>
      <c r="L332" s="74">
        <v>1</v>
      </c>
      <c r="M332" s="75">
        <v>5901.09130859375</v>
      </c>
      <c r="N332" s="75">
        <v>6096.3623046875</v>
      </c>
      <c r="O332" s="76"/>
      <c r="P332" s="77"/>
      <c r="Q332" s="77"/>
      <c r="R332" s="89"/>
      <c r="S332" s="49">
        <v>0</v>
      </c>
      <c r="T332" s="49">
        <v>1</v>
      </c>
      <c r="U332" s="50">
        <v>0</v>
      </c>
      <c r="V332" s="50">
        <v>0.478122</v>
      </c>
      <c r="W332" s="50">
        <v>0.03471</v>
      </c>
      <c r="X332" s="50">
        <v>0.001935</v>
      </c>
      <c r="Y332" s="50">
        <v>0</v>
      </c>
      <c r="Z332" s="50">
        <v>0</v>
      </c>
      <c r="AA332" s="72">
        <v>332</v>
      </c>
      <c r="AB332" s="72"/>
      <c r="AC332" s="73"/>
      <c r="AD332" s="80" t="s">
        <v>1733</v>
      </c>
      <c r="AE332" s="80" t="s">
        <v>2024</v>
      </c>
      <c r="AF332" s="80"/>
      <c r="AG332" s="80"/>
      <c r="AH332" s="80"/>
      <c r="AI332" s="80"/>
      <c r="AJ332" s="87">
        <v>42775.783125</v>
      </c>
      <c r="AK332" s="85" t="str">
        <f>HYPERLINK("https://yt3.ggpht.com/ytc/AKedOLTYwTGKvtv_jh5uu-I4vG2nmw5JBfEsWnc39ku6ig=s88-c-k-c0x00ffffff-no-rj")</f>
        <v>https://yt3.ggpht.com/ytc/AKedOLTYwTGKvtv_jh5uu-I4vG2nmw5JBfEsWnc39ku6ig=s88-c-k-c0x00ffffff-no-rj</v>
      </c>
      <c r="AL332" s="80">
        <v>301</v>
      </c>
      <c r="AM332" s="80">
        <v>0</v>
      </c>
      <c r="AN332" s="80">
        <v>5</v>
      </c>
      <c r="AO332" s="80" t="b">
        <v>0</v>
      </c>
      <c r="AP332" s="80">
        <v>38</v>
      </c>
      <c r="AQ332" s="80"/>
      <c r="AR332" s="80"/>
      <c r="AS332" s="80" t="s">
        <v>2085</v>
      </c>
      <c r="AT332" s="85" t="str">
        <f>HYPERLINK("https://www.youtube.com/channel/UCpy1V9O-Z8V6bYxLe-Jf3VQ")</f>
        <v>https://www.youtube.com/channel/UCpy1V9O-Z8V6bYxLe-Jf3VQ</v>
      </c>
      <c r="AU332" s="80" t="str">
        <f>REPLACE(INDEX(GroupVertices[Group],MATCH(Vertices[[#This Row],[Vertex]],GroupVertices[Vertex],0)),1,1,"")</f>
        <v>1</v>
      </c>
      <c r="AV332" s="49">
        <v>1</v>
      </c>
      <c r="AW332" s="50">
        <v>1.492537313432836</v>
      </c>
      <c r="AX332" s="49">
        <v>1</v>
      </c>
      <c r="AY332" s="50">
        <v>1.492537313432836</v>
      </c>
      <c r="AZ332" s="49">
        <v>0</v>
      </c>
      <c r="BA332" s="50">
        <v>0</v>
      </c>
      <c r="BB332" s="49">
        <v>65</v>
      </c>
      <c r="BC332" s="50">
        <v>97.01492537313433</v>
      </c>
      <c r="BD332" s="49">
        <v>67</v>
      </c>
      <c r="BE332" s="49" t="s">
        <v>3388</v>
      </c>
      <c r="BF332" s="49" t="s">
        <v>3388</v>
      </c>
      <c r="BG332" s="49" t="s">
        <v>1922</v>
      </c>
      <c r="BH332" s="49" t="s">
        <v>1922</v>
      </c>
      <c r="BI332" s="49"/>
      <c r="BJ332" s="49"/>
      <c r="BK332" s="111" t="s">
        <v>3701</v>
      </c>
      <c r="BL332" s="111" t="s">
        <v>3845</v>
      </c>
      <c r="BM332" s="111" t="s">
        <v>4149</v>
      </c>
      <c r="BN332" s="111" t="s">
        <v>4264</v>
      </c>
      <c r="BO332" s="2"/>
      <c r="BP332" s="3"/>
      <c r="BQ332" s="3"/>
      <c r="BR332" s="3"/>
      <c r="BS332" s="3"/>
    </row>
    <row r="333" spans="1:71" ht="15">
      <c r="A333" s="65" t="s">
        <v>667</v>
      </c>
      <c r="B333" s="66"/>
      <c r="C333" s="66"/>
      <c r="D333" s="67">
        <v>150</v>
      </c>
      <c r="E333" s="69"/>
      <c r="F333" s="103" t="str">
        <f>HYPERLINK("https://yt3.ggpht.com/ytc/AKedOLQMEnLBomt3mq2E8kBVdgiULmaYP2e4wdMWsxp3=s88-c-k-c0x00ffffff-no-rj")</f>
        <v>https://yt3.ggpht.com/ytc/AKedOLQMEnLBomt3mq2E8kBVdgiULmaYP2e4wdMWsxp3=s88-c-k-c0x00ffffff-no-rj</v>
      </c>
      <c r="G333" s="66"/>
      <c r="H333" s="70" t="s">
        <v>1734</v>
      </c>
      <c r="I333" s="71"/>
      <c r="J333" s="71" t="s">
        <v>159</v>
      </c>
      <c r="K333" s="70" t="s">
        <v>1734</v>
      </c>
      <c r="L333" s="74">
        <v>1</v>
      </c>
      <c r="M333" s="75">
        <v>6011.93359375</v>
      </c>
      <c r="N333" s="75">
        <v>2909.21533203125</v>
      </c>
      <c r="O333" s="76"/>
      <c r="P333" s="77"/>
      <c r="Q333" s="77"/>
      <c r="R333" s="89"/>
      <c r="S333" s="49">
        <v>0</v>
      </c>
      <c r="T333" s="49">
        <v>1</v>
      </c>
      <c r="U333" s="50">
        <v>0</v>
      </c>
      <c r="V333" s="50">
        <v>0.478122</v>
      </c>
      <c r="W333" s="50">
        <v>0.03471</v>
      </c>
      <c r="X333" s="50">
        <v>0.001935</v>
      </c>
      <c r="Y333" s="50">
        <v>0</v>
      </c>
      <c r="Z333" s="50">
        <v>0</v>
      </c>
      <c r="AA333" s="72">
        <v>333</v>
      </c>
      <c r="AB333" s="72"/>
      <c r="AC333" s="73"/>
      <c r="AD333" s="80" t="s">
        <v>1734</v>
      </c>
      <c r="AE333" s="80"/>
      <c r="AF333" s="80"/>
      <c r="AG333" s="80"/>
      <c r="AH333" s="80"/>
      <c r="AI333" s="80"/>
      <c r="AJ333" s="87">
        <v>39257.124814814815</v>
      </c>
      <c r="AK333" s="85" t="str">
        <f>HYPERLINK("https://yt3.ggpht.com/ytc/AKedOLQMEnLBomt3mq2E8kBVdgiULmaYP2e4wdMWsxp3=s88-c-k-c0x00ffffff-no-rj")</f>
        <v>https://yt3.ggpht.com/ytc/AKedOLQMEnLBomt3mq2E8kBVdgiULmaYP2e4wdMWsxp3=s88-c-k-c0x00ffffff-no-rj</v>
      </c>
      <c r="AL333" s="80">
        <v>7</v>
      </c>
      <c r="AM333" s="80">
        <v>0</v>
      </c>
      <c r="AN333" s="80">
        <v>7</v>
      </c>
      <c r="AO333" s="80" t="b">
        <v>0</v>
      </c>
      <c r="AP333" s="80">
        <v>1</v>
      </c>
      <c r="AQ333" s="80"/>
      <c r="AR333" s="80"/>
      <c r="AS333" s="80" t="s">
        <v>2085</v>
      </c>
      <c r="AT333" s="85" t="str">
        <f>HYPERLINK("https://www.youtube.com/channel/UCJ0cj3GvMi85PjDJXD0XqTg")</f>
        <v>https://www.youtube.com/channel/UCJ0cj3GvMi85PjDJXD0XqTg</v>
      </c>
      <c r="AU333" s="80" t="str">
        <f>REPLACE(INDEX(GroupVertices[Group],MATCH(Vertices[[#This Row],[Vertex]],GroupVertices[Vertex],0)),1,1,"")</f>
        <v>1</v>
      </c>
      <c r="AV333" s="49">
        <v>1</v>
      </c>
      <c r="AW333" s="50">
        <v>33.333333333333336</v>
      </c>
      <c r="AX333" s="49">
        <v>0</v>
      </c>
      <c r="AY333" s="50">
        <v>0</v>
      </c>
      <c r="AZ333" s="49">
        <v>0</v>
      </c>
      <c r="BA333" s="50">
        <v>0</v>
      </c>
      <c r="BB333" s="49">
        <v>2</v>
      </c>
      <c r="BC333" s="50">
        <v>66.66666666666667</v>
      </c>
      <c r="BD333" s="49">
        <v>3</v>
      </c>
      <c r="BE333" s="49"/>
      <c r="BF333" s="49"/>
      <c r="BG333" s="49"/>
      <c r="BH333" s="49"/>
      <c r="BI333" s="49"/>
      <c r="BJ333" s="49"/>
      <c r="BK333" s="111" t="s">
        <v>3702</v>
      </c>
      <c r="BL333" s="111" t="s">
        <v>3702</v>
      </c>
      <c r="BM333" s="111" t="s">
        <v>4150</v>
      </c>
      <c r="BN333" s="111" t="s">
        <v>4150</v>
      </c>
      <c r="BO333" s="2"/>
      <c r="BP333" s="3"/>
      <c r="BQ333" s="3"/>
      <c r="BR333" s="3"/>
      <c r="BS333" s="3"/>
    </row>
    <row r="334" spans="1:71" ht="15">
      <c r="A334" s="65" t="s">
        <v>668</v>
      </c>
      <c r="B334" s="66"/>
      <c r="C334" s="66"/>
      <c r="D334" s="67">
        <v>150</v>
      </c>
      <c r="E334" s="69"/>
      <c r="F334" s="103" t="str">
        <f>HYPERLINK("https://yt3.ggpht.com/ytc/AKedOLTYs2bQixjuwGohU0N67LNwFcAna-r-JWl_CVAxMg=s88-c-k-c0x00ffffff-no-rj")</f>
        <v>https://yt3.ggpht.com/ytc/AKedOLTYs2bQixjuwGohU0N67LNwFcAna-r-JWl_CVAxMg=s88-c-k-c0x00ffffff-no-rj</v>
      </c>
      <c r="G334" s="66"/>
      <c r="H334" s="70" t="s">
        <v>1735</v>
      </c>
      <c r="I334" s="71"/>
      <c r="J334" s="71" t="s">
        <v>159</v>
      </c>
      <c r="K334" s="70" t="s">
        <v>1735</v>
      </c>
      <c r="L334" s="74">
        <v>1</v>
      </c>
      <c r="M334" s="75">
        <v>2334.3720703125</v>
      </c>
      <c r="N334" s="75">
        <v>7298.21630859375</v>
      </c>
      <c r="O334" s="76"/>
      <c r="P334" s="77"/>
      <c r="Q334" s="77"/>
      <c r="R334" s="89"/>
      <c r="S334" s="49">
        <v>0</v>
      </c>
      <c r="T334" s="49">
        <v>1</v>
      </c>
      <c r="U334" s="50">
        <v>0</v>
      </c>
      <c r="V334" s="50">
        <v>0.478122</v>
      </c>
      <c r="W334" s="50">
        <v>0.03471</v>
      </c>
      <c r="X334" s="50">
        <v>0.001935</v>
      </c>
      <c r="Y334" s="50">
        <v>0</v>
      </c>
      <c r="Z334" s="50">
        <v>0</v>
      </c>
      <c r="AA334" s="72">
        <v>334</v>
      </c>
      <c r="AB334" s="72"/>
      <c r="AC334" s="73"/>
      <c r="AD334" s="80" t="s">
        <v>1735</v>
      </c>
      <c r="AE334" s="80"/>
      <c r="AF334" s="80"/>
      <c r="AG334" s="80"/>
      <c r="AH334" s="80"/>
      <c r="AI334" s="80"/>
      <c r="AJ334" s="87">
        <v>40989.89363425926</v>
      </c>
      <c r="AK334" s="85" t="str">
        <f>HYPERLINK("https://yt3.ggpht.com/ytc/AKedOLTYs2bQixjuwGohU0N67LNwFcAna-r-JWl_CVAxMg=s88-c-k-c0x00ffffff-no-rj")</f>
        <v>https://yt3.ggpht.com/ytc/AKedOLTYs2bQixjuwGohU0N67LNwFcAna-r-JWl_CVAxMg=s88-c-k-c0x00ffffff-no-rj</v>
      </c>
      <c r="AL334" s="80">
        <v>0</v>
      </c>
      <c r="AM334" s="80">
        <v>0</v>
      </c>
      <c r="AN334" s="80">
        <v>0</v>
      </c>
      <c r="AO334" s="80" t="b">
        <v>1</v>
      </c>
      <c r="AP334" s="80">
        <v>0</v>
      </c>
      <c r="AQ334" s="80"/>
      <c r="AR334" s="80"/>
      <c r="AS334" s="80" t="s">
        <v>2085</v>
      </c>
      <c r="AT334" s="85" t="str">
        <f>HYPERLINK("https://www.youtube.com/channel/UC-KWommSB3rIBtK-U1bwjDA")</f>
        <v>https://www.youtube.com/channel/UC-KWommSB3rIBtK-U1bwjDA</v>
      </c>
      <c r="AU334" s="80" t="str">
        <f>REPLACE(INDEX(GroupVertices[Group],MATCH(Vertices[[#This Row],[Vertex]],GroupVertices[Vertex],0)),1,1,"")</f>
        <v>1</v>
      </c>
      <c r="AV334" s="49">
        <v>0</v>
      </c>
      <c r="AW334" s="50">
        <v>0</v>
      </c>
      <c r="AX334" s="49">
        <v>0</v>
      </c>
      <c r="AY334" s="50">
        <v>0</v>
      </c>
      <c r="AZ334" s="49">
        <v>0</v>
      </c>
      <c r="BA334" s="50">
        <v>0</v>
      </c>
      <c r="BB334" s="49">
        <v>1</v>
      </c>
      <c r="BC334" s="50">
        <v>100</v>
      </c>
      <c r="BD334" s="49">
        <v>1</v>
      </c>
      <c r="BE334" s="49"/>
      <c r="BF334" s="49"/>
      <c r="BG334" s="49"/>
      <c r="BH334" s="49"/>
      <c r="BI334" s="49"/>
      <c r="BJ334" s="49"/>
      <c r="BK334" s="111" t="s">
        <v>3703</v>
      </c>
      <c r="BL334" s="111" t="s">
        <v>3703</v>
      </c>
      <c r="BM334" s="111" t="s">
        <v>1927</v>
      </c>
      <c r="BN334" s="111" t="s">
        <v>1927</v>
      </c>
      <c r="BO334" s="2"/>
      <c r="BP334" s="3"/>
      <c r="BQ334" s="3"/>
      <c r="BR334" s="3"/>
      <c r="BS334" s="3"/>
    </row>
    <row r="335" spans="1:71" ht="15">
      <c r="A335" s="65" t="s">
        <v>669</v>
      </c>
      <c r="B335" s="66"/>
      <c r="C335" s="66"/>
      <c r="D335" s="67">
        <v>150</v>
      </c>
      <c r="E335" s="69"/>
      <c r="F335" s="103" t="str">
        <f>HYPERLINK("https://yt3.ggpht.com/75Uz4UM546Av-xvxSxq4aEAxlUF2vyBfb5HdX4l4_QhYgJMCD_VAxeE4Av6xNWR_WND-JhUY4ww=s88-c-k-c0x00ffffff-no-rj")</f>
        <v>https://yt3.ggpht.com/75Uz4UM546Av-xvxSxq4aEAxlUF2vyBfb5HdX4l4_QhYgJMCD_VAxeE4Av6xNWR_WND-JhUY4ww=s88-c-k-c0x00ffffff-no-rj</v>
      </c>
      <c r="G335" s="66"/>
      <c r="H335" s="70" t="s">
        <v>1736</v>
      </c>
      <c r="I335" s="71"/>
      <c r="J335" s="71" t="s">
        <v>159</v>
      </c>
      <c r="K335" s="70" t="s">
        <v>1736</v>
      </c>
      <c r="L335" s="74">
        <v>1</v>
      </c>
      <c r="M335" s="75">
        <v>5280.26220703125</v>
      </c>
      <c r="N335" s="75">
        <v>6377.0322265625</v>
      </c>
      <c r="O335" s="76"/>
      <c r="P335" s="77"/>
      <c r="Q335" s="77"/>
      <c r="R335" s="89"/>
      <c r="S335" s="49">
        <v>0</v>
      </c>
      <c r="T335" s="49">
        <v>1</v>
      </c>
      <c r="U335" s="50">
        <v>0</v>
      </c>
      <c r="V335" s="50">
        <v>0.478122</v>
      </c>
      <c r="W335" s="50">
        <v>0.03471</v>
      </c>
      <c r="X335" s="50">
        <v>0.001935</v>
      </c>
      <c r="Y335" s="50">
        <v>0</v>
      </c>
      <c r="Z335" s="50">
        <v>0</v>
      </c>
      <c r="AA335" s="72">
        <v>335</v>
      </c>
      <c r="AB335" s="72"/>
      <c r="AC335" s="73"/>
      <c r="AD335" s="80" t="s">
        <v>1736</v>
      </c>
      <c r="AE335" s="80" t="s">
        <v>2025</v>
      </c>
      <c r="AF335" s="80"/>
      <c r="AG335" s="80"/>
      <c r="AH335" s="80"/>
      <c r="AI335" s="80" t="s">
        <v>2078</v>
      </c>
      <c r="AJ335" s="87">
        <v>39469.63663194444</v>
      </c>
      <c r="AK335" s="85" t="str">
        <f>HYPERLINK("https://yt3.ggpht.com/75Uz4UM546Av-xvxSxq4aEAxlUF2vyBfb5HdX4l4_QhYgJMCD_VAxeE4Av6xNWR_WND-JhUY4ww=s88-c-k-c0x00ffffff-no-rj")</f>
        <v>https://yt3.ggpht.com/75Uz4UM546Av-xvxSxq4aEAxlUF2vyBfb5HdX4l4_QhYgJMCD_VAxeE4Av6xNWR_WND-JhUY4ww=s88-c-k-c0x00ffffff-no-rj</v>
      </c>
      <c r="AL335" s="80">
        <v>485988</v>
      </c>
      <c r="AM335" s="80">
        <v>0</v>
      </c>
      <c r="AN335" s="80">
        <v>1780</v>
      </c>
      <c r="AO335" s="80" t="b">
        <v>0</v>
      </c>
      <c r="AP335" s="80">
        <v>287</v>
      </c>
      <c r="AQ335" s="80"/>
      <c r="AR335" s="80"/>
      <c r="AS335" s="80" t="s">
        <v>2085</v>
      </c>
      <c r="AT335" s="85" t="str">
        <f>HYPERLINK("https://www.youtube.com/channel/UCzWwr9fSROw2liph1qK7psQ")</f>
        <v>https://www.youtube.com/channel/UCzWwr9fSROw2liph1qK7psQ</v>
      </c>
      <c r="AU335" s="80" t="str">
        <f>REPLACE(INDEX(GroupVertices[Group],MATCH(Vertices[[#This Row],[Vertex]],GroupVertices[Vertex],0)),1,1,"")</f>
        <v>1</v>
      </c>
      <c r="AV335" s="49">
        <v>2</v>
      </c>
      <c r="AW335" s="50">
        <v>2.6666666666666665</v>
      </c>
      <c r="AX335" s="49">
        <v>0</v>
      </c>
      <c r="AY335" s="50">
        <v>0</v>
      </c>
      <c r="AZ335" s="49">
        <v>0</v>
      </c>
      <c r="BA335" s="50">
        <v>0</v>
      </c>
      <c r="BB335" s="49">
        <v>73</v>
      </c>
      <c r="BC335" s="50">
        <v>97.33333333333333</v>
      </c>
      <c r="BD335" s="49">
        <v>75</v>
      </c>
      <c r="BE335" s="49"/>
      <c r="BF335" s="49"/>
      <c r="BG335" s="49"/>
      <c r="BH335" s="49"/>
      <c r="BI335" s="49"/>
      <c r="BJ335" s="49"/>
      <c r="BK335" s="111" t="s">
        <v>3704</v>
      </c>
      <c r="BL335" s="111" t="s">
        <v>3704</v>
      </c>
      <c r="BM335" s="111" t="s">
        <v>4151</v>
      </c>
      <c r="BN335" s="111" t="s">
        <v>4151</v>
      </c>
      <c r="BO335" s="2"/>
      <c r="BP335" s="3"/>
      <c r="BQ335" s="3"/>
      <c r="BR335" s="3"/>
      <c r="BS335" s="3"/>
    </row>
    <row r="336" spans="1:71" ht="15">
      <c r="A336" s="65" t="s">
        <v>670</v>
      </c>
      <c r="B336" s="66"/>
      <c r="C336" s="66"/>
      <c r="D336" s="67">
        <v>150</v>
      </c>
      <c r="E336" s="69"/>
      <c r="F336" s="103" t="str">
        <f>HYPERLINK("https://yt3.ggpht.com/ytc/AKedOLRpV2lGey9CwVOVkaopaV8wzkiS3Obt4PZ0xg=s88-c-k-c0x00ffffff-no-rj")</f>
        <v>https://yt3.ggpht.com/ytc/AKedOLRpV2lGey9CwVOVkaopaV8wzkiS3Obt4PZ0xg=s88-c-k-c0x00ffffff-no-rj</v>
      </c>
      <c r="G336" s="66"/>
      <c r="H336" s="70" t="s">
        <v>1737</v>
      </c>
      <c r="I336" s="71"/>
      <c r="J336" s="71" t="s">
        <v>159</v>
      </c>
      <c r="K336" s="70" t="s">
        <v>1737</v>
      </c>
      <c r="L336" s="74">
        <v>1</v>
      </c>
      <c r="M336" s="75">
        <v>8972.033203125</v>
      </c>
      <c r="N336" s="75">
        <v>4010.62841796875</v>
      </c>
      <c r="O336" s="76"/>
      <c r="P336" s="77"/>
      <c r="Q336" s="77"/>
      <c r="R336" s="89"/>
      <c r="S336" s="49">
        <v>0</v>
      </c>
      <c r="T336" s="49">
        <v>1</v>
      </c>
      <c r="U336" s="50">
        <v>0</v>
      </c>
      <c r="V336" s="50">
        <v>0.324873</v>
      </c>
      <c r="W336" s="50">
        <v>0.001754</v>
      </c>
      <c r="X336" s="50">
        <v>0.001994</v>
      </c>
      <c r="Y336" s="50">
        <v>0</v>
      </c>
      <c r="Z336" s="50">
        <v>0</v>
      </c>
      <c r="AA336" s="72">
        <v>336</v>
      </c>
      <c r="AB336" s="72"/>
      <c r="AC336" s="73"/>
      <c r="AD336" s="80" t="s">
        <v>1737</v>
      </c>
      <c r="AE336" s="80"/>
      <c r="AF336" s="80"/>
      <c r="AG336" s="80"/>
      <c r="AH336" s="80"/>
      <c r="AI336" s="80"/>
      <c r="AJ336" s="87">
        <v>44311.28771990741</v>
      </c>
      <c r="AK336" s="85" t="str">
        <f>HYPERLINK("https://yt3.ggpht.com/ytc/AKedOLRpV2lGey9CwVOVkaopaV8wzkiS3Obt4PZ0xg=s88-c-k-c0x00ffffff-no-rj")</f>
        <v>https://yt3.ggpht.com/ytc/AKedOLRpV2lGey9CwVOVkaopaV8wzkiS3Obt4PZ0xg=s88-c-k-c0x00ffffff-no-rj</v>
      </c>
      <c r="AL336" s="80">
        <v>0</v>
      </c>
      <c r="AM336" s="80">
        <v>0</v>
      </c>
      <c r="AN336" s="80">
        <v>0</v>
      </c>
      <c r="AO336" s="80" t="b">
        <v>0</v>
      </c>
      <c r="AP336" s="80">
        <v>0</v>
      </c>
      <c r="AQ336" s="80"/>
      <c r="AR336" s="80"/>
      <c r="AS336" s="80" t="s">
        <v>2085</v>
      </c>
      <c r="AT336" s="85" t="str">
        <f>HYPERLINK("https://www.youtube.com/channel/UCjo1tpnRd6fLgPXelK-I-Yg")</f>
        <v>https://www.youtube.com/channel/UCjo1tpnRd6fLgPXelK-I-Yg</v>
      </c>
      <c r="AU336" s="80" t="str">
        <f>REPLACE(INDEX(GroupVertices[Group],MATCH(Vertices[[#This Row],[Vertex]],GroupVertices[Vertex],0)),1,1,"")</f>
        <v>7</v>
      </c>
      <c r="AV336" s="49">
        <v>1</v>
      </c>
      <c r="AW336" s="50">
        <v>2.857142857142857</v>
      </c>
      <c r="AX336" s="49">
        <v>0</v>
      </c>
      <c r="AY336" s="50">
        <v>0</v>
      </c>
      <c r="AZ336" s="49">
        <v>0</v>
      </c>
      <c r="BA336" s="50">
        <v>0</v>
      </c>
      <c r="BB336" s="49">
        <v>34</v>
      </c>
      <c r="BC336" s="50">
        <v>97.14285714285714</v>
      </c>
      <c r="BD336" s="49">
        <v>35</v>
      </c>
      <c r="BE336" s="49"/>
      <c r="BF336" s="49"/>
      <c r="BG336" s="49"/>
      <c r="BH336" s="49"/>
      <c r="BI336" s="49"/>
      <c r="BJ336" s="49"/>
      <c r="BK336" s="111" t="s">
        <v>3705</v>
      </c>
      <c r="BL336" s="111" t="s">
        <v>3705</v>
      </c>
      <c r="BM336" s="111" t="s">
        <v>4152</v>
      </c>
      <c r="BN336" s="111" t="s">
        <v>4152</v>
      </c>
      <c r="BO336" s="2"/>
      <c r="BP336" s="3"/>
      <c r="BQ336" s="3"/>
      <c r="BR336" s="3"/>
      <c r="BS336" s="3"/>
    </row>
    <row r="337" spans="1:71" ht="15">
      <c r="A337" s="65" t="s">
        <v>673</v>
      </c>
      <c r="B337" s="66"/>
      <c r="C337" s="66"/>
      <c r="D337" s="67">
        <v>363.9374295377678</v>
      </c>
      <c r="E337" s="69"/>
      <c r="F337" s="103" t="str">
        <f>HYPERLINK("https://yt3.ggpht.com/ytc/AKedOLRlCRSxYxV38_76WHpKRd2j-e1p5y6h8Js6APgy=s88-c-k-c0x00ffffff-no-rj")</f>
        <v>https://yt3.ggpht.com/ytc/AKedOLRlCRSxYxV38_76WHpKRd2j-e1p5y6h8Js6APgy=s88-c-k-c0x00ffffff-no-rj</v>
      </c>
      <c r="G337" s="66"/>
      <c r="H337" s="70" t="s">
        <v>1740</v>
      </c>
      <c r="I337" s="71"/>
      <c r="J337" s="71" t="s">
        <v>75</v>
      </c>
      <c r="K337" s="70" t="s">
        <v>1740</v>
      </c>
      <c r="L337" s="74">
        <v>90.30647601471401</v>
      </c>
      <c r="M337" s="75">
        <v>8972.033203125</v>
      </c>
      <c r="N337" s="75">
        <v>3620.96142578125</v>
      </c>
      <c r="O337" s="76"/>
      <c r="P337" s="77"/>
      <c r="Q337" s="77"/>
      <c r="R337" s="89"/>
      <c r="S337" s="49">
        <v>3</v>
      </c>
      <c r="T337" s="49">
        <v>1</v>
      </c>
      <c r="U337" s="50">
        <v>1786</v>
      </c>
      <c r="V337" s="50">
        <v>0.480687</v>
      </c>
      <c r="W337" s="50">
        <v>0.036627</v>
      </c>
      <c r="X337" s="50">
        <v>0.002686</v>
      </c>
      <c r="Y337" s="50">
        <v>0.08333333333333333</v>
      </c>
      <c r="Z337" s="50">
        <v>0</v>
      </c>
      <c r="AA337" s="72">
        <v>337</v>
      </c>
      <c r="AB337" s="72"/>
      <c r="AC337" s="73"/>
      <c r="AD337" s="80" t="s">
        <v>1740</v>
      </c>
      <c r="AE337" s="80" t="s">
        <v>2026</v>
      </c>
      <c r="AF337" s="80"/>
      <c r="AG337" s="80"/>
      <c r="AH337" s="80"/>
      <c r="AI337" s="80"/>
      <c r="AJ337" s="87">
        <v>39546.40347222222</v>
      </c>
      <c r="AK337" s="85" t="str">
        <f>HYPERLINK("https://yt3.ggpht.com/ytc/AKedOLRlCRSxYxV38_76WHpKRd2j-e1p5y6h8Js6APgy=s88-c-k-c0x00ffffff-no-rj")</f>
        <v>https://yt3.ggpht.com/ytc/AKedOLRlCRSxYxV38_76WHpKRd2j-e1p5y6h8Js6APgy=s88-c-k-c0x00ffffff-no-rj</v>
      </c>
      <c r="AL337" s="80">
        <v>7680221</v>
      </c>
      <c r="AM337" s="80">
        <v>0</v>
      </c>
      <c r="AN337" s="80">
        <v>45800</v>
      </c>
      <c r="AO337" s="80" t="b">
        <v>0</v>
      </c>
      <c r="AP337" s="80">
        <v>147</v>
      </c>
      <c r="AQ337" s="80"/>
      <c r="AR337" s="80"/>
      <c r="AS337" s="80" t="s">
        <v>2085</v>
      </c>
      <c r="AT337" s="85" t="str">
        <f>HYPERLINK("https://www.youtube.com/channel/UCklG6ilxW_PeYeDSpKSRGZQ")</f>
        <v>https://www.youtube.com/channel/UCklG6ilxW_PeYeDSpKSRGZQ</v>
      </c>
      <c r="AU337" s="80" t="str">
        <f>REPLACE(INDEX(GroupVertices[Group],MATCH(Vertices[[#This Row],[Vertex]],GroupVertices[Vertex],0)),1,1,"")</f>
        <v>7</v>
      </c>
      <c r="AV337" s="49">
        <v>11</v>
      </c>
      <c r="AW337" s="50">
        <v>4.621848739495798</v>
      </c>
      <c r="AX337" s="49">
        <v>4</v>
      </c>
      <c r="AY337" s="50">
        <v>1.680672268907563</v>
      </c>
      <c r="AZ337" s="49">
        <v>0</v>
      </c>
      <c r="BA337" s="50">
        <v>0</v>
      </c>
      <c r="BB337" s="49">
        <v>223</v>
      </c>
      <c r="BC337" s="50">
        <v>93.69747899159664</v>
      </c>
      <c r="BD337" s="49">
        <v>238</v>
      </c>
      <c r="BE337" s="49"/>
      <c r="BF337" s="49"/>
      <c r="BG337" s="49"/>
      <c r="BH337" s="49"/>
      <c r="BI337" s="49"/>
      <c r="BJ337" s="49"/>
      <c r="BK337" s="111" t="s">
        <v>3706</v>
      </c>
      <c r="BL337" s="111" t="s">
        <v>3706</v>
      </c>
      <c r="BM337" s="111" t="s">
        <v>4153</v>
      </c>
      <c r="BN337" s="111" t="s">
        <v>4153</v>
      </c>
      <c r="BO337" s="2"/>
      <c r="BP337" s="3"/>
      <c r="BQ337" s="3"/>
      <c r="BR337" s="3"/>
      <c r="BS337" s="3"/>
    </row>
    <row r="338" spans="1:71" ht="15">
      <c r="A338" s="65" t="s">
        <v>671</v>
      </c>
      <c r="B338" s="66"/>
      <c r="C338" s="66"/>
      <c r="D338" s="67">
        <v>150</v>
      </c>
      <c r="E338" s="69"/>
      <c r="F338" s="103" t="str">
        <f>HYPERLINK("https://yt3.ggpht.com/ytc/AKedOLQwAB-GgV8CMgkmpCX7dbH651By7amVCwUPWv5Edg=s88-c-k-c0x00ffffff-no-rj")</f>
        <v>https://yt3.ggpht.com/ytc/AKedOLQwAB-GgV8CMgkmpCX7dbH651By7amVCwUPWv5Edg=s88-c-k-c0x00ffffff-no-rj</v>
      </c>
      <c r="G338" s="66"/>
      <c r="H338" s="70" t="s">
        <v>1738</v>
      </c>
      <c r="I338" s="71"/>
      <c r="J338" s="71" t="s">
        <v>159</v>
      </c>
      <c r="K338" s="70" t="s">
        <v>1738</v>
      </c>
      <c r="L338" s="74">
        <v>1</v>
      </c>
      <c r="M338" s="75">
        <v>8552.75390625</v>
      </c>
      <c r="N338" s="75">
        <v>4010.62841796875</v>
      </c>
      <c r="O338" s="76"/>
      <c r="P338" s="77"/>
      <c r="Q338" s="77"/>
      <c r="R338" s="89"/>
      <c r="S338" s="49">
        <v>0</v>
      </c>
      <c r="T338" s="49">
        <v>1</v>
      </c>
      <c r="U338" s="50">
        <v>0</v>
      </c>
      <c r="V338" s="50">
        <v>0.324873</v>
      </c>
      <c r="W338" s="50">
        <v>0.001754</v>
      </c>
      <c r="X338" s="50">
        <v>0.001994</v>
      </c>
      <c r="Y338" s="50">
        <v>0</v>
      </c>
      <c r="Z338" s="50">
        <v>0</v>
      </c>
      <c r="AA338" s="72">
        <v>338</v>
      </c>
      <c r="AB338" s="72"/>
      <c r="AC338" s="73"/>
      <c r="AD338" s="80" t="s">
        <v>1738</v>
      </c>
      <c r="AE338" s="80"/>
      <c r="AF338" s="80"/>
      <c r="AG338" s="80"/>
      <c r="AH338" s="80"/>
      <c r="AI338" s="80"/>
      <c r="AJ338" s="87">
        <v>41150.82109953704</v>
      </c>
      <c r="AK338" s="85" t="str">
        <f>HYPERLINK("https://yt3.ggpht.com/ytc/AKedOLQwAB-GgV8CMgkmpCX7dbH651By7amVCwUPWv5Edg=s88-c-k-c0x00ffffff-no-rj")</f>
        <v>https://yt3.ggpht.com/ytc/AKedOLQwAB-GgV8CMgkmpCX7dbH651By7amVCwUPWv5Edg=s88-c-k-c0x00ffffff-no-rj</v>
      </c>
      <c r="AL338" s="80">
        <v>0</v>
      </c>
      <c r="AM338" s="80">
        <v>0</v>
      </c>
      <c r="AN338" s="80">
        <v>0</v>
      </c>
      <c r="AO338" s="80" t="b">
        <v>0</v>
      </c>
      <c r="AP338" s="80">
        <v>0</v>
      </c>
      <c r="AQ338" s="80"/>
      <c r="AR338" s="80"/>
      <c r="AS338" s="80" t="s">
        <v>2085</v>
      </c>
      <c r="AT338" s="85" t="str">
        <f>HYPERLINK("https://www.youtube.com/channel/UC09RWcegnsrTtN5Y1qQwPFQ")</f>
        <v>https://www.youtube.com/channel/UC09RWcegnsrTtN5Y1qQwPFQ</v>
      </c>
      <c r="AU338" s="80" t="str">
        <f>REPLACE(INDEX(GroupVertices[Group],MATCH(Vertices[[#This Row],[Vertex]],GroupVertices[Vertex],0)),1,1,"")</f>
        <v>7</v>
      </c>
      <c r="AV338" s="49">
        <v>14</v>
      </c>
      <c r="AW338" s="50">
        <v>3.4146341463414633</v>
      </c>
      <c r="AX338" s="49">
        <v>5</v>
      </c>
      <c r="AY338" s="50">
        <v>1.2195121951219512</v>
      </c>
      <c r="AZ338" s="49">
        <v>0</v>
      </c>
      <c r="BA338" s="50">
        <v>0</v>
      </c>
      <c r="BB338" s="49">
        <v>391</v>
      </c>
      <c r="BC338" s="50">
        <v>95.36585365853658</v>
      </c>
      <c r="BD338" s="49">
        <v>410</v>
      </c>
      <c r="BE338" s="49"/>
      <c r="BF338" s="49"/>
      <c r="BG338" s="49"/>
      <c r="BH338" s="49"/>
      <c r="BI338" s="49"/>
      <c r="BJ338" s="49"/>
      <c r="BK338" s="111" t="s">
        <v>3707</v>
      </c>
      <c r="BL338" s="111" t="s">
        <v>3707</v>
      </c>
      <c r="BM338" s="111" t="s">
        <v>4154</v>
      </c>
      <c r="BN338" s="111" t="s">
        <v>4154</v>
      </c>
      <c r="BO338" s="2"/>
      <c r="BP338" s="3"/>
      <c r="BQ338" s="3"/>
      <c r="BR338" s="3"/>
      <c r="BS338" s="3"/>
    </row>
    <row r="339" spans="1:71" ht="15">
      <c r="A339" s="65" t="s">
        <v>672</v>
      </c>
      <c r="B339" s="66"/>
      <c r="C339" s="66"/>
      <c r="D339" s="67">
        <v>150</v>
      </c>
      <c r="E339" s="69"/>
      <c r="F339" s="103" t="str">
        <f>HYPERLINK("https://yt3.ggpht.com/ytc/AKedOLS4QLUBQBEVBbR2ZT3ppGLgS2Z6GdsDTwbR_Svqfw=s88-c-k-c0x00ffffff-no-rj")</f>
        <v>https://yt3.ggpht.com/ytc/AKedOLS4QLUBQBEVBbR2ZT3ppGLgS2Z6GdsDTwbR_Svqfw=s88-c-k-c0x00ffffff-no-rj</v>
      </c>
      <c r="G339" s="66"/>
      <c r="H339" s="70" t="s">
        <v>1739</v>
      </c>
      <c r="I339" s="71"/>
      <c r="J339" s="71" t="s">
        <v>159</v>
      </c>
      <c r="K339" s="70" t="s">
        <v>1739</v>
      </c>
      <c r="L339" s="74">
        <v>1</v>
      </c>
      <c r="M339" s="75">
        <v>8552.75390625</v>
      </c>
      <c r="N339" s="75">
        <v>3620.96142578125</v>
      </c>
      <c r="O339" s="76"/>
      <c r="P339" s="77"/>
      <c r="Q339" s="77"/>
      <c r="R339" s="89"/>
      <c r="S339" s="49">
        <v>0</v>
      </c>
      <c r="T339" s="49">
        <v>2</v>
      </c>
      <c r="U339" s="50">
        <v>0</v>
      </c>
      <c r="V339" s="50">
        <v>0.479657</v>
      </c>
      <c r="W339" s="50">
        <v>0.036464</v>
      </c>
      <c r="X339" s="50">
        <v>0.002036</v>
      </c>
      <c r="Y339" s="50">
        <v>0.5</v>
      </c>
      <c r="Z339" s="50">
        <v>0</v>
      </c>
      <c r="AA339" s="72">
        <v>339</v>
      </c>
      <c r="AB339" s="72"/>
      <c r="AC339" s="73"/>
      <c r="AD339" s="80" t="s">
        <v>1739</v>
      </c>
      <c r="AE339" s="80"/>
      <c r="AF339" s="80"/>
      <c r="AG339" s="80"/>
      <c r="AH339" s="80"/>
      <c r="AI339" s="80"/>
      <c r="AJ339" s="87">
        <v>40046.05920138889</v>
      </c>
      <c r="AK339" s="85" t="str">
        <f>HYPERLINK("https://yt3.ggpht.com/ytc/AKedOLS4QLUBQBEVBbR2ZT3ppGLgS2Z6GdsDTwbR_Svqfw=s88-c-k-c0x00ffffff-no-rj")</f>
        <v>https://yt3.ggpht.com/ytc/AKedOLS4QLUBQBEVBbR2ZT3ppGLgS2Z6GdsDTwbR_Svqfw=s88-c-k-c0x00ffffff-no-rj</v>
      </c>
      <c r="AL339" s="80">
        <v>0</v>
      </c>
      <c r="AM339" s="80">
        <v>0</v>
      </c>
      <c r="AN339" s="80">
        <v>33</v>
      </c>
      <c r="AO339" s="80" t="b">
        <v>0</v>
      </c>
      <c r="AP339" s="80">
        <v>0</v>
      </c>
      <c r="AQ339" s="80"/>
      <c r="AR339" s="80"/>
      <c r="AS339" s="80" t="s">
        <v>2085</v>
      </c>
      <c r="AT339" s="85" t="str">
        <f>HYPERLINK("https://www.youtube.com/channel/UC_-FIxHPBnhLkE9cGbL2ZiQ")</f>
        <v>https://www.youtube.com/channel/UC_-FIxHPBnhLkE9cGbL2ZiQ</v>
      </c>
      <c r="AU339" s="80" t="str">
        <f>REPLACE(INDEX(GroupVertices[Group],MATCH(Vertices[[#This Row],[Vertex]],GroupVertices[Vertex],0)),1,1,"")</f>
        <v>7</v>
      </c>
      <c r="AV339" s="49">
        <v>7</v>
      </c>
      <c r="AW339" s="50">
        <v>5.384615384615385</v>
      </c>
      <c r="AX339" s="49">
        <v>8</v>
      </c>
      <c r="AY339" s="50">
        <v>6.153846153846154</v>
      </c>
      <c r="AZ339" s="49">
        <v>0</v>
      </c>
      <c r="BA339" s="50">
        <v>0</v>
      </c>
      <c r="BB339" s="49">
        <v>115</v>
      </c>
      <c r="BC339" s="50">
        <v>88.46153846153847</v>
      </c>
      <c r="BD339" s="49">
        <v>130</v>
      </c>
      <c r="BE339" s="49"/>
      <c r="BF339" s="49"/>
      <c r="BG339" s="49"/>
      <c r="BH339" s="49"/>
      <c r="BI339" s="49"/>
      <c r="BJ339" s="49"/>
      <c r="BK339" s="111" t="s">
        <v>3708</v>
      </c>
      <c r="BL339" s="111" t="s">
        <v>3846</v>
      </c>
      <c r="BM339" s="111" t="s">
        <v>4155</v>
      </c>
      <c r="BN339" s="111" t="s">
        <v>4155</v>
      </c>
      <c r="BO339" s="2"/>
      <c r="BP339" s="3"/>
      <c r="BQ339" s="3"/>
      <c r="BR339" s="3"/>
      <c r="BS339" s="3"/>
    </row>
    <row r="340" spans="1:71" ht="15">
      <c r="A340" s="65" t="s">
        <v>674</v>
      </c>
      <c r="B340" s="66"/>
      <c r="C340" s="66"/>
      <c r="D340" s="67">
        <v>150</v>
      </c>
      <c r="E340" s="69"/>
      <c r="F340" s="103" t="str">
        <f>HYPERLINK("https://yt3.ggpht.com/ytc/AKedOLR4EwBgbsB_OYLeNDYdEFu8truzPEj360xa3iWAOw=s88-c-k-c0x00ffffff-no-rj")</f>
        <v>https://yt3.ggpht.com/ytc/AKedOLR4EwBgbsB_OYLeNDYdEFu8truzPEj360xa3iWAOw=s88-c-k-c0x00ffffff-no-rj</v>
      </c>
      <c r="G340" s="66"/>
      <c r="H340" s="70" t="s">
        <v>1741</v>
      </c>
      <c r="I340" s="71"/>
      <c r="J340" s="71" t="s">
        <v>159</v>
      </c>
      <c r="K340" s="70" t="s">
        <v>1741</v>
      </c>
      <c r="L340" s="74">
        <v>1</v>
      </c>
      <c r="M340" s="75">
        <v>6094.404296875</v>
      </c>
      <c r="N340" s="75">
        <v>1474.4161376953125</v>
      </c>
      <c r="O340" s="76"/>
      <c r="P340" s="77"/>
      <c r="Q340" s="77"/>
      <c r="R340" s="89"/>
      <c r="S340" s="49">
        <v>0</v>
      </c>
      <c r="T340" s="49">
        <v>1</v>
      </c>
      <c r="U340" s="50">
        <v>0</v>
      </c>
      <c r="V340" s="50">
        <v>0.478122</v>
      </c>
      <c r="W340" s="50">
        <v>0.03471</v>
      </c>
      <c r="X340" s="50">
        <v>0.001935</v>
      </c>
      <c r="Y340" s="50">
        <v>0</v>
      </c>
      <c r="Z340" s="50">
        <v>0</v>
      </c>
      <c r="AA340" s="72">
        <v>340</v>
      </c>
      <c r="AB340" s="72"/>
      <c r="AC340" s="73"/>
      <c r="AD340" s="80" t="s">
        <v>1741</v>
      </c>
      <c r="AE340" s="80"/>
      <c r="AF340" s="80"/>
      <c r="AG340" s="80"/>
      <c r="AH340" s="80"/>
      <c r="AI340" s="80" t="s">
        <v>2079</v>
      </c>
      <c r="AJ340" s="87">
        <v>40730.47244212963</v>
      </c>
      <c r="AK340" s="85" t="str">
        <f>HYPERLINK("https://yt3.ggpht.com/ytc/AKedOLR4EwBgbsB_OYLeNDYdEFu8truzPEj360xa3iWAOw=s88-c-k-c0x00ffffff-no-rj")</f>
        <v>https://yt3.ggpht.com/ytc/AKedOLR4EwBgbsB_OYLeNDYdEFu8truzPEj360xa3iWAOw=s88-c-k-c0x00ffffff-no-rj</v>
      </c>
      <c r="AL340" s="80">
        <v>37683</v>
      </c>
      <c r="AM340" s="80">
        <v>0</v>
      </c>
      <c r="AN340" s="80">
        <v>52</v>
      </c>
      <c r="AO340" s="80" t="b">
        <v>0</v>
      </c>
      <c r="AP340" s="80">
        <v>2</v>
      </c>
      <c r="AQ340" s="80"/>
      <c r="AR340" s="80"/>
      <c r="AS340" s="80" t="s">
        <v>2085</v>
      </c>
      <c r="AT340" s="85" t="str">
        <f>HYPERLINK("https://www.youtube.com/channel/UCsOHhRRni2fF3EWgvpz7lig")</f>
        <v>https://www.youtube.com/channel/UCsOHhRRni2fF3EWgvpz7lig</v>
      </c>
      <c r="AU340" s="80" t="str">
        <f>REPLACE(INDEX(GroupVertices[Group],MATCH(Vertices[[#This Row],[Vertex]],GroupVertices[Vertex],0)),1,1,"")</f>
        <v>1</v>
      </c>
      <c r="AV340" s="49">
        <v>0</v>
      </c>
      <c r="AW340" s="50">
        <v>0</v>
      </c>
      <c r="AX340" s="49">
        <v>1</v>
      </c>
      <c r="AY340" s="50">
        <v>50</v>
      </c>
      <c r="AZ340" s="49">
        <v>0</v>
      </c>
      <c r="BA340" s="50">
        <v>0</v>
      </c>
      <c r="BB340" s="49">
        <v>1</v>
      </c>
      <c r="BC340" s="50">
        <v>50</v>
      </c>
      <c r="BD340" s="49">
        <v>2</v>
      </c>
      <c r="BE340" s="49"/>
      <c r="BF340" s="49"/>
      <c r="BG340" s="49"/>
      <c r="BH340" s="49"/>
      <c r="BI340" s="49"/>
      <c r="BJ340" s="49"/>
      <c r="BK340" s="111" t="s">
        <v>3709</v>
      </c>
      <c r="BL340" s="111" t="s">
        <v>3709</v>
      </c>
      <c r="BM340" s="111" t="s">
        <v>4156</v>
      </c>
      <c r="BN340" s="111" t="s">
        <v>4156</v>
      </c>
      <c r="BO340" s="2"/>
      <c r="BP340" s="3"/>
      <c r="BQ340" s="3"/>
      <c r="BR340" s="3"/>
      <c r="BS340" s="3"/>
    </row>
    <row r="341" spans="1:71" ht="15">
      <c r="A341" s="65" t="s">
        <v>675</v>
      </c>
      <c r="B341" s="66"/>
      <c r="C341" s="66"/>
      <c r="D341" s="67">
        <v>150</v>
      </c>
      <c r="E341" s="69"/>
      <c r="F341" s="103" t="str">
        <f>HYPERLINK("https://yt3.ggpht.com/ytc/AKedOLRlEx8FKwJ7gAM8GvfAtEsm5FsJKzO1obBkJoDqnA=s88-c-k-c0x00ffffff-no-rj")</f>
        <v>https://yt3.ggpht.com/ytc/AKedOLRlEx8FKwJ7gAM8GvfAtEsm5FsJKzO1obBkJoDqnA=s88-c-k-c0x00ffffff-no-rj</v>
      </c>
      <c r="G341" s="66"/>
      <c r="H341" s="70" t="s">
        <v>1742</v>
      </c>
      <c r="I341" s="71"/>
      <c r="J341" s="71" t="s">
        <v>159</v>
      </c>
      <c r="K341" s="70" t="s">
        <v>1742</v>
      </c>
      <c r="L341" s="74">
        <v>1</v>
      </c>
      <c r="M341" s="75">
        <v>7466.490234375</v>
      </c>
      <c r="N341" s="75">
        <v>6809.708984375</v>
      </c>
      <c r="O341" s="76"/>
      <c r="P341" s="77"/>
      <c r="Q341" s="77"/>
      <c r="R341" s="89"/>
      <c r="S341" s="49">
        <v>0</v>
      </c>
      <c r="T341" s="49">
        <v>1</v>
      </c>
      <c r="U341" s="50">
        <v>0</v>
      </c>
      <c r="V341" s="50">
        <v>0.478122</v>
      </c>
      <c r="W341" s="50">
        <v>0.03471</v>
      </c>
      <c r="X341" s="50">
        <v>0.001935</v>
      </c>
      <c r="Y341" s="50">
        <v>0</v>
      </c>
      <c r="Z341" s="50">
        <v>0</v>
      </c>
      <c r="AA341" s="72">
        <v>341</v>
      </c>
      <c r="AB341" s="72"/>
      <c r="AC341" s="73"/>
      <c r="AD341" s="80" t="s">
        <v>1742</v>
      </c>
      <c r="AE341" s="80"/>
      <c r="AF341" s="80"/>
      <c r="AG341" s="80"/>
      <c r="AH341" s="80"/>
      <c r="AI341" s="80"/>
      <c r="AJ341" s="87">
        <v>40039.48725694444</v>
      </c>
      <c r="AK341" s="85" t="str">
        <f>HYPERLINK("https://yt3.ggpht.com/ytc/AKedOLRlEx8FKwJ7gAM8GvfAtEsm5FsJKzO1obBkJoDqnA=s88-c-k-c0x00ffffff-no-rj")</f>
        <v>https://yt3.ggpht.com/ytc/AKedOLRlEx8FKwJ7gAM8GvfAtEsm5FsJKzO1obBkJoDqnA=s88-c-k-c0x00ffffff-no-rj</v>
      </c>
      <c r="AL341" s="80">
        <v>0</v>
      </c>
      <c r="AM341" s="80">
        <v>0</v>
      </c>
      <c r="AN341" s="80">
        <v>1</v>
      </c>
      <c r="AO341" s="80" t="b">
        <v>0</v>
      </c>
      <c r="AP341" s="80">
        <v>0</v>
      </c>
      <c r="AQ341" s="80"/>
      <c r="AR341" s="80"/>
      <c r="AS341" s="80" t="s">
        <v>2085</v>
      </c>
      <c r="AT341" s="85" t="str">
        <f>HYPERLINK("https://www.youtube.com/channel/UCNZUddA0ZXKFrzglJQfdI0g")</f>
        <v>https://www.youtube.com/channel/UCNZUddA0ZXKFrzglJQfdI0g</v>
      </c>
      <c r="AU341" s="80" t="str">
        <f>REPLACE(INDEX(GroupVertices[Group],MATCH(Vertices[[#This Row],[Vertex]],GroupVertices[Vertex],0)),1,1,"")</f>
        <v>1</v>
      </c>
      <c r="AV341" s="49">
        <v>3</v>
      </c>
      <c r="AW341" s="50">
        <v>60</v>
      </c>
      <c r="AX341" s="49">
        <v>0</v>
      </c>
      <c r="AY341" s="50">
        <v>0</v>
      </c>
      <c r="AZ341" s="49">
        <v>0</v>
      </c>
      <c r="BA341" s="50">
        <v>0</v>
      </c>
      <c r="BB341" s="49">
        <v>2</v>
      </c>
      <c r="BC341" s="50">
        <v>40</v>
      </c>
      <c r="BD341" s="49">
        <v>5</v>
      </c>
      <c r="BE341" s="49"/>
      <c r="BF341" s="49"/>
      <c r="BG341" s="49"/>
      <c r="BH341" s="49"/>
      <c r="BI341" s="49"/>
      <c r="BJ341" s="49"/>
      <c r="BK341" s="111" t="s">
        <v>3710</v>
      </c>
      <c r="BL341" s="111" t="s">
        <v>3710</v>
      </c>
      <c r="BM341" s="111" t="s">
        <v>4157</v>
      </c>
      <c r="BN341" s="111" t="s">
        <v>4157</v>
      </c>
      <c r="BO341" s="2"/>
      <c r="BP341" s="3"/>
      <c r="BQ341" s="3"/>
      <c r="BR341" s="3"/>
      <c r="BS341" s="3"/>
    </row>
    <row r="342" spans="1:71" ht="15">
      <c r="A342" s="65" t="s">
        <v>676</v>
      </c>
      <c r="B342" s="66"/>
      <c r="C342" s="66"/>
      <c r="D342" s="67">
        <v>150</v>
      </c>
      <c r="E342" s="69"/>
      <c r="F342" s="103" t="str">
        <f>HYPERLINK("https://yt3.ggpht.com/ytc/AKedOLRnzsxCH5PzvuCF_IMSqspTGcFzVtDm9kzTC4AS=s88-c-k-c0x00ffffff-no-rj")</f>
        <v>https://yt3.ggpht.com/ytc/AKedOLRnzsxCH5PzvuCF_IMSqspTGcFzVtDm9kzTC4AS=s88-c-k-c0x00ffffff-no-rj</v>
      </c>
      <c r="G342" s="66"/>
      <c r="H342" s="70" t="s">
        <v>1743</v>
      </c>
      <c r="I342" s="71"/>
      <c r="J342" s="71" t="s">
        <v>159</v>
      </c>
      <c r="K342" s="70" t="s">
        <v>1743</v>
      </c>
      <c r="L342" s="74">
        <v>1</v>
      </c>
      <c r="M342" s="75">
        <v>4683.34521484375</v>
      </c>
      <c r="N342" s="75">
        <v>325.0407409667969</v>
      </c>
      <c r="O342" s="76"/>
      <c r="P342" s="77"/>
      <c r="Q342" s="77"/>
      <c r="R342" s="89"/>
      <c r="S342" s="49">
        <v>0</v>
      </c>
      <c r="T342" s="49">
        <v>1</v>
      </c>
      <c r="U342" s="50">
        <v>0</v>
      </c>
      <c r="V342" s="50">
        <v>0.478122</v>
      </c>
      <c r="W342" s="50">
        <v>0.03471</v>
      </c>
      <c r="X342" s="50">
        <v>0.001935</v>
      </c>
      <c r="Y342" s="50">
        <v>0</v>
      </c>
      <c r="Z342" s="50">
        <v>0</v>
      </c>
      <c r="AA342" s="72">
        <v>342</v>
      </c>
      <c r="AB342" s="72"/>
      <c r="AC342" s="73"/>
      <c r="AD342" s="80" t="s">
        <v>1743</v>
      </c>
      <c r="AE342" s="80"/>
      <c r="AF342" s="80"/>
      <c r="AG342" s="80"/>
      <c r="AH342" s="80"/>
      <c r="AI342" s="80"/>
      <c r="AJ342" s="87">
        <v>43028.19358796296</v>
      </c>
      <c r="AK342" s="85" t="str">
        <f>HYPERLINK("https://yt3.ggpht.com/ytc/AKedOLRnzsxCH5PzvuCF_IMSqspTGcFzVtDm9kzTC4AS=s88-c-k-c0x00ffffff-no-rj")</f>
        <v>https://yt3.ggpht.com/ytc/AKedOLRnzsxCH5PzvuCF_IMSqspTGcFzVtDm9kzTC4AS=s88-c-k-c0x00ffffff-no-rj</v>
      </c>
      <c r="AL342" s="80">
        <v>0</v>
      </c>
      <c r="AM342" s="80">
        <v>0</v>
      </c>
      <c r="AN342" s="80">
        <v>0</v>
      </c>
      <c r="AO342" s="80" t="b">
        <v>0</v>
      </c>
      <c r="AP342" s="80">
        <v>0</v>
      </c>
      <c r="AQ342" s="80"/>
      <c r="AR342" s="80"/>
      <c r="AS342" s="80" t="s">
        <v>2085</v>
      </c>
      <c r="AT342" s="85" t="str">
        <f>HYPERLINK("https://www.youtube.com/channel/UCRnUIJVZ6DOmqnLf-kDH72g")</f>
        <v>https://www.youtube.com/channel/UCRnUIJVZ6DOmqnLf-kDH72g</v>
      </c>
      <c r="AU342" s="80" t="str">
        <f>REPLACE(INDEX(GroupVertices[Group],MATCH(Vertices[[#This Row],[Vertex]],GroupVertices[Vertex],0)),1,1,"")</f>
        <v>1</v>
      </c>
      <c r="AV342" s="49">
        <v>0</v>
      </c>
      <c r="AW342" s="50">
        <v>0</v>
      </c>
      <c r="AX342" s="49">
        <v>0</v>
      </c>
      <c r="AY342" s="50">
        <v>0</v>
      </c>
      <c r="AZ342" s="49">
        <v>0</v>
      </c>
      <c r="BA342" s="50">
        <v>0</v>
      </c>
      <c r="BB342" s="49">
        <v>16</v>
      </c>
      <c r="BC342" s="50">
        <v>100</v>
      </c>
      <c r="BD342" s="49">
        <v>16</v>
      </c>
      <c r="BE342" s="49"/>
      <c r="BF342" s="49"/>
      <c r="BG342" s="49"/>
      <c r="BH342" s="49"/>
      <c r="BI342" s="49"/>
      <c r="BJ342" s="49"/>
      <c r="BK342" s="111" t="s">
        <v>3711</v>
      </c>
      <c r="BL342" s="111" t="s">
        <v>3711</v>
      </c>
      <c r="BM342" s="111" t="s">
        <v>4158</v>
      </c>
      <c r="BN342" s="111" t="s">
        <v>4158</v>
      </c>
      <c r="BO342" s="2"/>
      <c r="BP342" s="3"/>
      <c r="BQ342" s="3"/>
      <c r="BR342" s="3"/>
      <c r="BS342" s="3"/>
    </row>
    <row r="343" spans="1:71" ht="15">
      <c r="A343" s="65" t="s">
        <v>677</v>
      </c>
      <c r="B343" s="66"/>
      <c r="C343" s="66"/>
      <c r="D343" s="67">
        <v>150</v>
      </c>
      <c r="E343" s="69"/>
      <c r="F343" s="103" t="str">
        <f>HYPERLINK("https://yt3.ggpht.com/ytc/AKedOLQ806IseUd0lFHaK5-tpm3svtjGzwQWz7qmOpIR=s88-c-k-c0x00ffffff-no-rj")</f>
        <v>https://yt3.ggpht.com/ytc/AKedOLQ806IseUd0lFHaK5-tpm3svtjGzwQWz7qmOpIR=s88-c-k-c0x00ffffff-no-rj</v>
      </c>
      <c r="G343" s="66"/>
      <c r="H343" s="70" t="s">
        <v>1744</v>
      </c>
      <c r="I343" s="71"/>
      <c r="J343" s="71" t="s">
        <v>159</v>
      </c>
      <c r="K343" s="70" t="s">
        <v>1744</v>
      </c>
      <c r="L343" s="74">
        <v>1</v>
      </c>
      <c r="M343" s="75">
        <v>2938.998291015625</v>
      </c>
      <c r="N343" s="75">
        <v>7100.2138671875</v>
      </c>
      <c r="O343" s="76"/>
      <c r="P343" s="77"/>
      <c r="Q343" s="77"/>
      <c r="R343" s="89"/>
      <c r="S343" s="49">
        <v>0</v>
      </c>
      <c r="T343" s="49">
        <v>1</v>
      </c>
      <c r="U343" s="50">
        <v>0</v>
      </c>
      <c r="V343" s="50">
        <v>0.478122</v>
      </c>
      <c r="W343" s="50">
        <v>0.03471</v>
      </c>
      <c r="X343" s="50">
        <v>0.001935</v>
      </c>
      <c r="Y343" s="50">
        <v>0</v>
      </c>
      <c r="Z343" s="50">
        <v>0</v>
      </c>
      <c r="AA343" s="72">
        <v>343</v>
      </c>
      <c r="AB343" s="72"/>
      <c r="AC343" s="73"/>
      <c r="AD343" s="80" t="s">
        <v>1744</v>
      </c>
      <c r="AE343" s="80"/>
      <c r="AF343" s="80"/>
      <c r="AG343" s="80"/>
      <c r="AH343" s="80"/>
      <c r="AI343" s="80"/>
      <c r="AJ343" s="87">
        <v>40817.86556712963</v>
      </c>
      <c r="AK343" s="85" t="str">
        <f>HYPERLINK("https://yt3.ggpht.com/ytc/AKedOLQ806IseUd0lFHaK5-tpm3svtjGzwQWz7qmOpIR=s88-c-k-c0x00ffffff-no-rj")</f>
        <v>https://yt3.ggpht.com/ytc/AKedOLQ806IseUd0lFHaK5-tpm3svtjGzwQWz7qmOpIR=s88-c-k-c0x00ffffff-no-rj</v>
      </c>
      <c r="AL343" s="80">
        <v>362</v>
      </c>
      <c r="AM343" s="80">
        <v>0</v>
      </c>
      <c r="AN343" s="80">
        <v>11</v>
      </c>
      <c r="AO343" s="80" t="b">
        <v>0</v>
      </c>
      <c r="AP343" s="80">
        <v>3</v>
      </c>
      <c r="AQ343" s="80"/>
      <c r="AR343" s="80"/>
      <c r="AS343" s="80" t="s">
        <v>2085</v>
      </c>
      <c r="AT343" s="85" t="str">
        <f>HYPERLINK("https://www.youtube.com/channel/UCYSDe3eNHFL6qqq5368Niig")</f>
        <v>https://www.youtube.com/channel/UCYSDe3eNHFL6qqq5368Niig</v>
      </c>
      <c r="AU343" s="80" t="str">
        <f>REPLACE(INDEX(GroupVertices[Group],MATCH(Vertices[[#This Row],[Vertex]],GroupVertices[Vertex],0)),1,1,"")</f>
        <v>1</v>
      </c>
      <c r="AV343" s="49">
        <v>6</v>
      </c>
      <c r="AW343" s="50">
        <v>5.9405940594059405</v>
      </c>
      <c r="AX343" s="49">
        <v>0</v>
      </c>
      <c r="AY343" s="50">
        <v>0</v>
      </c>
      <c r="AZ343" s="49">
        <v>0</v>
      </c>
      <c r="BA343" s="50">
        <v>0</v>
      </c>
      <c r="BB343" s="49">
        <v>95</v>
      </c>
      <c r="BC343" s="50">
        <v>94.05940594059406</v>
      </c>
      <c r="BD343" s="49">
        <v>101</v>
      </c>
      <c r="BE343" s="49" t="s">
        <v>3230</v>
      </c>
      <c r="BF343" s="49" t="s">
        <v>3230</v>
      </c>
      <c r="BG343" s="49" t="s">
        <v>1922</v>
      </c>
      <c r="BH343" s="49" t="s">
        <v>1922</v>
      </c>
      <c r="BI343" s="49"/>
      <c r="BJ343" s="49"/>
      <c r="BK343" s="111" t="s">
        <v>3712</v>
      </c>
      <c r="BL343" s="111" t="s">
        <v>3712</v>
      </c>
      <c r="BM343" s="111" t="s">
        <v>4159</v>
      </c>
      <c r="BN343" s="111" t="s">
        <v>4159</v>
      </c>
      <c r="BO343" s="2"/>
      <c r="BP343" s="3"/>
      <c r="BQ343" s="3"/>
      <c r="BR343" s="3"/>
      <c r="BS343" s="3"/>
    </row>
    <row r="344" spans="1:71" ht="15">
      <c r="A344" s="65" t="s">
        <v>678</v>
      </c>
      <c r="B344" s="66"/>
      <c r="C344" s="66"/>
      <c r="D344" s="67">
        <v>150</v>
      </c>
      <c r="E344" s="69"/>
      <c r="F344" s="103" t="str">
        <f>HYPERLINK("https://yt3.ggpht.com/ytc/AKedOLR6nzpOSpCoH01Qy388y4YCxZ_gokAnUOs2NUX9=s88-c-k-c0x00ffffff-no-rj")</f>
        <v>https://yt3.ggpht.com/ytc/AKedOLR6nzpOSpCoH01Qy388y4YCxZ_gokAnUOs2NUX9=s88-c-k-c0x00ffffff-no-rj</v>
      </c>
      <c r="G344" s="66"/>
      <c r="H344" s="70" t="s">
        <v>1745</v>
      </c>
      <c r="I344" s="71"/>
      <c r="J344" s="71" t="s">
        <v>159</v>
      </c>
      <c r="K344" s="70" t="s">
        <v>1745</v>
      </c>
      <c r="L344" s="74">
        <v>1</v>
      </c>
      <c r="M344" s="75">
        <v>5866.06640625</v>
      </c>
      <c r="N344" s="75">
        <v>9267.498046875</v>
      </c>
      <c r="O344" s="76"/>
      <c r="P344" s="77"/>
      <c r="Q344" s="77"/>
      <c r="R344" s="89"/>
      <c r="S344" s="49">
        <v>0</v>
      </c>
      <c r="T344" s="49">
        <v>1</v>
      </c>
      <c r="U344" s="50">
        <v>0</v>
      </c>
      <c r="V344" s="50">
        <v>0.478122</v>
      </c>
      <c r="W344" s="50">
        <v>0.03471</v>
      </c>
      <c r="X344" s="50">
        <v>0.001935</v>
      </c>
      <c r="Y344" s="50">
        <v>0</v>
      </c>
      <c r="Z344" s="50">
        <v>0</v>
      </c>
      <c r="AA344" s="72">
        <v>344</v>
      </c>
      <c r="AB344" s="72"/>
      <c r="AC344" s="73"/>
      <c r="AD344" s="80" t="s">
        <v>1745</v>
      </c>
      <c r="AE344" s="80" t="s">
        <v>2027</v>
      </c>
      <c r="AF344" s="80"/>
      <c r="AG344" s="80"/>
      <c r="AH344" s="80"/>
      <c r="AI344" s="80"/>
      <c r="AJ344" s="87">
        <v>38839.29204861111</v>
      </c>
      <c r="AK344" s="85" t="str">
        <f>HYPERLINK("https://yt3.ggpht.com/ytc/AKedOLR6nzpOSpCoH01Qy388y4YCxZ_gokAnUOs2NUX9=s88-c-k-c0x00ffffff-no-rj")</f>
        <v>https://yt3.ggpht.com/ytc/AKedOLR6nzpOSpCoH01Qy388y4YCxZ_gokAnUOs2NUX9=s88-c-k-c0x00ffffff-no-rj</v>
      </c>
      <c r="AL344" s="80">
        <v>79973</v>
      </c>
      <c r="AM344" s="80">
        <v>0</v>
      </c>
      <c r="AN344" s="80">
        <v>56</v>
      </c>
      <c r="AO344" s="80" t="b">
        <v>0</v>
      </c>
      <c r="AP344" s="80">
        <v>33</v>
      </c>
      <c r="AQ344" s="80"/>
      <c r="AR344" s="80"/>
      <c r="AS344" s="80" t="s">
        <v>2085</v>
      </c>
      <c r="AT344" s="85" t="str">
        <f>HYPERLINK("https://www.youtube.com/channel/UCbM82w6bCQYpP31QHuSJfTw")</f>
        <v>https://www.youtube.com/channel/UCbM82w6bCQYpP31QHuSJfTw</v>
      </c>
      <c r="AU344" s="80" t="str">
        <f>REPLACE(INDEX(GroupVertices[Group],MATCH(Vertices[[#This Row],[Vertex]],GroupVertices[Vertex],0)),1,1,"")</f>
        <v>1</v>
      </c>
      <c r="AV344" s="49">
        <v>0</v>
      </c>
      <c r="AW344" s="50">
        <v>0</v>
      </c>
      <c r="AX344" s="49">
        <v>0</v>
      </c>
      <c r="AY344" s="50">
        <v>0</v>
      </c>
      <c r="AZ344" s="49">
        <v>0</v>
      </c>
      <c r="BA344" s="50">
        <v>0</v>
      </c>
      <c r="BB344" s="49">
        <v>23</v>
      </c>
      <c r="BC344" s="50">
        <v>100</v>
      </c>
      <c r="BD344" s="49">
        <v>23</v>
      </c>
      <c r="BE344" s="49" t="s">
        <v>3229</v>
      </c>
      <c r="BF344" s="49" t="s">
        <v>3229</v>
      </c>
      <c r="BG344" s="49" t="s">
        <v>1922</v>
      </c>
      <c r="BH344" s="49" t="s">
        <v>1922</v>
      </c>
      <c r="BI344" s="49"/>
      <c r="BJ344" s="49"/>
      <c r="BK344" s="111" t="s">
        <v>3713</v>
      </c>
      <c r="BL344" s="111" t="s">
        <v>3713</v>
      </c>
      <c r="BM344" s="111" t="s">
        <v>4160</v>
      </c>
      <c r="BN344" s="111" t="s">
        <v>4160</v>
      </c>
      <c r="BO344" s="2"/>
      <c r="BP344" s="3"/>
      <c r="BQ344" s="3"/>
      <c r="BR344" s="3"/>
      <c r="BS344" s="3"/>
    </row>
    <row r="345" spans="1:71" ht="15">
      <c r="A345" s="65" t="s">
        <v>679</v>
      </c>
      <c r="B345" s="66"/>
      <c r="C345" s="66"/>
      <c r="D345" s="67">
        <v>150</v>
      </c>
      <c r="E345" s="69"/>
      <c r="F345" s="103" t="str">
        <f>HYPERLINK("https://yt3.ggpht.com/ytc/AKedOLSm0W34NBOEZuvvXGs0TBZ3RJX_ddxauA0Iz28dyQ=s88-c-k-c0x00ffffff-no-rj")</f>
        <v>https://yt3.ggpht.com/ytc/AKedOLSm0W34NBOEZuvvXGs0TBZ3RJX_ddxauA0Iz28dyQ=s88-c-k-c0x00ffffff-no-rj</v>
      </c>
      <c r="G345" s="66"/>
      <c r="H345" s="70" t="s">
        <v>1746</v>
      </c>
      <c r="I345" s="71"/>
      <c r="J345" s="71" t="s">
        <v>159</v>
      </c>
      <c r="K345" s="70" t="s">
        <v>1746</v>
      </c>
      <c r="L345" s="74">
        <v>1</v>
      </c>
      <c r="M345" s="75">
        <v>1343.1246337890625</v>
      </c>
      <c r="N345" s="75">
        <v>3664.17138671875</v>
      </c>
      <c r="O345" s="76"/>
      <c r="P345" s="77"/>
      <c r="Q345" s="77"/>
      <c r="R345" s="89"/>
      <c r="S345" s="49">
        <v>0</v>
      </c>
      <c r="T345" s="49">
        <v>1</v>
      </c>
      <c r="U345" s="50">
        <v>0</v>
      </c>
      <c r="V345" s="50">
        <v>0.478122</v>
      </c>
      <c r="W345" s="50">
        <v>0.03471</v>
      </c>
      <c r="X345" s="50">
        <v>0.001935</v>
      </c>
      <c r="Y345" s="50">
        <v>0</v>
      </c>
      <c r="Z345" s="50">
        <v>0</v>
      </c>
      <c r="AA345" s="72">
        <v>345</v>
      </c>
      <c r="AB345" s="72"/>
      <c r="AC345" s="73"/>
      <c r="AD345" s="80" t="s">
        <v>1746</v>
      </c>
      <c r="AE345" s="80"/>
      <c r="AF345" s="80"/>
      <c r="AG345" s="80"/>
      <c r="AH345" s="80"/>
      <c r="AI345" s="80"/>
      <c r="AJ345" s="87">
        <v>43148.19719907407</v>
      </c>
      <c r="AK345" s="85" t="str">
        <f>HYPERLINK("https://yt3.ggpht.com/ytc/AKedOLSm0W34NBOEZuvvXGs0TBZ3RJX_ddxauA0Iz28dyQ=s88-c-k-c0x00ffffff-no-rj")</f>
        <v>https://yt3.ggpht.com/ytc/AKedOLSm0W34NBOEZuvvXGs0TBZ3RJX_ddxauA0Iz28dyQ=s88-c-k-c0x00ffffff-no-rj</v>
      </c>
      <c r="AL345" s="80">
        <v>84</v>
      </c>
      <c r="AM345" s="80">
        <v>0</v>
      </c>
      <c r="AN345" s="80">
        <v>6</v>
      </c>
      <c r="AO345" s="80" t="b">
        <v>0</v>
      </c>
      <c r="AP345" s="80">
        <v>2</v>
      </c>
      <c r="AQ345" s="80"/>
      <c r="AR345" s="80"/>
      <c r="AS345" s="80" t="s">
        <v>2085</v>
      </c>
      <c r="AT345" s="85" t="str">
        <f>HYPERLINK("https://www.youtube.com/channel/UC36wQpC1Q9SwSajBrHQSzJw")</f>
        <v>https://www.youtube.com/channel/UC36wQpC1Q9SwSajBrHQSzJw</v>
      </c>
      <c r="AU345" s="80" t="str">
        <f>REPLACE(INDEX(GroupVertices[Group],MATCH(Vertices[[#This Row],[Vertex]],GroupVertices[Vertex],0)),1,1,"")</f>
        <v>1</v>
      </c>
      <c r="AV345" s="49">
        <v>1</v>
      </c>
      <c r="AW345" s="50">
        <v>11.11111111111111</v>
      </c>
      <c r="AX345" s="49">
        <v>0</v>
      </c>
      <c r="AY345" s="50">
        <v>0</v>
      </c>
      <c r="AZ345" s="49">
        <v>0</v>
      </c>
      <c r="BA345" s="50">
        <v>0</v>
      </c>
      <c r="BB345" s="49">
        <v>8</v>
      </c>
      <c r="BC345" s="50">
        <v>88.88888888888889</v>
      </c>
      <c r="BD345" s="49">
        <v>9</v>
      </c>
      <c r="BE345" s="49"/>
      <c r="BF345" s="49"/>
      <c r="BG345" s="49"/>
      <c r="BH345" s="49"/>
      <c r="BI345" s="49"/>
      <c r="BJ345" s="49"/>
      <c r="BK345" s="111" t="s">
        <v>3714</v>
      </c>
      <c r="BL345" s="111" t="s">
        <v>3714</v>
      </c>
      <c r="BM345" s="111" t="s">
        <v>4161</v>
      </c>
      <c r="BN345" s="111" t="s">
        <v>4161</v>
      </c>
      <c r="BO345" s="2"/>
      <c r="BP345" s="3"/>
      <c r="BQ345" s="3"/>
      <c r="BR345" s="3"/>
      <c r="BS345" s="3"/>
    </row>
    <row r="346" spans="1:71" ht="15">
      <c r="A346" s="65" t="s">
        <v>680</v>
      </c>
      <c r="B346" s="66"/>
      <c r="C346" s="66"/>
      <c r="D346" s="67">
        <v>150</v>
      </c>
      <c r="E346" s="69"/>
      <c r="F346" s="103" t="str">
        <f>HYPERLINK("https://yt3.ggpht.com/ytc/AKedOLRrBLr5wCjwz_FcnCweq52pBBd49DxLMzSeBE4k=s88-c-k-c0x00ffffff-no-rj")</f>
        <v>https://yt3.ggpht.com/ytc/AKedOLRrBLr5wCjwz_FcnCweq52pBBd49DxLMzSeBE4k=s88-c-k-c0x00ffffff-no-rj</v>
      </c>
      <c r="G346" s="66"/>
      <c r="H346" s="70" t="s">
        <v>1747</v>
      </c>
      <c r="I346" s="71"/>
      <c r="J346" s="71" t="s">
        <v>159</v>
      </c>
      <c r="K346" s="70" t="s">
        <v>1747</v>
      </c>
      <c r="L346" s="74">
        <v>1</v>
      </c>
      <c r="M346" s="75">
        <v>4988.5751953125</v>
      </c>
      <c r="N346" s="75">
        <v>1613.7733154296875</v>
      </c>
      <c r="O346" s="76"/>
      <c r="P346" s="77"/>
      <c r="Q346" s="77"/>
      <c r="R346" s="89"/>
      <c r="S346" s="49">
        <v>0</v>
      </c>
      <c r="T346" s="49">
        <v>1</v>
      </c>
      <c r="U346" s="50">
        <v>0</v>
      </c>
      <c r="V346" s="50">
        <v>0.478122</v>
      </c>
      <c r="W346" s="50">
        <v>0.03471</v>
      </c>
      <c r="X346" s="50">
        <v>0.001935</v>
      </c>
      <c r="Y346" s="50">
        <v>0</v>
      </c>
      <c r="Z346" s="50">
        <v>0</v>
      </c>
      <c r="AA346" s="72">
        <v>346</v>
      </c>
      <c r="AB346" s="72"/>
      <c r="AC346" s="73"/>
      <c r="AD346" s="80" t="s">
        <v>1747</v>
      </c>
      <c r="AE346" s="80"/>
      <c r="AF346" s="80"/>
      <c r="AG346" s="80"/>
      <c r="AH346" s="80"/>
      <c r="AI346" s="80"/>
      <c r="AJ346" s="87">
        <v>40592.019837962966</v>
      </c>
      <c r="AK346" s="85" t="str">
        <f>HYPERLINK("https://yt3.ggpht.com/ytc/AKedOLRrBLr5wCjwz_FcnCweq52pBBd49DxLMzSeBE4k=s88-c-k-c0x00ffffff-no-rj")</f>
        <v>https://yt3.ggpht.com/ytc/AKedOLRrBLr5wCjwz_FcnCweq52pBBd49DxLMzSeBE4k=s88-c-k-c0x00ffffff-no-rj</v>
      </c>
      <c r="AL346" s="80">
        <v>0</v>
      </c>
      <c r="AM346" s="80">
        <v>0</v>
      </c>
      <c r="AN346" s="80">
        <v>2</v>
      </c>
      <c r="AO346" s="80" t="b">
        <v>0</v>
      </c>
      <c r="AP346" s="80">
        <v>0</v>
      </c>
      <c r="AQ346" s="80"/>
      <c r="AR346" s="80"/>
      <c r="AS346" s="80" t="s">
        <v>2085</v>
      </c>
      <c r="AT346" s="85" t="str">
        <f>HYPERLINK("https://www.youtube.com/channel/UCfhMIRcf8JtZXrcwoyPpEjg")</f>
        <v>https://www.youtube.com/channel/UCfhMIRcf8JtZXrcwoyPpEjg</v>
      </c>
      <c r="AU346" s="80" t="str">
        <f>REPLACE(INDEX(GroupVertices[Group],MATCH(Vertices[[#This Row],[Vertex]],GroupVertices[Vertex],0)),1,1,"")</f>
        <v>1</v>
      </c>
      <c r="AV346" s="49">
        <v>1</v>
      </c>
      <c r="AW346" s="50">
        <v>7.6923076923076925</v>
      </c>
      <c r="AX346" s="49">
        <v>1</v>
      </c>
      <c r="AY346" s="50">
        <v>7.6923076923076925</v>
      </c>
      <c r="AZ346" s="49">
        <v>0</v>
      </c>
      <c r="BA346" s="50">
        <v>0</v>
      </c>
      <c r="BB346" s="49">
        <v>11</v>
      </c>
      <c r="BC346" s="50">
        <v>84.61538461538461</v>
      </c>
      <c r="BD346" s="49">
        <v>13</v>
      </c>
      <c r="BE346" s="49"/>
      <c r="BF346" s="49"/>
      <c r="BG346" s="49"/>
      <c r="BH346" s="49"/>
      <c r="BI346" s="49"/>
      <c r="BJ346" s="49"/>
      <c r="BK346" s="111" t="s">
        <v>3715</v>
      </c>
      <c r="BL346" s="111" t="s">
        <v>3715</v>
      </c>
      <c r="BM346" s="111" t="s">
        <v>4162</v>
      </c>
      <c r="BN346" s="111" t="s">
        <v>4162</v>
      </c>
      <c r="BO346" s="2"/>
      <c r="BP346" s="3"/>
      <c r="BQ346" s="3"/>
      <c r="BR346" s="3"/>
      <c r="BS346" s="3"/>
    </row>
    <row r="347" spans="1:71" ht="15">
      <c r="A347" s="65" t="s">
        <v>681</v>
      </c>
      <c r="B347" s="66"/>
      <c r="C347" s="66"/>
      <c r="D347" s="67">
        <v>150</v>
      </c>
      <c r="E347" s="69"/>
      <c r="F347" s="103" t="str">
        <f>HYPERLINK("https://yt3.ggpht.com/ytc/AKedOLTVTAeg4tN-lsxzjqi6_Em2diSS_Uh3RqLEMAyH=s88-c-k-c0x00ffffff-no-rj")</f>
        <v>https://yt3.ggpht.com/ytc/AKedOLTVTAeg4tN-lsxzjqi6_Em2diSS_Uh3RqLEMAyH=s88-c-k-c0x00ffffff-no-rj</v>
      </c>
      <c r="G347" s="66"/>
      <c r="H347" s="70" t="s">
        <v>1748</v>
      </c>
      <c r="I347" s="71"/>
      <c r="J347" s="71" t="s">
        <v>159</v>
      </c>
      <c r="K347" s="70" t="s">
        <v>1748</v>
      </c>
      <c r="L347" s="74">
        <v>1</v>
      </c>
      <c r="M347" s="75">
        <v>2708.276611328125</v>
      </c>
      <c r="N347" s="75">
        <v>6455.18017578125</v>
      </c>
      <c r="O347" s="76"/>
      <c r="P347" s="77"/>
      <c r="Q347" s="77"/>
      <c r="R347" s="89"/>
      <c r="S347" s="49">
        <v>0</v>
      </c>
      <c r="T347" s="49">
        <v>1</v>
      </c>
      <c r="U347" s="50">
        <v>0</v>
      </c>
      <c r="V347" s="50">
        <v>0.478122</v>
      </c>
      <c r="W347" s="50">
        <v>0.03471</v>
      </c>
      <c r="X347" s="50">
        <v>0.001935</v>
      </c>
      <c r="Y347" s="50">
        <v>0</v>
      </c>
      <c r="Z347" s="50">
        <v>0</v>
      </c>
      <c r="AA347" s="72">
        <v>347</v>
      </c>
      <c r="AB347" s="72"/>
      <c r="AC347" s="73"/>
      <c r="AD347" s="80" t="s">
        <v>1748</v>
      </c>
      <c r="AE347" s="80"/>
      <c r="AF347" s="80"/>
      <c r="AG347" s="80"/>
      <c r="AH347" s="80"/>
      <c r="AI347" s="80"/>
      <c r="AJ347" s="87">
        <v>41152.00204861111</v>
      </c>
      <c r="AK347" s="85" t="str">
        <f>HYPERLINK("https://yt3.ggpht.com/ytc/AKedOLTVTAeg4tN-lsxzjqi6_Em2diSS_Uh3RqLEMAyH=s88-c-k-c0x00ffffff-no-rj")</f>
        <v>https://yt3.ggpht.com/ytc/AKedOLTVTAeg4tN-lsxzjqi6_Em2diSS_Uh3RqLEMAyH=s88-c-k-c0x00ffffff-no-rj</v>
      </c>
      <c r="AL347" s="80">
        <v>50199</v>
      </c>
      <c r="AM347" s="80">
        <v>0</v>
      </c>
      <c r="AN347" s="80">
        <v>105</v>
      </c>
      <c r="AO347" s="80" t="b">
        <v>0</v>
      </c>
      <c r="AP347" s="80">
        <v>6</v>
      </c>
      <c r="AQ347" s="80"/>
      <c r="AR347" s="80"/>
      <c r="AS347" s="80" t="s">
        <v>2085</v>
      </c>
      <c r="AT347" s="85" t="str">
        <f>HYPERLINK("https://www.youtube.com/channel/UC9fJsqLvoU6cFvofkzPfgZQ")</f>
        <v>https://www.youtube.com/channel/UC9fJsqLvoU6cFvofkzPfgZQ</v>
      </c>
      <c r="AU347" s="80" t="str">
        <f>REPLACE(INDEX(GroupVertices[Group],MATCH(Vertices[[#This Row],[Vertex]],GroupVertices[Vertex],0)),1,1,"")</f>
        <v>1</v>
      </c>
      <c r="AV347" s="49">
        <v>2</v>
      </c>
      <c r="AW347" s="50">
        <v>50</v>
      </c>
      <c r="AX347" s="49">
        <v>0</v>
      </c>
      <c r="AY347" s="50">
        <v>0</v>
      </c>
      <c r="AZ347" s="49">
        <v>0</v>
      </c>
      <c r="BA347" s="50">
        <v>0</v>
      </c>
      <c r="BB347" s="49">
        <v>2</v>
      </c>
      <c r="BC347" s="50">
        <v>50</v>
      </c>
      <c r="BD347" s="49">
        <v>4</v>
      </c>
      <c r="BE347" s="49"/>
      <c r="BF347" s="49"/>
      <c r="BG347" s="49"/>
      <c r="BH347" s="49"/>
      <c r="BI347" s="49"/>
      <c r="BJ347" s="49"/>
      <c r="BK347" s="111" t="s">
        <v>3716</v>
      </c>
      <c r="BL347" s="111" t="s">
        <v>3716</v>
      </c>
      <c r="BM347" s="111" t="s">
        <v>4163</v>
      </c>
      <c r="BN347" s="111" t="s">
        <v>4163</v>
      </c>
      <c r="BO347" s="2"/>
      <c r="BP347" s="3"/>
      <c r="BQ347" s="3"/>
      <c r="BR347" s="3"/>
      <c r="BS347" s="3"/>
    </row>
    <row r="348" spans="1:71" ht="15">
      <c r="A348" s="65" t="s">
        <v>682</v>
      </c>
      <c r="B348" s="66"/>
      <c r="C348" s="66"/>
      <c r="D348" s="67">
        <v>150</v>
      </c>
      <c r="E348" s="69"/>
      <c r="F348" s="103" t="str">
        <f>HYPERLINK("https://yt3.ggpht.com/ytc/AKedOLT3vU0tflNyvSlDH0JJna7XApCk3pEhgYHaNm_-=s88-c-k-c0x00ffffff-no-rj")</f>
        <v>https://yt3.ggpht.com/ytc/AKedOLT3vU0tflNyvSlDH0JJna7XApCk3pEhgYHaNm_-=s88-c-k-c0x00ffffff-no-rj</v>
      </c>
      <c r="G348" s="66"/>
      <c r="H348" s="70" t="s">
        <v>1749</v>
      </c>
      <c r="I348" s="71"/>
      <c r="J348" s="71" t="s">
        <v>159</v>
      </c>
      <c r="K348" s="70" t="s">
        <v>1749</v>
      </c>
      <c r="L348" s="74">
        <v>1</v>
      </c>
      <c r="M348" s="75">
        <v>4292.6728515625</v>
      </c>
      <c r="N348" s="75">
        <v>7359.4794921875</v>
      </c>
      <c r="O348" s="76"/>
      <c r="P348" s="77"/>
      <c r="Q348" s="77"/>
      <c r="R348" s="89"/>
      <c r="S348" s="49">
        <v>0</v>
      </c>
      <c r="T348" s="49">
        <v>1</v>
      </c>
      <c r="U348" s="50">
        <v>0</v>
      </c>
      <c r="V348" s="50">
        <v>0.478122</v>
      </c>
      <c r="W348" s="50">
        <v>0.03471</v>
      </c>
      <c r="X348" s="50">
        <v>0.001935</v>
      </c>
      <c r="Y348" s="50">
        <v>0</v>
      </c>
      <c r="Z348" s="50">
        <v>0</v>
      </c>
      <c r="AA348" s="72">
        <v>348</v>
      </c>
      <c r="AB348" s="72"/>
      <c r="AC348" s="73"/>
      <c r="AD348" s="80" t="s">
        <v>1749</v>
      </c>
      <c r="AE348" s="80"/>
      <c r="AF348" s="80"/>
      <c r="AG348" s="80"/>
      <c r="AH348" s="80"/>
      <c r="AI348" s="80"/>
      <c r="AJ348" s="87">
        <v>41818.65773148148</v>
      </c>
      <c r="AK348" s="85" t="str">
        <f>HYPERLINK("https://yt3.ggpht.com/ytc/AKedOLT3vU0tflNyvSlDH0JJna7XApCk3pEhgYHaNm_-=s88-c-k-c0x00ffffff-no-rj")</f>
        <v>https://yt3.ggpht.com/ytc/AKedOLT3vU0tflNyvSlDH0JJna7XApCk3pEhgYHaNm_-=s88-c-k-c0x00ffffff-no-rj</v>
      </c>
      <c r="AL348" s="80">
        <v>0</v>
      </c>
      <c r="AM348" s="80">
        <v>0</v>
      </c>
      <c r="AN348" s="80">
        <v>0</v>
      </c>
      <c r="AO348" s="80" t="b">
        <v>0</v>
      </c>
      <c r="AP348" s="80">
        <v>0</v>
      </c>
      <c r="AQ348" s="80"/>
      <c r="AR348" s="80"/>
      <c r="AS348" s="80" t="s">
        <v>2085</v>
      </c>
      <c r="AT348" s="85" t="str">
        <f>HYPERLINK("https://www.youtube.com/channel/UCu7t9a69EsHoff5-gNTZfsw")</f>
        <v>https://www.youtube.com/channel/UCu7t9a69EsHoff5-gNTZfsw</v>
      </c>
      <c r="AU348" s="80" t="str">
        <f>REPLACE(INDEX(GroupVertices[Group],MATCH(Vertices[[#This Row],[Vertex]],GroupVertices[Vertex],0)),1,1,"")</f>
        <v>1</v>
      </c>
      <c r="AV348" s="49">
        <v>2</v>
      </c>
      <c r="AW348" s="50">
        <v>4.25531914893617</v>
      </c>
      <c r="AX348" s="49">
        <v>1</v>
      </c>
      <c r="AY348" s="50">
        <v>2.127659574468085</v>
      </c>
      <c r="AZ348" s="49">
        <v>0</v>
      </c>
      <c r="BA348" s="50">
        <v>0</v>
      </c>
      <c r="BB348" s="49">
        <v>44</v>
      </c>
      <c r="BC348" s="50">
        <v>93.61702127659575</v>
      </c>
      <c r="BD348" s="49">
        <v>47</v>
      </c>
      <c r="BE348" s="49"/>
      <c r="BF348" s="49"/>
      <c r="BG348" s="49"/>
      <c r="BH348" s="49"/>
      <c r="BI348" s="49"/>
      <c r="BJ348" s="49"/>
      <c r="BK348" s="111" t="s">
        <v>3717</v>
      </c>
      <c r="BL348" s="111" t="s">
        <v>3717</v>
      </c>
      <c r="BM348" s="111" t="s">
        <v>4164</v>
      </c>
      <c r="BN348" s="111" t="s">
        <v>4164</v>
      </c>
      <c r="BO348" s="2"/>
      <c r="BP348" s="3"/>
      <c r="BQ348" s="3"/>
      <c r="BR348" s="3"/>
      <c r="BS348" s="3"/>
    </row>
    <row r="349" spans="1:71" ht="15">
      <c r="A349" s="65" t="s">
        <v>683</v>
      </c>
      <c r="B349" s="66"/>
      <c r="C349" s="66"/>
      <c r="D349" s="67">
        <v>150</v>
      </c>
      <c r="E349" s="69"/>
      <c r="F349" s="103" t="str">
        <f>HYPERLINK("https://yt3.ggpht.com/JmGdG9h-Vc_KKhL7_SQdeERvCMQeWPdECgkvAQxbfYEqnOe2T02TWHEHzKnc9Kp6lZhHGQ4xbQ=s88-c-k-c0x00ffffff-no-rj")</f>
        <v>https://yt3.ggpht.com/JmGdG9h-Vc_KKhL7_SQdeERvCMQeWPdECgkvAQxbfYEqnOe2T02TWHEHzKnc9Kp6lZhHGQ4xbQ=s88-c-k-c0x00ffffff-no-rj</v>
      </c>
      <c r="G349" s="66"/>
      <c r="H349" s="70" t="s">
        <v>1750</v>
      </c>
      <c r="I349" s="71"/>
      <c r="J349" s="71" t="s">
        <v>159</v>
      </c>
      <c r="K349" s="70" t="s">
        <v>1750</v>
      </c>
      <c r="L349" s="74">
        <v>1</v>
      </c>
      <c r="M349" s="75">
        <v>3557.524658203125</v>
      </c>
      <c r="N349" s="75">
        <v>1929.6300048828125</v>
      </c>
      <c r="O349" s="76"/>
      <c r="P349" s="77"/>
      <c r="Q349" s="77"/>
      <c r="R349" s="89"/>
      <c r="S349" s="49">
        <v>0</v>
      </c>
      <c r="T349" s="49">
        <v>1</v>
      </c>
      <c r="U349" s="50">
        <v>0</v>
      </c>
      <c r="V349" s="50">
        <v>0.478122</v>
      </c>
      <c r="W349" s="50">
        <v>0.03471</v>
      </c>
      <c r="X349" s="50">
        <v>0.001935</v>
      </c>
      <c r="Y349" s="50">
        <v>0</v>
      </c>
      <c r="Z349" s="50">
        <v>0</v>
      </c>
      <c r="AA349" s="72">
        <v>349</v>
      </c>
      <c r="AB349" s="72"/>
      <c r="AC349" s="73"/>
      <c r="AD349" s="80" t="s">
        <v>1750</v>
      </c>
      <c r="AE349" s="80"/>
      <c r="AF349" s="80"/>
      <c r="AG349" s="80"/>
      <c r="AH349" s="80"/>
      <c r="AI349" s="80"/>
      <c r="AJ349" s="87">
        <v>41950.82509259259</v>
      </c>
      <c r="AK349" s="85" t="str">
        <f>HYPERLINK("https://yt3.ggpht.com/JmGdG9h-Vc_KKhL7_SQdeERvCMQeWPdECgkvAQxbfYEqnOe2T02TWHEHzKnc9Kp6lZhHGQ4xbQ=s88-c-k-c0x00ffffff-no-rj")</f>
        <v>https://yt3.ggpht.com/JmGdG9h-Vc_KKhL7_SQdeERvCMQeWPdECgkvAQxbfYEqnOe2T02TWHEHzKnc9Kp6lZhHGQ4xbQ=s88-c-k-c0x00ffffff-no-rj</v>
      </c>
      <c r="AL349" s="80">
        <v>0</v>
      </c>
      <c r="AM349" s="80">
        <v>0</v>
      </c>
      <c r="AN349" s="80">
        <v>0</v>
      </c>
      <c r="AO349" s="80" t="b">
        <v>0</v>
      </c>
      <c r="AP349" s="80">
        <v>0</v>
      </c>
      <c r="AQ349" s="80"/>
      <c r="AR349" s="80"/>
      <c r="AS349" s="80" t="s">
        <v>2085</v>
      </c>
      <c r="AT349" s="85" t="str">
        <f>HYPERLINK("https://www.youtube.com/channel/UCe-YYZwDoUk1oKCH8-mdN2w")</f>
        <v>https://www.youtube.com/channel/UCe-YYZwDoUk1oKCH8-mdN2w</v>
      </c>
      <c r="AU349" s="80" t="str">
        <f>REPLACE(INDEX(GroupVertices[Group],MATCH(Vertices[[#This Row],[Vertex]],GroupVertices[Vertex],0)),1,1,"")</f>
        <v>1</v>
      </c>
      <c r="AV349" s="49">
        <v>0</v>
      </c>
      <c r="AW349" s="50">
        <v>0</v>
      </c>
      <c r="AX349" s="49">
        <v>0</v>
      </c>
      <c r="AY349" s="50">
        <v>0</v>
      </c>
      <c r="AZ349" s="49">
        <v>0</v>
      </c>
      <c r="BA349" s="50">
        <v>0</v>
      </c>
      <c r="BB349" s="49">
        <v>15</v>
      </c>
      <c r="BC349" s="50">
        <v>100</v>
      </c>
      <c r="BD349" s="49">
        <v>15</v>
      </c>
      <c r="BE349" s="49" t="s">
        <v>3389</v>
      </c>
      <c r="BF349" s="49" t="s">
        <v>3389</v>
      </c>
      <c r="BG349" s="49" t="s">
        <v>1922</v>
      </c>
      <c r="BH349" s="49" t="s">
        <v>1922</v>
      </c>
      <c r="BI349" s="49"/>
      <c r="BJ349" s="49"/>
      <c r="BK349" s="111" t="s">
        <v>3718</v>
      </c>
      <c r="BL349" s="111" t="s">
        <v>3718</v>
      </c>
      <c r="BM349" s="111" t="s">
        <v>4165</v>
      </c>
      <c r="BN349" s="111" t="s">
        <v>4165</v>
      </c>
      <c r="BO349" s="2"/>
      <c r="BP349" s="3"/>
      <c r="BQ349" s="3"/>
      <c r="BR349" s="3"/>
      <c r="BS349" s="3"/>
    </row>
    <row r="350" spans="1:71" ht="15">
      <c r="A350" s="65" t="s">
        <v>684</v>
      </c>
      <c r="B350" s="66"/>
      <c r="C350" s="66"/>
      <c r="D350" s="67">
        <v>150</v>
      </c>
      <c r="E350" s="69"/>
      <c r="F350" s="103" t="str">
        <f>HYPERLINK("https://yt3.ggpht.com/ytc/AKedOLS1rGeNFI_6O6CC1s19M27iW8bX9tkcNS6zXBkwFoM=s88-c-k-c0x00ffffff-no-rj")</f>
        <v>https://yt3.ggpht.com/ytc/AKedOLS1rGeNFI_6O6CC1s19M27iW8bX9tkcNS6zXBkwFoM=s88-c-k-c0x00ffffff-no-rj</v>
      </c>
      <c r="G350" s="66"/>
      <c r="H350" s="70" t="s">
        <v>1751</v>
      </c>
      <c r="I350" s="71"/>
      <c r="J350" s="71" t="s">
        <v>159</v>
      </c>
      <c r="K350" s="70" t="s">
        <v>1751</v>
      </c>
      <c r="L350" s="74">
        <v>1</v>
      </c>
      <c r="M350" s="75">
        <v>108.59500885009766</v>
      </c>
      <c r="N350" s="75">
        <v>5460.82666015625</v>
      </c>
      <c r="O350" s="76"/>
      <c r="P350" s="77"/>
      <c r="Q350" s="77"/>
      <c r="R350" s="89"/>
      <c r="S350" s="49">
        <v>0</v>
      </c>
      <c r="T350" s="49">
        <v>1</v>
      </c>
      <c r="U350" s="50">
        <v>0</v>
      </c>
      <c r="V350" s="50">
        <v>0.478122</v>
      </c>
      <c r="W350" s="50">
        <v>0.03471</v>
      </c>
      <c r="X350" s="50">
        <v>0.001935</v>
      </c>
      <c r="Y350" s="50">
        <v>0</v>
      </c>
      <c r="Z350" s="50">
        <v>0</v>
      </c>
      <c r="AA350" s="72">
        <v>350</v>
      </c>
      <c r="AB350" s="72"/>
      <c r="AC350" s="73"/>
      <c r="AD350" s="80" t="s">
        <v>1751</v>
      </c>
      <c r="AE350" s="80"/>
      <c r="AF350" s="80"/>
      <c r="AG350" s="80"/>
      <c r="AH350" s="80"/>
      <c r="AI350" s="80"/>
      <c r="AJ350" s="87">
        <v>40820.56146990741</v>
      </c>
      <c r="AK350" s="85" t="str">
        <f>HYPERLINK("https://yt3.ggpht.com/ytc/AKedOLS1rGeNFI_6O6CC1s19M27iW8bX9tkcNS6zXBkwFoM=s88-c-k-c0x00ffffff-no-rj")</f>
        <v>https://yt3.ggpht.com/ytc/AKedOLS1rGeNFI_6O6CC1s19M27iW8bX9tkcNS6zXBkwFoM=s88-c-k-c0x00ffffff-no-rj</v>
      </c>
      <c r="AL350" s="80">
        <v>43</v>
      </c>
      <c r="AM350" s="80">
        <v>0</v>
      </c>
      <c r="AN350" s="80">
        <v>1</v>
      </c>
      <c r="AO350" s="80" t="b">
        <v>0</v>
      </c>
      <c r="AP350" s="80">
        <v>1</v>
      </c>
      <c r="AQ350" s="80"/>
      <c r="AR350" s="80"/>
      <c r="AS350" s="80" t="s">
        <v>2085</v>
      </c>
      <c r="AT350" s="85" t="str">
        <f>HYPERLINK("https://www.youtube.com/channel/UCIGaMxgyboLhBnRairRbykQ")</f>
        <v>https://www.youtube.com/channel/UCIGaMxgyboLhBnRairRbykQ</v>
      </c>
      <c r="AU350" s="80" t="str">
        <f>REPLACE(INDEX(GroupVertices[Group],MATCH(Vertices[[#This Row],[Vertex]],GroupVertices[Vertex],0)),1,1,"")</f>
        <v>1</v>
      </c>
      <c r="AV350" s="49">
        <v>2</v>
      </c>
      <c r="AW350" s="50">
        <v>9.523809523809524</v>
      </c>
      <c r="AX350" s="49">
        <v>1</v>
      </c>
      <c r="AY350" s="50">
        <v>4.761904761904762</v>
      </c>
      <c r="AZ350" s="49">
        <v>0</v>
      </c>
      <c r="BA350" s="50">
        <v>0</v>
      </c>
      <c r="BB350" s="49">
        <v>18</v>
      </c>
      <c r="BC350" s="50">
        <v>85.71428571428571</v>
      </c>
      <c r="BD350" s="49">
        <v>21</v>
      </c>
      <c r="BE350" s="49"/>
      <c r="BF350" s="49"/>
      <c r="BG350" s="49"/>
      <c r="BH350" s="49"/>
      <c r="BI350" s="49"/>
      <c r="BJ350" s="49"/>
      <c r="BK350" s="111" t="s">
        <v>3719</v>
      </c>
      <c r="BL350" s="111" t="s">
        <v>3719</v>
      </c>
      <c r="BM350" s="111" t="s">
        <v>4166</v>
      </c>
      <c r="BN350" s="111" t="s">
        <v>4166</v>
      </c>
      <c r="BO350" s="2"/>
      <c r="BP350" s="3"/>
      <c r="BQ350" s="3"/>
      <c r="BR350" s="3"/>
      <c r="BS350" s="3"/>
    </row>
    <row r="351" spans="1:71" ht="15">
      <c r="A351" s="65" t="s">
        <v>685</v>
      </c>
      <c r="B351" s="66"/>
      <c r="C351" s="66"/>
      <c r="D351" s="67">
        <v>150</v>
      </c>
      <c r="E351" s="69"/>
      <c r="F351" s="103" t="str">
        <f>HYPERLINK("https://yt3.ggpht.com/ytc/AKedOLQt5GhwZhuc3sykWLE_gGxcGVL76LkYaQl0Zw=s88-c-k-c0x00ffffff-no-rj")</f>
        <v>https://yt3.ggpht.com/ytc/AKedOLQt5GhwZhuc3sykWLE_gGxcGVL76LkYaQl0Zw=s88-c-k-c0x00ffffff-no-rj</v>
      </c>
      <c r="G351" s="66"/>
      <c r="H351" s="70" t="s">
        <v>1752</v>
      </c>
      <c r="I351" s="71"/>
      <c r="J351" s="71" t="s">
        <v>159</v>
      </c>
      <c r="K351" s="70" t="s">
        <v>1752</v>
      </c>
      <c r="L351" s="74">
        <v>1</v>
      </c>
      <c r="M351" s="75">
        <v>1138.4678955078125</v>
      </c>
      <c r="N351" s="75">
        <v>8426.82421875</v>
      </c>
      <c r="O351" s="76"/>
      <c r="P351" s="77"/>
      <c r="Q351" s="77"/>
      <c r="R351" s="89"/>
      <c r="S351" s="49">
        <v>0</v>
      </c>
      <c r="T351" s="49">
        <v>1</v>
      </c>
      <c r="U351" s="50">
        <v>0</v>
      </c>
      <c r="V351" s="50">
        <v>0.478122</v>
      </c>
      <c r="W351" s="50">
        <v>0.03471</v>
      </c>
      <c r="X351" s="50">
        <v>0.001935</v>
      </c>
      <c r="Y351" s="50">
        <v>0</v>
      </c>
      <c r="Z351" s="50">
        <v>0</v>
      </c>
      <c r="AA351" s="72">
        <v>351</v>
      </c>
      <c r="AB351" s="72"/>
      <c r="AC351" s="73"/>
      <c r="AD351" s="80" t="s">
        <v>1752</v>
      </c>
      <c r="AE351" s="80"/>
      <c r="AF351" s="80"/>
      <c r="AG351" s="80"/>
      <c r="AH351" s="80"/>
      <c r="AI351" s="80"/>
      <c r="AJ351" s="87">
        <v>43982.03582175926</v>
      </c>
      <c r="AK351" s="85" t="str">
        <f>HYPERLINK("https://yt3.ggpht.com/ytc/AKedOLQt5GhwZhuc3sykWLE_gGxcGVL76LkYaQl0Zw=s88-c-k-c0x00ffffff-no-rj")</f>
        <v>https://yt3.ggpht.com/ytc/AKedOLQt5GhwZhuc3sykWLE_gGxcGVL76LkYaQl0Zw=s88-c-k-c0x00ffffff-no-rj</v>
      </c>
      <c r="AL351" s="80">
        <v>0</v>
      </c>
      <c r="AM351" s="80">
        <v>0</v>
      </c>
      <c r="AN351" s="80">
        <v>3</v>
      </c>
      <c r="AO351" s="80" t="b">
        <v>0</v>
      </c>
      <c r="AP351" s="80">
        <v>0</v>
      </c>
      <c r="AQ351" s="80"/>
      <c r="AR351" s="80"/>
      <c r="AS351" s="80" t="s">
        <v>2085</v>
      </c>
      <c r="AT351" s="85" t="str">
        <f>HYPERLINK("https://www.youtube.com/channel/UCCN2uvSe7tJBPPzS-ov5VuA")</f>
        <v>https://www.youtube.com/channel/UCCN2uvSe7tJBPPzS-ov5VuA</v>
      </c>
      <c r="AU351" s="80" t="str">
        <f>REPLACE(INDEX(GroupVertices[Group],MATCH(Vertices[[#This Row],[Vertex]],GroupVertices[Vertex],0)),1,1,"")</f>
        <v>1</v>
      </c>
      <c r="AV351" s="49">
        <v>1</v>
      </c>
      <c r="AW351" s="50">
        <v>2.127659574468085</v>
      </c>
      <c r="AX351" s="49">
        <v>2</v>
      </c>
      <c r="AY351" s="50">
        <v>4.25531914893617</v>
      </c>
      <c r="AZ351" s="49">
        <v>0</v>
      </c>
      <c r="BA351" s="50">
        <v>0</v>
      </c>
      <c r="BB351" s="49">
        <v>44</v>
      </c>
      <c r="BC351" s="50">
        <v>93.61702127659575</v>
      </c>
      <c r="BD351" s="49">
        <v>47</v>
      </c>
      <c r="BE351" s="49"/>
      <c r="BF351" s="49"/>
      <c r="BG351" s="49"/>
      <c r="BH351" s="49"/>
      <c r="BI351" s="49"/>
      <c r="BJ351" s="49"/>
      <c r="BK351" s="111" t="s">
        <v>3720</v>
      </c>
      <c r="BL351" s="111" t="s">
        <v>3720</v>
      </c>
      <c r="BM351" s="111" t="s">
        <v>4167</v>
      </c>
      <c r="BN351" s="111" t="s">
        <v>4167</v>
      </c>
      <c r="BO351" s="2"/>
      <c r="BP351" s="3"/>
      <c r="BQ351" s="3"/>
      <c r="BR351" s="3"/>
      <c r="BS351" s="3"/>
    </row>
    <row r="352" spans="1:71" ht="15">
      <c r="A352" s="65" t="s">
        <v>686</v>
      </c>
      <c r="B352" s="66"/>
      <c r="C352" s="66"/>
      <c r="D352" s="67">
        <v>150</v>
      </c>
      <c r="E352" s="69"/>
      <c r="F352" s="103" t="str">
        <f>HYPERLINK("https://yt3.ggpht.com/kqf6w3M_ZKvLgPQrSNcPpr2CHRVuFMJUS1kl62mGlAZ-FQZBKcBddjuTPd9Ikdr75CpQbnXXAA=s88-c-k-c0x00ffffff-no-rj")</f>
        <v>https://yt3.ggpht.com/kqf6w3M_ZKvLgPQrSNcPpr2CHRVuFMJUS1kl62mGlAZ-FQZBKcBddjuTPd9Ikdr75CpQbnXXAA=s88-c-k-c0x00ffffff-no-rj</v>
      </c>
      <c r="G352" s="66"/>
      <c r="H352" s="70" t="s">
        <v>1753</v>
      </c>
      <c r="I352" s="71"/>
      <c r="J352" s="71" t="s">
        <v>159</v>
      </c>
      <c r="K352" s="70" t="s">
        <v>1753</v>
      </c>
      <c r="L352" s="74">
        <v>1</v>
      </c>
      <c r="M352" s="75">
        <v>3993.730712890625</v>
      </c>
      <c r="N352" s="75">
        <v>3170.0703125</v>
      </c>
      <c r="O352" s="76"/>
      <c r="P352" s="77"/>
      <c r="Q352" s="77"/>
      <c r="R352" s="89"/>
      <c r="S352" s="49">
        <v>0</v>
      </c>
      <c r="T352" s="49">
        <v>1</v>
      </c>
      <c r="U352" s="50">
        <v>0</v>
      </c>
      <c r="V352" s="50">
        <v>0.478122</v>
      </c>
      <c r="W352" s="50">
        <v>0.03471</v>
      </c>
      <c r="X352" s="50">
        <v>0.001935</v>
      </c>
      <c r="Y352" s="50">
        <v>0</v>
      </c>
      <c r="Z352" s="50">
        <v>0</v>
      </c>
      <c r="AA352" s="72">
        <v>352</v>
      </c>
      <c r="AB352" s="72"/>
      <c r="AC352" s="73"/>
      <c r="AD352" s="80" t="s">
        <v>1753</v>
      </c>
      <c r="AE352" s="80" t="s">
        <v>2028</v>
      </c>
      <c r="AF352" s="80"/>
      <c r="AG352" s="80"/>
      <c r="AH352" s="80"/>
      <c r="AI352" s="80"/>
      <c r="AJ352" s="87">
        <v>40803.441296296296</v>
      </c>
      <c r="AK352" s="85" t="str">
        <f>HYPERLINK("https://yt3.ggpht.com/kqf6w3M_ZKvLgPQrSNcPpr2CHRVuFMJUS1kl62mGlAZ-FQZBKcBddjuTPd9Ikdr75CpQbnXXAA=s88-c-k-c0x00ffffff-no-rj")</f>
        <v>https://yt3.ggpht.com/kqf6w3M_ZKvLgPQrSNcPpr2CHRVuFMJUS1kl62mGlAZ-FQZBKcBddjuTPd9Ikdr75CpQbnXXAA=s88-c-k-c0x00ffffff-no-rj</v>
      </c>
      <c r="AL352" s="80">
        <v>0</v>
      </c>
      <c r="AM352" s="80">
        <v>0</v>
      </c>
      <c r="AN352" s="80">
        <v>0</v>
      </c>
      <c r="AO352" s="80" t="b">
        <v>0</v>
      </c>
      <c r="AP352" s="80">
        <v>0</v>
      </c>
      <c r="AQ352" s="80"/>
      <c r="AR352" s="80"/>
      <c r="AS352" s="80" t="s">
        <v>2085</v>
      </c>
      <c r="AT352" s="85" t="str">
        <f>HYPERLINK("https://www.youtube.com/channel/UC2haiTorx4l2U33kSmbb-zg")</f>
        <v>https://www.youtube.com/channel/UC2haiTorx4l2U33kSmbb-zg</v>
      </c>
      <c r="AU352" s="80" t="str">
        <f>REPLACE(INDEX(GroupVertices[Group],MATCH(Vertices[[#This Row],[Vertex]],GroupVertices[Vertex],0)),1,1,"")</f>
        <v>1</v>
      </c>
      <c r="AV352" s="49">
        <v>3</v>
      </c>
      <c r="AW352" s="50">
        <v>14.285714285714286</v>
      </c>
      <c r="AX352" s="49">
        <v>0</v>
      </c>
      <c r="AY352" s="50">
        <v>0</v>
      </c>
      <c r="AZ352" s="49">
        <v>0</v>
      </c>
      <c r="BA352" s="50">
        <v>0</v>
      </c>
      <c r="BB352" s="49">
        <v>18</v>
      </c>
      <c r="BC352" s="50">
        <v>85.71428571428571</v>
      </c>
      <c r="BD352" s="49">
        <v>21</v>
      </c>
      <c r="BE352" s="49"/>
      <c r="BF352" s="49"/>
      <c r="BG352" s="49"/>
      <c r="BH352" s="49"/>
      <c r="BI352" s="49"/>
      <c r="BJ352" s="49"/>
      <c r="BK352" s="111" t="s">
        <v>3721</v>
      </c>
      <c r="BL352" s="111" t="s">
        <v>3721</v>
      </c>
      <c r="BM352" s="111" t="s">
        <v>4168</v>
      </c>
      <c r="BN352" s="111" t="s">
        <v>4168</v>
      </c>
      <c r="BO352" s="2"/>
      <c r="BP352" s="3"/>
      <c r="BQ352" s="3"/>
      <c r="BR352" s="3"/>
      <c r="BS352" s="3"/>
    </row>
    <row r="353" spans="1:71" ht="15">
      <c r="A353" s="65" t="s">
        <v>687</v>
      </c>
      <c r="B353" s="66"/>
      <c r="C353" s="66"/>
      <c r="D353" s="67">
        <v>150</v>
      </c>
      <c r="E353" s="69"/>
      <c r="F353" s="103" t="str">
        <f>HYPERLINK("https://yt3.ggpht.com/ytc/AKedOLS5aHPjHQbKaO_SiKIOCPNWzYpWZ9aUmGjcNw=s88-c-k-c0x00ffffff-no-rj")</f>
        <v>https://yt3.ggpht.com/ytc/AKedOLS5aHPjHQbKaO_SiKIOCPNWzYpWZ9aUmGjcNw=s88-c-k-c0x00ffffff-no-rj</v>
      </c>
      <c r="G353" s="66"/>
      <c r="H353" s="70" t="s">
        <v>1754</v>
      </c>
      <c r="I353" s="71"/>
      <c r="J353" s="71" t="s">
        <v>159</v>
      </c>
      <c r="K353" s="70" t="s">
        <v>1754</v>
      </c>
      <c r="L353" s="74">
        <v>1</v>
      </c>
      <c r="M353" s="75">
        <v>982.028076171875</v>
      </c>
      <c r="N353" s="75">
        <v>5892.173828125</v>
      </c>
      <c r="O353" s="76"/>
      <c r="P353" s="77"/>
      <c r="Q353" s="77"/>
      <c r="R353" s="89"/>
      <c r="S353" s="49">
        <v>0</v>
      </c>
      <c r="T353" s="49">
        <v>1</v>
      </c>
      <c r="U353" s="50">
        <v>0</v>
      </c>
      <c r="V353" s="50">
        <v>0.478122</v>
      </c>
      <c r="W353" s="50">
        <v>0.03471</v>
      </c>
      <c r="X353" s="50">
        <v>0.001935</v>
      </c>
      <c r="Y353" s="50">
        <v>0</v>
      </c>
      <c r="Z353" s="50">
        <v>0</v>
      </c>
      <c r="AA353" s="72">
        <v>353</v>
      </c>
      <c r="AB353" s="72"/>
      <c r="AC353" s="73"/>
      <c r="AD353" s="80" t="s">
        <v>1754</v>
      </c>
      <c r="AE353" s="80"/>
      <c r="AF353" s="80"/>
      <c r="AG353" s="80"/>
      <c r="AH353" s="80"/>
      <c r="AI353" s="80"/>
      <c r="AJ353" s="87">
        <v>42055.74363425926</v>
      </c>
      <c r="AK353" s="85" t="str">
        <f>HYPERLINK("https://yt3.ggpht.com/ytc/AKedOLS5aHPjHQbKaO_SiKIOCPNWzYpWZ9aUmGjcNw=s88-c-k-c0x00ffffff-no-rj")</f>
        <v>https://yt3.ggpht.com/ytc/AKedOLS5aHPjHQbKaO_SiKIOCPNWzYpWZ9aUmGjcNw=s88-c-k-c0x00ffffff-no-rj</v>
      </c>
      <c r="AL353" s="80">
        <v>0</v>
      </c>
      <c r="AM353" s="80">
        <v>0</v>
      </c>
      <c r="AN353" s="80">
        <v>2</v>
      </c>
      <c r="AO353" s="80" t="b">
        <v>0</v>
      </c>
      <c r="AP353" s="80">
        <v>0</v>
      </c>
      <c r="AQ353" s="80"/>
      <c r="AR353" s="80"/>
      <c r="AS353" s="80" t="s">
        <v>2085</v>
      </c>
      <c r="AT353" s="85" t="str">
        <f>HYPERLINK("https://www.youtube.com/channel/UCNLP7KjukD8237DEPYRWiWQ")</f>
        <v>https://www.youtube.com/channel/UCNLP7KjukD8237DEPYRWiWQ</v>
      </c>
      <c r="AU353" s="80" t="str">
        <f>REPLACE(INDEX(GroupVertices[Group],MATCH(Vertices[[#This Row],[Vertex]],GroupVertices[Vertex],0)),1,1,"")</f>
        <v>1</v>
      </c>
      <c r="AV353" s="49">
        <v>0</v>
      </c>
      <c r="AW353" s="50">
        <v>0</v>
      </c>
      <c r="AX353" s="49">
        <v>1</v>
      </c>
      <c r="AY353" s="50">
        <v>2.9411764705882355</v>
      </c>
      <c r="AZ353" s="49">
        <v>0</v>
      </c>
      <c r="BA353" s="50">
        <v>0</v>
      </c>
      <c r="BB353" s="49">
        <v>33</v>
      </c>
      <c r="BC353" s="50">
        <v>97.05882352941177</v>
      </c>
      <c r="BD353" s="49">
        <v>34</v>
      </c>
      <c r="BE353" s="49" t="s">
        <v>3390</v>
      </c>
      <c r="BF353" s="49" t="s">
        <v>3390</v>
      </c>
      <c r="BG353" s="49" t="s">
        <v>1922</v>
      </c>
      <c r="BH353" s="49" t="s">
        <v>1922</v>
      </c>
      <c r="BI353" s="49"/>
      <c r="BJ353" s="49"/>
      <c r="BK353" s="111" t="s">
        <v>3722</v>
      </c>
      <c r="BL353" s="111" t="s">
        <v>3722</v>
      </c>
      <c r="BM353" s="111" t="s">
        <v>4169</v>
      </c>
      <c r="BN353" s="111" t="s">
        <v>4169</v>
      </c>
      <c r="BO353" s="2"/>
      <c r="BP353" s="3"/>
      <c r="BQ353" s="3"/>
      <c r="BR353" s="3"/>
      <c r="BS353" s="3"/>
    </row>
    <row r="354" spans="1:71" ht="15">
      <c r="A354" s="65" t="s">
        <v>688</v>
      </c>
      <c r="B354" s="66"/>
      <c r="C354" s="66"/>
      <c r="D354" s="67">
        <v>150</v>
      </c>
      <c r="E354" s="69"/>
      <c r="F354" s="103" t="str">
        <f>HYPERLINK("https://yt3.ggpht.com/ytc/AKedOLSD8oGzTqx1dBZtYPtwzH5C8PDrsOfgT9vOrQUb=s88-c-k-c0x00ffffff-no-rj")</f>
        <v>https://yt3.ggpht.com/ytc/AKedOLSD8oGzTqx1dBZtYPtwzH5C8PDrsOfgT9vOrQUb=s88-c-k-c0x00ffffff-no-rj</v>
      </c>
      <c r="G354" s="66"/>
      <c r="H354" s="70" t="s">
        <v>1755</v>
      </c>
      <c r="I354" s="71"/>
      <c r="J354" s="71" t="s">
        <v>159</v>
      </c>
      <c r="K354" s="70" t="s">
        <v>1755</v>
      </c>
      <c r="L354" s="74">
        <v>1</v>
      </c>
      <c r="M354" s="75">
        <v>4564.2509765625</v>
      </c>
      <c r="N354" s="75">
        <v>574.4063720703125</v>
      </c>
      <c r="O354" s="76"/>
      <c r="P354" s="77"/>
      <c r="Q354" s="77"/>
      <c r="R354" s="89"/>
      <c r="S354" s="49">
        <v>0</v>
      </c>
      <c r="T354" s="49">
        <v>1</v>
      </c>
      <c r="U354" s="50">
        <v>0</v>
      </c>
      <c r="V354" s="50">
        <v>0.478122</v>
      </c>
      <c r="W354" s="50">
        <v>0.03471</v>
      </c>
      <c r="X354" s="50">
        <v>0.001935</v>
      </c>
      <c r="Y354" s="50">
        <v>0</v>
      </c>
      <c r="Z354" s="50">
        <v>0</v>
      </c>
      <c r="AA354" s="72">
        <v>354</v>
      </c>
      <c r="AB354" s="72"/>
      <c r="AC354" s="73"/>
      <c r="AD354" s="80" t="s">
        <v>1755</v>
      </c>
      <c r="AE354" s="80" t="s">
        <v>2029</v>
      </c>
      <c r="AF354" s="80"/>
      <c r="AG354" s="80"/>
      <c r="AH354" s="80"/>
      <c r="AI354" s="80"/>
      <c r="AJ354" s="87">
        <v>43937.20034722222</v>
      </c>
      <c r="AK354" s="85" t="str">
        <f>HYPERLINK("https://yt3.ggpht.com/ytc/AKedOLSD8oGzTqx1dBZtYPtwzH5C8PDrsOfgT9vOrQUb=s88-c-k-c0x00ffffff-no-rj")</f>
        <v>https://yt3.ggpht.com/ytc/AKedOLSD8oGzTqx1dBZtYPtwzH5C8PDrsOfgT9vOrQUb=s88-c-k-c0x00ffffff-no-rj</v>
      </c>
      <c r="AL354" s="80">
        <v>19386</v>
      </c>
      <c r="AM354" s="80">
        <v>0</v>
      </c>
      <c r="AN354" s="80">
        <v>583</v>
      </c>
      <c r="AO354" s="80" t="b">
        <v>0</v>
      </c>
      <c r="AP354" s="80">
        <v>457</v>
      </c>
      <c r="AQ354" s="80"/>
      <c r="AR354" s="80"/>
      <c r="AS354" s="80" t="s">
        <v>2085</v>
      </c>
      <c r="AT354" s="85" t="str">
        <f>HYPERLINK("https://www.youtube.com/channel/UCRcw7MuIF7CQkK-O_mdiDPw")</f>
        <v>https://www.youtube.com/channel/UCRcw7MuIF7CQkK-O_mdiDPw</v>
      </c>
      <c r="AU354" s="80" t="str">
        <f>REPLACE(INDEX(GroupVertices[Group],MATCH(Vertices[[#This Row],[Vertex]],GroupVertices[Vertex],0)),1,1,"")</f>
        <v>1</v>
      </c>
      <c r="AV354" s="49">
        <v>0</v>
      </c>
      <c r="AW354" s="50">
        <v>0</v>
      </c>
      <c r="AX354" s="49">
        <v>0</v>
      </c>
      <c r="AY354" s="50">
        <v>0</v>
      </c>
      <c r="AZ354" s="49">
        <v>0</v>
      </c>
      <c r="BA354" s="50">
        <v>0</v>
      </c>
      <c r="BB354" s="49">
        <v>7</v>
      </c>
      <c r="BC354" s="50">
        <v>100</v>
      </c>
      <c r="BD354" s="49">
        <v>7</v>
      </c>
      <c r="BE354" s="49"/>
      <c r="BF354" s="49"/>
      <c r="BG354" s="49"/>
      <c r="BH354" s="49"/>
      <c r="BI354" s="49"/>
      <c r="BJ354" s="49"/>
      <c r="BK354" s="111" t="s">
        <v>3723</v>
      </c>
      <c r="BL354" s="111" t="s">
        <v>3723</v>
      </c>
      <c r="BM354" s="111" t="s">
        <v>4170</v>
      </c>
      <c r="BN354" s="111" t="s">
        <v>4170</v>
      </c>
      <c r="BO354" s="2"/>
      <c r="BP354" s="3"/>
      <c r="BQ354" s="3"/>
      <c r="BR354" s="3"/>
      <c r="BS354" s="3"/>
    </row>
    <row r="355" spans="1:71" ht="15">
      <c r="A355" s="65" t="s">
        <v>689</v>
      </c>
      <c r="B355" s="66"/>
      <c r="C355" s="66"/>
      <c r="D355" s="67">
        <v>150</v>
      </c>
      <c r="E355" s="69"/>
      <c r="F355" s="103" t="str">
        <f>HYPERLINK("https://yt3.ggpht.com/ytc/AKedOLTWM9RmA4SvANPZCXTuwZFWYSPQqXnpcl9cB5eKSw=s88-c-k-c0x00ffffff-no-rj")</f>
        <v>https://yt3.ggpht.com/ytc/AKedOLTWM9RmA4SvANPZCXTuwZFWYSPQqXnpcl9cB5eKSw=s88-c-k-c0x00ffffff-no-rj</v>
      </c>
      <c r="G355" s="66"/>
      <c r="H355" s="70" t="s">
        <v>1756</v>
      </c>
      <c r="I355" s="71"/>
      <c r="J355" s="71" t="s">
        <v>159</v>
      </c>
      <c r="K355" s="70" t="s">
        <v>1756</v>
      </c>
      <c r="L355" s="74">
        <v>1</v>
      </c>
      <c r="M355" s="75">
        <v>1186.579833984375</v>
      </c>
      <c r="N355" s="75">
        <v>4721.18994140625</v>
      </c>
      <c r="O355" s="76"/>
      <c r="P355" s="77"/>
      <c r="Q355" s="77"/>
      <c r="R355" s="89"/>
      <c r="S355" s="49">
        <v>0</v>
      </c>
      <c r="T355" s="49">
        <v>1</v>
      </c>
      <c r="U355" s="50">
        <v>0</v>
      </c>
      <c r="V355" s="50">
        <v>0.478122</v>
      </c>
      <c r="W355" s="50">
        <v>0.03471</v>
      </c>
      <c r="X355" s="50">
        <v>0.001935</v>
      </c>
      <c r="Y355" s="50">
        <v>0</v>
      </c>
      <c r="Z355" s="50">
        <v>0</v>
      </c>
      <c r="AA355" s="72">
        <v>355</v>
      </c>
      <c r="AB355" s="72"/>
      <c r="AC355" s="73"/>
      <c r="AD355" s="80" t="s">
        <v>1756</v>
      </c>
      <c r="AE355" s="80"/>
      <c r="AF355" s="80"/>
      <c r="AG355" s="80"/>
      <c r="AH355" s="80"/>
      <c r="AI355" s="80"/>
      <c r="AJ355" s="87">
        <v>41211.63224537037</v>
      </c>
      <c r="AK355" s="85" t="str">
        <f>HYPERLINK("https://yt3.ggpht.com/ytc/AKedOLTWM9RmA4SvANPZCXTuwZFWYSPQqXnpcl9cB5eKSw=s88-c-k-c0x00ffffff-no-rj")</f>
        <v>https://yt3.ggpht.com/ytc/AKedOLTWM9RmA4SvANPZCXTuwZFWYSPQqXnpcl9cB5eKSw=s88-c-k-c0x00ffffff-no-rj</v>
      </c>
      <c r="AL355" s="80">
        <v>0</v>
      </c>
      <c r="AM355" s="80">
        <v>0</v>
      </c>
      <c r="AN355" s="80">
        <v>0</v>
      </c>
      <c r="AO355" s="80" t="b">
        <v>0</v>
      </c>
      <c r="AP355" s="80">
        <v>0</v>
      </c>
      <c r="AQ355" s="80"/>
      <c r="AR355" s="80"/>
      <c r="AS355" s="80" t="s">
        <v>2085</v>
      </c>
      <c r="AT355" s="85" t="str">
        <f>HYPERLINK("https://www.youtube.com/channel/UCIUcF2ZE7yu7bZ5cM-f4uPA")</f>
        <v>https://www.youtube.com/channel/UCIUcF2ZE7yu7bZ5cM-f4uPA</v>
      </c>
      <c r="AU355" s="80" t="str">
        <f>REPLACE(INDEX(GroupVertices[Group],MATCH(Vertices[[#This Row],[Vertex]],GroupVertices[Vertex],0)),1,1,"")</f>
        <v>1</v>
      </c>
      <c r="AV355" s="49">
        <v>1</v>
      </c>
      <c r="AW355" s="50">
        <v>25</v>
      </c>
      <c r="AX355" s="49">
        <v>0</v>
      </c>
      <c r="AY355" s="50">
        <v>0</v>
      </c>
      <c r="AZ355" s="49">
        <v>0</v>
      </c>
      <c r="BA355" s="50">
        <v>0</v>
      </c>
      <c r="BB355" s="49">
        <v>3</v>
      </c>
      <c r="BC355" s="50">
        <v>75</v>
      </c>
      <c r="BD355" s="49">
        <v>4</v>
      </c>
      <c r="BE355" s="49"/>
      <c r="BF355" s="49"/>
      <c r="BG355" s="49"/>
      <c r="BH355" s="49"/>
      <c r="BI355" s="49"/>
      <c r="BJ355" s="49"/>
      <c r="BK355" s="111" t="s">
        <v>3724</v>
      </c>
      <c r="BL355" s="111" t="s">
        <v>3724</v>
      </c>
      <c r="BM355" s="111" t="s">
        <v>4171</v>
      </c>
      <c r="BN355" s="111" t="s">
        <v>4171</v>
      </c>
      <c r="BO355" s="2"/>
      <c r="BP355" s="3"/>
      <c r="BQ355" s="3"/>
      <c r="BR355" s="3"/>
      <c r="BS355" s="3"/>
    </row>
    <row r="356" spans="1:71" ht="15">
      <c r="A356" s="65" t="s">
        <v>690</v>
      </c>
      <c r="B356" s="66"/>
      <c r="C356" s="66"/>
      <c r="D356" s="67">
        <v>150</v>
      </c>
      <c r="E356" s="69"/>
      <c r="F356" s="103" t="str">
        <f>HYPERLINK("https://yt3.ggpht.com/ytc/AKedOLQOWTeZ7GYuX7benprjRzns1WQn-RJ3MPH9XA=s88-c-k-c0x00ffffff-no-rj")</f>
        <v>https://yt3.ggpht.com/ytc/AKedOLQOWTeZ7GYuX7benprjRzns1WQn-RJ3MPH9XA=s88-c-k-c0x00ffffff-no-rj</v>
      </c>
      <c r="G356" s="66"/>
      <c r="H356" s="70" t="s">
        <v>1757</v>
      </c>
      <c r="I356" s="71"/>
      <c r="J356" s="71" t="s">
        <v>159</v>
      </c>
      <c r="K356" s="70" t="s">
        <v>1757</v>
      </c>
      <c r="L356" s="74">
        <v>1</v>
      </c>
      <c r="M356" s="75">
        <v>4695.17138671875</v>
      </c>
      <c r="N356" s="75">
        <v>1349.7176513671875</v>
      </c>
      <c r="O356" s="76"/>
      <c r="P356" s="77"/>
      <c r="Q356" s="77"/>
      <c r="R356" s="89"/>
      <c r="S356" s="49">
        <v>0</v>
      </c>
      <c r="T356" s="49">
        <v>1</v>
      </c>
      <c r="U356" s="50">
        <v>0</v>
      </c>
      <c r="V356" s="50">
        <v>0.478122</v>
      </c>
      <c r="W356" s="50">
        <v>0.03471</v>
      </c>
      <c r="X356" s="50">
        <v>0.001935</v>
      </c>
      <c r="Y356" s="50">
        <v>0</v>
      </c>
      <c r="Z356" s="50">
        <v>0</v>
      </c>
      <c r="AA356" s="72">
        <v>356</v>
      </c>
      <c r="AB356" s="72"/>
      <c r="AC356" s="73"/>
      <c r="AD356" s="80" t="s">
        <v>1757</v>
      </c>
      <c r="AE356" s="80"/>
      <c r="AF356" s="80"/>
      <c r="AG356" s="80"/>
      <c r="AH356" s="80"/>
      <c r="AI356" s="80"/>
      <c r="AJ356" s="87">
        <v>40057.9715625</v>
      </c>
      <c r="AK356" s="85" t="str">
        <f>HYPERLINK("https://yt3.ggpht.com/ytc/AKedOLQOWTeZ7GYuX7benprjRzns1WQn-RJ3MPH9XA=s88-c-k-c0x00ffffff-no-rj")</f>
        <v>https://yt3.ggpht.com/ytc/AKedOLQOWTeZ7GYuX7benprjRzns1WQn-RJ3MPH9XA=s88-c-k-c0x00ffffff-no-rj</v>
      </c>
      <c r="AL356" s="80">
        <v>0</v>
      </c>
      <c r="AM356" s="80">
        <v>0</v>
      </c>
      <c r="AN356" s="80">
        <v>3</v>
      </c>
      <c r="AO356" s="80" t="b">
        <v>0</v>
      </c>
      <c r="AP356" s="80">
        <v>0</v>
      </c>
      <c r="AQ356" s="80"/>
      <c r="AR356" s="80"/>
      <c r="AS356" s="80" t="s">
        <v>2085</v>
      </c>
      <c r="AT356" s="85" t="str">
        <f>HYPERLINK("https://www.youtube.com/channel/UCaEJ2eUVzs7V0iFjYhWQpaQ")</f>
        <v>https://www.youtube.com/channel/UCaEJ2eUVzs7V0iFjYhWQpaQ</v>
      </c>
      <c r="AU356" s="80" t="str">
        <f>REPLACE(INDEX(GroupVertices[Group],MATCH(Vertices[[#This Row],[Vertex]],GroupVertices[Vertex],0)),1,1,"")</f>
        <v>1</v>
      </c>
      <c r="AV356" s="49">
        <v>1</v>
      </c>
      <c r="AW356" s="50">
        <v>33.333333333333336</v>
      </c>
      <c r="AX356" s="49">
        <v>0</v>
      </c>
      <c r="AY356" s="50">
        <v>0</v>
      </c>
      <c r="AZ356" s="49">
        <v>0</v>
      </c>
      <c r="BA356" s="50">
        <v>0</v>
      </c>
      <c r="BB356" s="49">
        <v>2</v>
      </c>
      <c r="BC356" s="50">
        <v>66.66666666666667</v>
      </c>
      <c r="BD356" s="49">
        <v>3</v>
      </c>
      <c r="BE356" s="49"/>
      <c r="BF356" s="49"/>
      <c r="BG356" s="49"/>
      <c r="BH356" s="49"/>
      <c r="BI356" s="49"/>
      <c r="BJ356" s="49"/>
      <c r="BK356" s="111" t="s">
        <v>3725</v>
      </c>
      <c r="BL356" s="111" t="s">
        <v>3725</v>
      </c>
      <c r="BM356" s="111" t="s">
        <v>4172</v>
      </c>
      <c r="BN356" s="111" t="s">
        <v>4172</v>
      </c>
      <c r="BO356" s="2"/>
      <c r="BP356" s="3"/>
      <c r="BQ356" s="3"/>
      <c r="BR356" s="3"/>
      <c r="BS356" s="3"/>
    </row>
    <row r="357" spans="1:71" ht="15">
      <c r="A357" s="65" t="s">
        <v>691</v>
      </c>
      <c r="B357" s="66"/>
      <c r="C357" s="66"/>
      <c r="D357" s="67">
        <v>150</v>
      </c>
      <c r="E357" s="69"/>
      <c r="F357" s="103" t="str">
        <f>HYPERLINK("https://yt3.ggpht.com/ytc/AKedOLT1u2zy3bM2rRaxksXbX0MTzcPBwPvQoHXevg8ciw=s88-c-k-c0x00ffffff-no-rj")</f>
        <v>https://yt3.ggpht.com/ytc/AKedOLT1u2zy3bM2rRaxksXbX0MTzcPBwPvQoHXevg8ciw=s88-c-k-c0x00ffffff-no-rj</v>
      </c>
      <c r="G357" s="66"/>
      <c r="H357" s="70" t="s">
        <v>1758</v>
      </c>
      <c r="I357" s="71"/>
      <c r="J357" s="71" t="s">
        <v>159</v>
      </c>
      <c r="K357" s="70" t="s">
        <v>1758</v>
      </c>
      <c r="L357" s="74">
        <v>1</v>
      </c>
      <c r="M357" s="75">
        <v>2355.02197265625</v>
      </c>
      <c r="N357" s="75">
        <v>4984.890625</v>
      </c>
      <c r="O357" s="76"/>
      <c r="P357" s="77"/>
      <c r="Q357" s="77"/>
      <c r="R357" s="89"/>
      <c r="S357" s="49">
        <v>0</v>
      </c>
      <c r="T357" s="49">
        <v>1</v>
      </c>
      <c r="U357" s="50">
        <v>0</v>
      </c>
      <c r="V357" s="50">
        <v>0.478122</v>
      </c>
      <c r="W357" s="50">
        <v>0.03471</v>
      </c>
      <c r="X357" s="50">
        <v>0.001935</v>
      </c>
      <c r="Y357" s="50">
        <v>0</v>
      </c>
      <c r="Z357" s="50">
        <v>0</v>
      </c>
      <c r="AA357" s="72">
        <v>357</v>
      </c>
      <c r="AB357" s="72"/>
      <c r="AC357" s="73"/>
      <c r="AD357" s="80" t="s">
        <v>1758</v>
      </c>
      <c r="AE357" s="80"/>
      <c r="AF357" s="80"/>
      <c r="AG357" s="80"/>
      <c r="AH357" s="80"/>
      <c r="AI357" s="80"/>
      <c r="AJ357" s="87">
        <v>39044.6531712963</v>
      </c>
      <c r="AK357" s="85" t="str">
        <f>HYPERLINK("https://yt3.ggpht.com/ytc/AKedOLT1u2zy3bM2rRaxksXbX0MTzcPBwPvQoHXevg8ciw=s88-c-k-c0x00ffffff-no-rj")</f>
        <v>https://yt3.ggpht.com/ytc/AKedOLT1u2zy3bM2rRaxksXbX0MTzcPBwPvQoHXevg8ciw=s88-c-k-c0x00ffffff-no-rj</v>
      </c>
      <c r="AL357" s="80">
        <v>0</v>
      </c>
      <c r="AM357" s="80">
        <v>0</v>
      </c>
      <c r="AN357" s="80">
        <v>3</v>
      </c>
      <c r="AO357" s="80" t="b">
        <v>0</v>
      </c>
      <c r="AP357" s="80">
        <v>0</v>
      </c>
      <c r="AQ357" s="80"/>
      <c r="AR357" s="80"/>
      <c r="AS357" s="80" t="s">
        <v>2085</v>
      </c>
      <c r="AT357" s="85" t="str">
        <f>HYPERLINK("https://www.youtube.com/channel/UC8pWHhTmT2hjNwNxxK6Q5PA")</f>
        <v>https://www.youtube.com/channel/UC8pWHhTmT2hjNwNxxK6Q5PA</v>
      </c>
      <c r="AU357" s="80" t="str">
        <f>REPLACE(INDEX(GroupVertices[Group],MATCH(Vertices[[#This Row],[Vertex]],GroupVertices[Vertex],0)),1,1,"")</f>
        <v>1</v>
      </c>
      <c r="AV357" s="49">
        <v>3</v>
      </c>
      <c r="AW357" s="50">
        <v>6.666666666666667</v>
      </c>
      <c r="AX357" s="49">
        <v>1</v>
      </c>
      <c r="AY357" s="50">
        <v>2.2222222222222223</v>
      </c>
      <c r="AZ357" s="49">
        <v>0</v>
      </c>
      <c r="BA357" s="50">
        <v>0</v>
      </c>
      <c r="BB357" s="49">
        <v>41</v>
      </c>
      <c r="BC357" s="50">
        <v>91.11111111111111</v>
      </c>
      <c r="BD357" s="49">
        <v>45</v>
      </c>
      <c r="BE357" s="49"/>
      <c r="BF357" s="49"/>
      <c r="BG357" s="49"/>
      <c r="BH357" s="49"/>
      <c r="BI357" s="49"/>
      <c r="BJ357" s="49"/>
      <c r="BK357" s="111" t="s">
        <v>3726</v>
      </c>
      <c r="BL357" s="111" t="s">
        <v>3726</v>
      </c>
      <c r="BM357" s="111" t="s">
        <v>4173</v>
      </c>
      <c r="BN357" s="111" t="s">
        <v>4173</v>
      </c>
      <c r="BO357" s="2"/>
      <c r="BP357" s="3"/>
      <c r="BQ357" s="3"/>
      <c r="BR357" s="3"/>
      <c r="BS357" s="3"/>
    </row>
    <row r="358" spans="1:71" ht="15">
      <c r="A358" s="65" t="s">
        <v>692</v>
      </c>
      <c r="B358" s="66"/>
      <c r="C358" s="66"/>
      <c r="D358" s="67">
        <v>150</v>
      </c>
      <c r="E358" s="69"/>
      <c r="F358" s="103" t="str">
        <f>HYPERLINK("https://yt3.ggpht.com/ytc/AKedOLToQ5XGgApvAYP2buDutOdZvhgWF5tmSirIVE_62g=s88-c-k-c0x00ffffff-no-rj")</f>
        <v>https://yt3.ggpht.com/ytc/AKedOLToQ5XGgApvAYP2buDutOdZvhgWF5tmSirIVE_62g=s88-c-k-c0x00ffffff-no-rj</v>
      </c>
      <c r="G358" s="66"/>
      <c r="H358" s="70" t="s">
        <v>1759</v>
      </c>
      <c r="I358" s="71"/>
      <c r="J358" s="71" t="s">
        <v>159</v>
      </c>
      <c r="K358" s="70" t="s">
        <v>1759</v>
      </c>
      <c r="L358" s="74">
        <v>1</v>
      </c>
      <c r="M358" s="75">
        <v>5378.533203125</v>
      </c>
      <c r="N358" s="75">
        <v>2322.39697265625</v>
      </c>
      <c r="O358" s="76"/>
      <c r="P358" s="77"/>
      <c r="Q358" s="77"/>
      <c r="R358" s="89"/>
      <c r="S358" s="49">
        <v>0</v>
      </c>
      <c r="T358" s="49">
        <v>1</v>
      </c>
      <c r="U358" s="50">
        <v>0</v>
      </c>
      <c r="V358" s="50">
        <v>0.478122</v>
      </c>
      <c r="W358" s="50">
        <v>0.03471</v>
      </c>
      <c r="X358" s="50">
        <v>0.001935</v>
      </c>
      <c r="Y358" s="50">
        <v>0</v>
      </c>
      <c r="Z358" s="50">
        <v>0</v>
      </c>
      <c r="AA358" s="72">
        <v>358</v>
      </c>
      <c r="AB358" s="72"/>
      <c r="AC358" s="73"/>
      <c r="AD358" s="80" t="s">
        <v>1759</v>
      </c>
      <c r="AE358" s="80"/>
      <c r="AF358" s="80"/>
      <c r="AG358" s="80"/>
      <c r="AH358" s="80"/>
      <c r="AI358" s="80"/>
      <c r="AJ358" s="87">
        <v>44057.12366898148</v>
      </c>
      <c r="AK358" s="85" t="str">
        <f>HYPERLINK("https://yt3.ggpht.com/ytc/AKedOLToQ5XGgApvAYP2buDutOdZvhgWF5tmSirIVE_62g=s88-c-k-c0x00ffffff-no-rj")</f>
        <v>https://yt3.ggpht.com/ytc/AKedOLToQ5XGgApvAYP2buDutOdZvhgWF5tmSirIVE_62g=s88-c-k-c0x00ffffff-no-rj</v>
      </c>
      <c r="AL358" s="80">
        <v>0</v>
      </c>
      <c r="AM358" s="80">
        <v>0</v>
      </c>
      <c r="AN358" s="80">
        <v>0</v>
      </c>
      <c r="AO358" s="80" t="b">
        <v>0</v>
      </c>
      <c r="AP358" s="80">
        <v>0</v>
      </c>
      <c r="AQ358" s="80"/>
      <c r="AR358" s="80"/>
      <c r="AS358" s="80" t="s">
        <v>2085</v>
      </c>
      <c r="AT358" s="85" t="str">
        <f>HYPERLINK("https://www.youtube.com/channel/UCAkGw6_oazVTvTsoqbp7OiA")</f>
        <v>https://www.youtube.com/channel/UCAkGw6_oazVTvTsoqbp7OiA</v>
      </c>
      <c r="AU358" s="80" t="str">
        <f>REPLACE(INDEX(GroupVertices[Group],MATCH(Vertices[[#This Row],[Vertex]],GroupVertices[Vertex],0)),1,1,"")</f>
        <v>1</v>
      </c>
      <c r="AV358" s="49">
        <v>1</v>
      </c>
      <c r="AW358" s="50">
        <v>3.8461538461538463</v>
      </c>
      <c r="AX358" s="49">
        <v>1</v>
      </c>
      <c r="AY358" s="50">
        <v>3.8461538461538463</v>
      </c>
      <c r="AZ358" s="49">
        <v>0</v>
      </c>
      <c r="BA358" s="50">
        <v>0</v>
      </c>
      <c r="BB358" s="49">
        <v>24</v>
      </c>
      <c r="BC358" s="50">
        <v>92.3076923076923</v>
      </c>
      <c r="BD358" s="49">
        <v>26</v>
      </c>
      <c r="BE358" s="49"/>
      <c r="BF358" s="49"/>
      <c r="BG358" s="49"/>
      <c r="BH358" s="49"/>
      <c r="BI358" s="49"/>
      <c r="BJ358" s="49"/>
      <c r="BK358" s="111" t="s">
        <v>3727</v>
      </c>
      <c r="BL358" s="111" t="s">
        <v>3727</v>
      </c>
      <c r="BM358" s="111" t="s">
        <v>4174</v>
      </c>
      <c r="BN358" s="111" t="s">
        <v>4174</v>
      </c>
      <c r="BO358" s="2"/>
      <c r="BP358" s="3"/>
      <c r="BQ358" s="3"/>
      <c r="BR358" s="3"/>
      <c r="BS358" s="3"/>
    </row>
    <row r="359" spans="1:71" ht="15">
      <c r="A359" s="65" t="s">
        <v>693</v>
      </c>
      <c r="B359" s="66"/>
      <c r="C359" s="66"/>
      <c r="D359" s="67">
        <v>150</v>
      </c>
      <c r="E359" s="69"/>
      <c r="F359" s="103" t="str">
        <f>HYPERLINK("https://yt3.ggpht.com/ytc/AKedOLSrqklvtL3EwL5q9kPen2GCKouz-36t6B8wDA=s88-c-k-c0x00ffffff-no-rj")</f>
        <v>https://yt3.ggpht.com/ytc/AKedOLSrqklvtL3EwL5q9kPen2GCKouz-36t6B8wDA=s88-c-k-c0x00ffffff-no-rj</v>
      </c>
      <c r="G359" s="66"/>
      <c r="H359" s="70" t="s">
        <v>1760</v>
      </c>
      <c r="I359" s="71"/>
      <c r="J359" s="71" t="s">
        <v>159</v>
      </c>
      <c r="K359" s="70" t="s">
        <v>1760</v>
      </c>
      <c r="L359" s="74">
        <v>1</v>
      </c>
      <c r="M359" s="75">
        <v>5717.05126953125</v>
      </c>
      <c r="N359" s="75">
        <v>6746.99267578125</v>
      </c>
      <c r="O359" s="76"/>
      <c r="P359" s="77"/>
      <c r="Q359" s="77"/>
      <c r="R359" s="89"/>
      <c r="S359" s="49">
        <v>0</v>
      </c>
      <c r="T359" s="49">
        <v>1</v>
      </c>
      <c r="U359" s="50">
        <v>0</v>
      </c>
      <c r="V359" s="50">
        <v>0.478122</v>
      </c>
      <c r="W359" s="50">
        <v>0.03471</v>
      </c>
      <c r="X359" s="50">
        <v>0.001935</v>
      </c>
      <c r="Y359" s="50">
        <v>0</v>
      </c>
      <c r="Z359" s="50">
        <v>0</v>
      </c>
      <c r="AA359" s="72">
        <v>359</v>
      </c>
      <c r="AB359" s="72"/>
      <c r="AC359" s="73"/>
      <c r="AD359" s="80" t="s">
        <v>1760</v>
      </c>
      <c r="AE359" s="80"/>
      <c r="AF359" s="80"/>
      <c r="AG359" s="80"/>
      <c r="AH359" s="80"/>
      <c r="AI359" s="80"/>
      <c r="AJ359" s="87">
        <v>41961.17525462963</v>
      </c>
      <c r="AK359" s="85" t="str">
        <f>HYPERLINK("https://yt3.ggpht.com/ytc/AKedOLSrqklvtL3EwL5q9kPen2GCKouz-36t6B8wDA=s88-c-k-c0x00ffffff-no-rj")</f>
        <v>https://yt3.ggpht.com/ytc/AKedOLSrqklvtL3EwL5q9kPen2GCKouz-36t6B8wDA=s88-c-k-c0x00ffffff-no-rj</v>
      </c>
      <c r="AL359" s="80">
        <v>0</v>
      </c>
      <c r="AM359" s="80">
        <v>0</v>
      </c>
      <c r="AN359" s="80">
        <v>0</v>
      </c>
      <c r="AO359" s="80" t="b">
        <v>0</v>
      </c>
      <c r="AP359" s="80">
        <v>0</v>
      </c>
      <c r="AQ359" s="80"/>
      <c r="AR359" s="80"/>
      <c r="AS359" s="80" t="s">
        <v>2085</v>
      </c>
      <c r="AT359" s="85" t="str">
        <f>HYPERLINK("https://www.youtube.com/channel/UCfFAasAAdGcptCfutet8Sfw")</f>
        <v>https://www.youtube.com/channel/UCfFAasAAdGcptCfutet8Sfw</v>
      </c>
      <c r="AU359" s="80" t="str">
        <f>REPLACE(INDEX(GroupVertices[Group],MATCH(Vertices[[#This Row],[Vertex]],GroupVertices[Vertex],0)),1,1,"")</f>
        <v>1</v>
      </c>
      <c r="AV359" s="49">
        <v>0</v>
      </c>
      <c r="AW359" s="50">
        <v>0</v>
      </c>
      <c r="AX359" s="49">
        <v>0</v>
      </c>
      <c r="AY359" s="50">
        <v>0</v>
      </c>
      <c r="AZ359" s="49">
        <v>0</v>
      </c>
      <c r="BA359" s="50">
        <v>0</v>
      </c>
      <c r="BB359" s="49">
        <v>11</v>
      </c>
      <c r="BC359" s="50">
        <v>100</v>
      </c>
      <c r="BD359" s="49">
        <v>11</v>
      </c>
      <c r="BE359" s="49"/>
      <c r="BF359" s="49"/>
      <c r="BG359" s="49"/>
      <c r="BH359" s="49"/>
      <c r="BI359" s="49"/>
      <c r="BJ359" s="49"/>
      <c r="BK359" s="111" t="s">
        <v>3728</v>
      </c>
      <c r="BL359" s="111" t="s">
        <v>3728</v>
      </c>
      <c r="BM359" s="111" t="s">
        <v>4175</v>
      </c>
      <c r="BN359" s="111" t="s">
        <v>4175</v>
      </c>
      <c r="BO359" s="2"/>
      <c r="BP359" s="3"/>
      <c r="BQ359" s="3"/>
      <c r="BR359" s="3"/>
      <c r="BS359" s="3"/>
    </row>
    <row r="360" spans="1:71" ht="15">
      <c r="A360" s="65" t="s">
        <v>694</v>
      </c>
      <c r="B360" s="66"/>
      <c r="C360" s="66"/>
      <c r="D360" s="67">
        <v>150</v>
      </c>
      <c r="E360" s="69"/>
      <c r="F360" s="103" t="str">
        <f>HYPERLINK("https://yt3.ggpht.com/ytc/AKedOLTr6WuJAI5_mFK0jBOvqDO21DtiWjHW0ow1B7N1hw=s88-c-k-c0x00ffffff-no-rj")</f>
        <v>https://yt3.ggpht.com/ytc/AKedOLTr6WuJAI5_mFK0jBOvqDO21DtiWjHW0ow1B7N1hw=s88-c-k-c0x00ffffff-no-rj</v>
      </c>
      <c r="G360" s="66"/>
      <c r="H360" s="70" t="s">
        <v>1761</v>
      </c>
      <c r="I360" s="71"/>
      <c r="J360" s="71" t="s">
        <v>159</v>
      </c>
      <c r="K360" s="70" t="s">
        <v>1761</v>
      </c>
      <c r="L360" s="74">
        <v>1</v>
      </c>
      <c r="M360" s="75">
        <v>7133.39892578125</v>
      </c>
      <c r="N360" s="75">
        <v>2505.52978515625</v>
      </c>
      <c r="O360" s="76"/>
      <c r="P360" s="77"/>
      <c r="Q360" s="77"/>
      <c r="R360" s="89"/>
      <c r="S360" s="49">
        <v>0</v>
      </c>
      <c r="T360" s="49">
        <v>1</v>
      </c>
      <c r="U360" s="50">
        <v>0</v>
      </c>
      <c r="V360" s="50">
        <v>0.478122</v>
      </c>
      <c r="W360" s="50">
        <v>0.03471</v>
      </c>
      <c r="X360" s="50">
        <v>0.001935</v>
      </c>
      <c r="Y360" s="50">
        <v>0</v>
      </c>
      <c r="Z360" s="50">
        <v>0</v>
      </c>
      <c r="AA360" s="72">
        <v>360</v>
      </c>
      <c r="AB360" s="72"/>
      <c r="AC360" s="73"/>
      <c r="AD360" s="80" t="s">
        <v>1761</v>
      </c>
      <c r="AE360" s="80"/>
      <c r="AF360" s="80"/>
      <c r="AG360" s="80"/>
      <c r="AH360" s="80"/>
      <c r="AI360" s="80"/>
      <c r="AJ360" s="87">
        <v>40190.093981481485</v>
      </c>
      <c r="AK360" s="85" t="str">
        <f>HYPERLINK("https://yt3.ggpht.com/ytc/AKedOLTr6WuJAI5_mFK0jBOvqDO21DtiWjHW0ow1B7N1hw=s88-c-k-c0x00ffffff-no-rj")</f>
        <v>https://yt3.ggpht.com/ytc/AKedOLTr6WuJAI5_mFK0jBOvqDO21DtiWjHW0ow1B7N1hw=s88-c-k-c0x00ffffff-no-rj</v>
      </c>
      <c r="AL360" s="80">
        <v>19</v>
      </c>
      <c r="AM360" s="80">
        <v>0</v>
      </c>
      <c r="AN360" s="80">
        <v>0</v>
      </c>
      <c r="AO360" s="80" t="b">
        <v>0</v>
      </c>
      <c r="AP360" s="80">
        <v>2</v>
      </c>
      <c r="AQ360" s="80"/>
      <c r="AR360" s="80"/>
      <c r="AS360" s="80" t="s">
        <v>2085</v>
      </c>
      <c r="AT360" s="85" t="str">
        <f>HYPERLINK("https://www.youtube.com/channel/UC5OttGzPjtnEhGeYA0maenA")</f>
        <v>https://www.youtube.com/channel/UC5OttGzPjtnEhGeYA0maenA</v>
      </c>
      <c r="AU360" s="80" t="str">
        <f>REPLACE(INDEX(GroupVertices[Group],MATCH(Vertices[[#This Row],[Vertex]],GroupVertices[Vertex],0)),1,1,"")</f>
        <v>1</v>
      </c>
      <c r="AV360" s="49">
        <v>1</v>
      </c>
      <c r="AW360" s="50">
        <v>3.0303030303030303</v>
      </c>
      <c r="AX360" s="49">
        <v>1</v>
      </c>
      <c r="AY360" s="50">
        <v>3.0303030303030303</v>
      </c>
      <c r="AZ360" s="49">
        <v>0</v>
      </c>
      <c r="BA360" s="50">
        <v>0</v>
      </c>
      <c r="BB360" s="49">
        <v>31</v>
      </c>
      <c r="BC360" s="50">
        <v>93.93939393939394</v>
      </c>
      <c r="BD360" s="49">
        <v>33</v>
      </c>
      <c r="BE360" s="49"/>
      <c r="BF360" s="49"/>
      <c r="BG360" s="49"/>
      <c r="BH360" s="49"/>
      <c r="BI360" s="49"/>
      <c r="BJ360" s="49"/>
      <c r="BK360" s="111" t="s">
        <v>3729</v>
      </c>
      <c r="BL360" s="111" t="s">
        <v>3729</v>
      </c>
      <c r="BM360" s="111" t="s">
        <v>4176</v>
      </c>
      <c r="BN360" s="111" t="s">
        <v>4176</v>
      </c>
      <c r="BO360" s="2"/>
      <c r="BP360" s="3"/>
      <c r="BQ360" s="3"/>
      <c r="BR360" s="3"/>
      <c r="BS360" s="3"/>
    </row>
    <row r="361" spans="1:71" ht="15">
      <c r="A361" s="65" t="s">
        <v>695</v>
      </c>
      <c r="B361" s="66"/>
      <c r="C361" s="66"/>
      <c r="D361" s="67">
        <v>150</v>
      </c>
      <c r="E361" s="69"/>
      <c r="F361" s="103" t="str">
        <f>HYPERLINK("https://yt3.ggpht.com/ytc/AKedOLR9KVzqZNzE7pwE4H4UZ6hJFjjcrZBVPxk_5A=s88-c-k-c0x00ffffff-no-rj")</f>
        <v>https://yt3.ggpht.com/ytc/AKedOLR9KVzqZNzE7pwE4H4UZ6hJFjjcrZBVPxk_5A=s88-c-k-c0x00ffffff-no-rj</v>
      </c>
      <c r="G361" s="66"/>
      <c r="H361" s="70" t="s">
        <v>1762</v>
      </c>
      <c r="I361" s="71"/>
      <c r="J361" s="71" t="s">
        <v>159</v>
      </c>
      <c r="K361" s="70" t="s">
        <v>1762</v>
      </c>
      <c r="L361" s="74">
        <v>1</v>
      </c>
      <c r="M361" s="75">
        <v>6873.88818359375</v>
      </c>
      <c r="N361" s="75">
        <v>3398.70947265625</v>
      </c>
      <c r="O361" s="76"/>
      <c r="P361" s="77"/>
      <c r="Q361" s="77"/>
      <c r="R361" s="89"/>
      <c r="S361" s="49">
        <v>0</v>
      </c>
      <c r="T361" s="49">
        <v>1</v>
      </c>
      <c r="U361" s="50">
        <v>0</v>
      </c>
      <c r="V361" s="50">
        <v>0.478122</v>
      </c>
      <c r="W361" s="50">
        <v>0.03471</v>
      </c>
      <c r="X361" s="50">
        <v>0.001935</v>
      </c>
      <c r="Y361" s="50">
        <v>0</v>
      </c>
      <c r="Z361" s="50">
        <v>0</v>
      </c>
      <c r="AA361" s="72">
        <v>361</v>
      </c>
      <c r="AB361" s="72"/>
      <c r="AC361" s="73"/>
      <c r="AD361" s="80" t="s">
        <v>1762</v>
      </c>
      <c r="AE361" s="80"/>
      <c r="AF361" s="80"/>
      <c r="AG361" s="80"/>
      <c r="AH361" s="80"/>
      <c r="AI361" s="80"/>
      <c r="AJ361" s="87">
        <v>44018.103159722225</v>
      </c>
      <c r="AK361" s="85" t="str">
        <f>HYPERLINK("https://yt3.ggpht.com/ytc/AKedOLR9KVzqZNzE7pwE4H4UZ6hJFjjcrZBVPxk_5A=s88-c-k-c0x00ffffff-no-rj")</f>
        <v>https://yt3.ggpht.com/ytc/AKedOLR9KVzqZNzE7pwE4H4UZ6hJFjjcrZBVPxk_5A=s88-c-k-c0x00ffffff-no-rj</v>
      </c>
      <c r="AL361" s="80">
        <v>0</v>
      </c>
      <c r="AM361" s="80">
        <v>0</v>
      </c>
      <c r="AN361" s="80">
        <v>0</v>
      </c>
      <c r="AO361" s="80" t="b">
        <v>0</v>
      </c>
      <c r="AP361" s="80">
        <v>0</v>
      </c>
      <c r="AQ361" s="80"/>
      <c r="AR361" s="80"/>
      <c r="AS361" s="80" t="s">
        <v>2085</v>
      </c>
      <c r="AT361" s="85" t="str">
        <f>HYPERLINK("https://www.youtube.com/channel/UCtykHqniLsvCit_SYfWBWng")</f>
        <v>https://www.youtube.com/channel/UCtykHqniLsvCit_SYfWBWng</v>
      </c>
      <c r="AU361" s="80" t="str">
        <f>REPLACE(INDEX(GroupVertices[Group],MATCH(Vertices[[#This Row],[Vertex]],GroupVertices[Vertex],0)),1,1,"")</f>
        <v>1</v>
      </c>
      <c r="AV361" s="49">
        <v>2</v>
      </c>
      <c r="AW361" s="50">
        <v>4.651162790697675</v>
      </c>
      <c r="AX361" s="49">
        <v>1</v>
      </c>
      <c r="AY361" s="50">
        <v>2.3255813953488373</v>
      </c>
      <c r="AZ361" s="49">
        <v>0</v>
      </c>
      <c r="BA361" s="50">
        <v>0</v>
      </c>
      <c r="BB361" s="49">
        <v>40</v>
      </c>
      <c r="BC361" s="50">
        <v>93.02325581395348</v>
      </c>
      <c r="BD361" s="49">
        <v>43</v>
      </c>
      <c r="BE361" s="49"/>
      <c r="BF361" s="49"/>
      <c r="BG361" s="49"/>
      <c r="BH361" s="49"/>
      <c r="BI361" s="49"/>
      <c r="BJ361" s="49"/>
      <c r="BK361" s="111" t="s">
        <v>3730</v>
      </c>
      <c r="BL361" s="111" t="s">
        <v>3847</v>
      </c>
      <c r="BM361" s="111" t="s">
        <v>4177</v>
      </c>
      <c r="BN361" s="111" t="s">
        <v>4177</v>
      </c>
      <c r="BO361" s="2"/>
      <c r="BP361" s="3"/>
      <c r="BQ361" s="3"/>
      <c r="BR361" s="3"/>
      <c r="BS361" s="3"/>
    </row>
    <row r="362" spans="1:71" ht="15">
      <c r="A362" s="65" t="s">
        <v>696</v>
      </c>
      <c r="B362" s="66"/>
      <c r="C362" s="66"/>
      <c r="D362" s="67">
        <v>150</v>
      </c>
      <c r="E362" s="69"/>
      <c r="F362" s="103" t="str">
        <f>HYPERLINK("https://yt3.ggpht.com/ytc/AKedOLQlM7YqtopmU4blQWHDK2sHsl87R2qbRBc1tqHtwg=s88-c-k-c0x00ffffff-no-rj")</f>
        <v>https://yt3.ggpht.com/ytc/AKedOLQlM7YqtopmU4blQWHDK2sHsl87R2qbRBc1tqHtwg=s88-c-k-c0x00ffffff-no-rj</v>
      </c>
      <c r="G362" s="66"/>
      <c r="H362" s="70" t="s">
        <v>1763</v>
      </c>
      <c r="I362" s="71"/>
      <c r="J362" s="71" t="s">
        <v>159</v>
      </c>
      <c r="K362" s="70" t="s">
        <v>1763</v>
      </c>
      <c r="L362" s="74">
        <v>1</v>
      </c>
      <c r="M362" s="75">
        <v>9691.1748046875</v>
      </c>
      <c r="N362" s="75">
        <v>676.4029541015625</v>
      </c>
      <c r="O362" s="76"/>
      <c r="P362" s="77"/>
      <c r="Q362" s="77"/>
      <c r="R362" s="89"/>
      <c r="S362" s="49">
        <v>0</v>
      </c>
      <c r="T362" s="49">
        <v>1</v>
      </c>
      <c r="U362" s="50">
        <v>0</v>
      </c>
      <c r="V362" s="50">
        <v>0.324168</v>
      </c>
      <c r="W362" s="50">
        <v>0.001665</v>
      </c>
      <c r="X362" s="50">
        <v>0.002061</v>
      </c>
      <c r="Y362" s="50">
        <v>0</v>
      </c>
      <c r="Z362" s="50">
        <v>0</v>
      </c>
      <c r="AA362" s="72">
        <v>362</v>
      </c>
      <c r="AB362" s="72"/>
      <c r="AC362" s="73"/>
      <c r="AD362" s="80" t="s">
        <v>1763</v>
      </c>
      <c r="AE362" s="80" t="s">
        <v>2030</v>
      </c>
      <c r="AF362" s="80"/>
      <c r="AG362" s="80"/>
      <c r="AH362" s="80"/>
      <c r="AI362" s="80"/>
      <c r="AJ362" s="87">
        <v>41608.140856481485</v>
      </c>
      <c r="AK362" s="85" t="str">
        <f>HYPERLINK("https://yt3.ggpht.com/ytc/AKedOLQlM7YqtopmU4blQWHDK2sHsl87R2qbRBc1tqHtwg=s88-c-k-c0x00ffffff-no-rj")</f>
        <v>https://yt3.ggpht.com/ytc/AKedOLQlM7YqtopmU4blQWHDK2sHsl87R2qbRBc1tqHtwg=s88-c-k-c0x00ffffff-no-rj</v>
      </c>
      <c r="AL362" s="80">
        <v>1162</v>
      </c>
      <c r="AM362" s="80">
        <v>0</v>
      </c>
      <c r="AN362" s="80">
        <v>7</v>
      </c>
      <c r="AO362" s="80" t="b">
        <v>0</v>
      </c>
      <c r="AP362" s="80">
        <v>1</v>
      </c>
      <c r="AQ362" s="80"/>
      <c r="AR362" s="80"/>
      <c r="AS362" s="80" t="s">
        <v>2085</v>
      </c>
      <c r="AT362" s="85" t="str">
        <f>HYPERLINK("https://www.youtube.com/channel/UCKhlJF4BnqWxPypLParOYiA")</f>
        <v>https://www.youtube.com/channel/UCKhlJF4BnqWxPypLParOYiA</v>
      </c>
      <c r="AU362" s="80" t="str">
        <f>REPLACE(INDEX(GroupVertices[Group],MATCH(Vertices[[#This Row],[Vertex]],GroupVertices[Vertex],0)),1,1,"")</f>
        <v>15</v>
      </c>
      <c r="AV362" s="49">
        <v>0</v>
      </c>
      <c r="AW362" s="50">
        <v>0</v>
      </c>
      <c r="AX362" s="49">
        <v>0</v>
      </c>
      <c r="AY362" s="50">
        <v>0</v>
      </c>
      <c r="AZ362" s="49">
        <v>0</v>
      </c>
      <c r="BA362" s="50">
        <v>0</v>
      </c>
      <c r="BB362" s="49">
        <v>7</v>
      </c>
      <c r="BC362" s="50">
        <v>100</v>
      </c>
      <c r="BD362" s="49">
        <v>7</v>
      </c>
      <c r="BE362" s="49"/>
      <c r="BF362" s="49"/>
      <c r="BG362" s="49"/>
      <c r="BH362" s="49"/>
      <c r="BI362" s="49"/>
      <c r="BJ362" s="49"/>
      <c r="BK362" s="111" t="s">
        <v>3731</v>
      </c>
      <c r="BL362" s="111" t="s">
        <v>3731</v>
      </c>
      <c r="BM362" s="111" t="s">
        <v>4178</v>
      </c>
      <c r="BN362" s="111" t="s">
        <v>4178</v>
      </c>
      <c r="BO362" s="2"/>
      <c r="BP362" s="3"/>
      <c r="BQ362" s="3"/>
      <c r="BR362" s="3"/>
      <c r="BS362" s="3"/>
    </row>
    <row r="363" spans="1:71" ht="15">
      <c r="A363" s="65" t="s">
        <v>697</v>
      </c>
      <c r="B363" s="66"/>
      <c r="C363" s="66"/>
      <c r="D363" s="67">
        <v>257.08850056369783</v>
      </c>
      <c r="E363" s="69"/>
      <c r="F363" s="103" t="str">
        <f>HYPERLINK("https://yt3.ggpht.com/ytc/AKedOLQjXLHd5p-nCCHaIruO7PhRLPa76oRL2PgFvTVfZw=s88-c-k-c0x00ffffff-no-rj")</f>
        <v>https://yt3.ggpht.com/ytc/AKedOLQjXLHd5p-nCCHaIruO7PhRLPa76oRL2PgFvTVfZw=s88-c-k-c0x00ffffff-no-rj</v>
      </c>
      <c r="G363" s="66"/>
      <c r="H363" s="70" t="s">
        <v>1764</v>
      </c>
      <c r="I363" s="71"/>
      <c r="J363" s="71" t="s">
        <v>75</v>
      </c>
      <c r="K363" s="70" t="s">
        <v>1764</v>
      </c>
      <c r="L363" s="74">
        <v>45.70324163334509</v>
      </c>
      <c r="M363" s="75">
        <v>9691.1748046875</v>
      </c>
      <c r="N363" s="75">
        <v>323.4970703125</v>
      </c>
      <c r="O363" s="76"/>
      <c r="P363" s="77"/>
      <c r="Q363" s="77"/>
      <c r="R363" s="89"/>
      <c r="S363" s="49">
        <v>1</v>
      </c>
      <c r="T363" s="49">
        <v>1</v>
      </c>
      <c r="U363" s="50">
        <v>894</v>
      </c>
      <c r="V363" s="50">
        <v>0.479144</v>
      </c>
      <c r="W363" s="50">
        <v>0.034791</v>
      </c>
      <c r="X363" s="50">
        <v>0.002244</v>
      </c>
      <c r="Y363" s="50">
        <v>0</v>
      </c>
      <c r="Z363" s="50">
        <v>0</v>
      </c>
      <c r="AA363" s="72">
        <v>363</v>
      </c>
      <c r="AB363" s="72"/>
      <c r="AC363" s="73"/>
      <c r="AD363" s="80" t="s">
        <v>1764</v>
      </c>
      <c r="AE363" s="80"/>
      <c r="AF363" s="80"/>
      <c r="AG363" s="80"/>
      <c r="AH363" s="80"/>
      <c r="AI363" s="80"/>
      <c r="AJ363" s="87">
        <v>42502.015185185184</v>
      </c>
      <c r="AK363" s="85" t="str">
        <f>HYPERLINK("https://yt3.ggpht.com/ytc/AKedOLQjXLHd5p-nCCHaIruO7PhRLPa76oRL2PgFvTVfZw=s88-c-k-c0x00ffffff-no-rj")</f>
        <v>https://yt3.ggpht.com/ytc/AKedOLQjXLHd5p-nCCHaIruO7PhRLPa76oRL2PgFvTVfZw=s88-c-k-c0x00ffffff-no-rj</v>
      </c>
      <c r="AL363" s="80">
        <v>0</v>
      </c>
      <c r="AM363" s="80">
        <v>0</v>
      </c>
      <c r="AN363" s="80">
        <v>4</v>
      </c>
      <c r="AO363" s="80" t="b">
        <v>0</v>
      </c>
      <c r="AP363" s="80">
        <v>0</v>
      </c>
      <c r="AQ363" s="80"/>
      <c r="AR363" s="80"/>
      <c r="AS363" s="80" t="s">
        <v>2085</v>
      </c>
      <c r="AT363" s="85" t="str">
        <f>HYPERLINK("https://www.youtube.com/channel/UCu7msg_TbTKDd5ilYzbW1Vg")</f>
        <v>https://www.youtube.com/channel/UCu7msg_TbTKDd5ilYzbW1Vg</v>
      </c>
      <c r="AU363" s="80" t="str">
        <f>REPLACE(INDEX(GroupVertices[Group],MATCH(Vertices[[#This Row],[Vertex]],GroupVertices[Vertex],0)),1,1,"")</f>
        <v>15</v>
      </c>
      <c r="AV363" s="49">
        <v>0</v>
      </c>
      <c r="AW363" s="50">
        <v>0</v>
      </c>
      <c r="AX363" s="49">
        <v>0</v>
      </c>
      <c r="AY363" s="50">
        <v>0</v>
      </c>
      <c r="AZ363" s="49">
        <v>0</v>
      </c>
      <c r="BA363" s="50">
        <v>0</v>
      </c>
      <c r="BB363" s="49">
        <v>3</v>
      </c>
      <c r="BC363" s="50">
        <v>100</v>
      </c>
      <c r="BD363" s="49">
        <v>3</v>
      </c>
      <c r="BE363" s="49"/>
      <c r="BF363" s="49"/>
      <c r="BG363" s="49"/>
      <c r="BH363" s="49"/>
      <c r="BI363" s="49"/>
      <c r="BJ363" s="49"/>
      <c r="BK363" s="111" t="s">
        <v>2574</v>
      </c>
      <c r="BL363" s="111" t="s">
        <v>2574</v>
      </c>
      <c r="BM363" s="111" t="s">
        <v>1927</v>
      </c>
      <c r="BN363" s="111" t="s">
        <v>1927</v>
      </c>
      <c r="BO363" s="2"/>
      <c r="BP363" s="3"/>
      <c r="BQ363" s="3"/>
      <c r="BR363" s="3"/>
      <c r="BS363" s="3"/>
    </row>
    <row r="364" spans="1:71" ht="15">
      <c r="A364" s="65" t="s">
        <v>698</v>
      </c>
      <c r="B364" s="66"/>
      <c r="C364" s="66"/>
      <c r="D364" s="67">
        <v>150</v>
      </c>
      <c r="E364" s="69"/>
      <c r="F364" s="103" t="str">
        <f>HYPERLINK("https://yt3.ggpht.com/ytc/AKedOLTTYbR50pL2kZ-pRagal0v3tqaPhHXbQIesrgZ1pA=s88-c-k-c0x00ffffff-no-rj")</f>
        <v>https://yt3.ggpht.com/ytc/AKedOLTTYbR50pL2kZ-pRagal0v3tqaPhHXbQIesrgZ1pA=s88-c-k-c0x00ffffff-no-rj</v>
      </c>
      <c r="G364" s="66"/>
      <c r="H364" s="70" t="s">
        <v>1765</v>
      </c>
      <c r="I364" s="71"/>
      <c r="J364" s="71" t="s">
        <v>159</v>
      </c>
      <c r="K364" s="70" t="s">
        <v>1765</v>
      </c>
      <c r="L364" s="74">
        <v>1</v>
      </c>
      <c r="M364" s="75">
        <v>5770.26025390625</v>
      </c>
      <c r="N364" s="75">
        <v>2774.91845703125</v>
      </c>
      <c r="O364" s="76"/>
      <c r="P364" s="77"/>
      <c r="Q364" s="77"/>
      <c r="R364" s="89"/>
      <c r="S364" s="49">
        <v>0</v>
      </c>
      <c r="T364" s="49">
        <v>1</v>
      </c>
      <c r="U364" s="50">
        <v>0</v>
      </c>
      <c r="V364" s="50">
        <v>0.478122</v>
      </c>
      <c r="W364" s="50">
        <v>0.03471</v>
      </c>
      <c r="X364" s="50">
        <v>0.001935</v>
      </c>
      <c r="Y364" s="50">
        <v>0</v>
      </c>
      <c r="Z364" s="50">
        <v>0</v>
      </c>
      <c r="AA364" s="72">
        <v>364</v>
      </c>
      <c r="AB364" s="72"/>
      <c r="AC364" s="73"/>
      <c r="AD364" s="80" t="s">
        <v>1765</v>
      </c>
      <c r="AE364" s="80" t="s">
        <v>2031</v>
      </c>
      <c r="AF364" s="80"/>
      <c r="AG364" s="80"/>
      <c r="AH364" s="80"/>
      <c r="AI364" s="80"/>
      <c r="AJ364" s="87">
        <v>43137.7806712963</v>
      </c>
      <c r="AK364" s="85" t="str">
        <f>HYPERLINK("https://yt3.ggpht.com/ytc/AKedOLTTYbR50pL2kZ-pRagal0v3tqaPhHXbQIesrgZ1pA=s88-c-k-c0x00ffffff-no-rj")</f>
        <v>https://yt3.ggpht.com/ytc/AKedOLTTYbR50pL2kZ-pRagal0v3tqaPhHXbQIesrgZ1pA=s88-c-k-c0x00ffffff-no-rj</v>
      </c>
      <c r="AL364" s="80">
        <v>0</v>
      </c>
      <c r="AM364" s="80">
        <v>0</v>
      </c>
      <c r="AN364" s="80">
        <v>1</v>
      </c>
      <c r="AO364" s="80" t="b">
        <v>0</v>
      </c>
      <c r="AP364" s="80">
        <v>0</v>
      </c>
      <c r="AQ364" s="80"/>
      <c r="AR364" s="80"/>
      <c r="AS364" s="80" t="s">
        <v>2085</v>
      </c>
      <c r="AT364" s="85" t="str">
        <f>HYPERLINK("https://www.youtube.com/channel/UCQcW4y-soRk-E0ggtcwC9EA")</f>
        <v>https://www.youtube.com/channel/UCQcW4y-soRk-E0ggtcwC9EA</v>
      </c>
      <c r="AU364" s="80" t="str">
        <f>REPLACE(INDEX(GroupVertices[Group],MATCH(Vertices[[#This Row],[Vertex]],GroupVertices[Vertex],0)),1,1,"")</f>
        <v>1</v>
      </c>
      <c r="AV364" s="49">
        <v>2</v>
      </c>
      <c r="AW364" s="50">
        <v>9.090909090909092</v>
      </c>
      <c r="AX364" s="49">
        <v>1</v>
      </c>
      <c r="AY364" s="50">
        <v>4.545454545454546</v>
      </c>
      <c r="AZ364" s="49">
        <v>0</v>
      </c>
      <c r="BA364" s="50">
        <v>0</v>
      </c>
      <c r="BB364" s="49">
        <v>19</v>
      </c>
      <c r="BC364" s="50">
        <v>86.36363636363636</v>
      </c>
      <c r="BD364" s="49">
        <v>22</v>
      </c>
      <c r="BE364" s="49"/>
      <c r="BF364" s="49"/>
      <c r="BG364" s="49"/>
      <c r="BH364" s="49"/>
      <c r="BI364" s="49"/>
      <c r="BJ364" s="49"/>
      <c r="BK364" s="111" t="s">
        <v>3732</v>
      </c>
      <c r="BL364" s="111" t="s">
        <v>3732</v>
      </c>
      <c r="BM364" s="111" t="s">
        <v>4179</v>
      </c>
      <c r="BN364" s="111" t="s">
        <v>4179</v>
      </c>
      <c r="BO364" s="2"/>
      <c r="BP364" s="3"/>
      <c r="BQ364" s="3"/>
      <c r="BR364" s="3"/>
      <c r="BS364" s="3"/>
    </row>
    <row r="365" spans="1:71" ht="15">
      <c r="A365" s="65" t="s">
        <v>699</v>
      </c>
      <c r="B365" s="66"/>
      <c r="C365" s="66"/>
      <c r="D365" s="67">
        <v>150</v>
      </c>
      <c r="E365" s="69"/>
      <c r="F365" s="103" t="str">
        <f>HYPERLINK("https://yt3.ggpht.com/8odkwmJpAOv6xjjh1TMCGq5NAZFUmctlkId9Fee-lb7uU-pTUDLJJP5rVeblICmwqN6XY3ztIxQ=s88-c-k-c0x00ffffff-no-rj")</f>
        <v>https://yt3.ggpht.com/8odkwmJpAOv6xjjh1TMCGq5NAZFUmctlkId9Fee-lb7uU-pTUDLJJP5rVeblICmwqN6XY3ztIxQ=s88-c-k-c0x00ffffff-no-rj</v>
      </c>
      <c r="G365" s="66"/>
      <c r="H365" s="70" t="s">
        <v>1766</v>
      </c>
      <c r="I365" s="71"/>
      <c r="J365" s="71" t="s">
        <v>159</v>
      </c>
      <c r="K365" s="70" t="s">
        <v>1766</v>
      </c>
      <c r="L365" s="74">
        <v>1</v>
      </c>
      <c r="M365" s="75">
        <v>5809.2021484375</v>
      </c>
      <c r="N365" s="75">
        <v>2569.26220703125</v>
      </c>
      <c r="O365" s="76"/>
      <c r="P365" s="77"/>
      <c r="Q365" s="77"/>
      <c r="R365" s="89"/>
      <c r="S365" s="49">
        <v>0</v>
      </c>
      <c r="T365" s="49">
        <v>1</v>
      </c>
      <c r="U365" s="50">
        <v>0</v>
      </c>
      <c r="V365" s="50">
        <v>0.478122</v>
      </c>
      <c r="W365" s="50">
        <v>0.03471</v>
      </c>
      <c r="X365" s="50">
        <v>0.001935</v>
      </c>
      <c r="Y365" s="50">
        <v>0</v>
      </c>
      <c r="Z365" s="50">
        <v>0</v>
      </c>
      <c r="AA365" s="72">
        <v>365</v>
      </c>
      <c r="AB365" s="72"/>
      <c r="AC365" s="73"/>
      <c r="AD365" s="80" t="s">
        <v>1766</v>
      </c>
      <c r="AE365" s="80" t="s">
        <v>2032</v>
      </c>
      <c r="AF365" s="80"/>
      <c r="AG365" s="80"/>
      <c r="AH365" s="80"/>
      <c r="AI365" s="80"/>
      <c r="AJ365" s="87">
        <v>43181.00524305556</v>
      </c>
      <c r="AK365" s="85" t="str">
        <f>HYPERLINK("https://yt3.ggpht.com/8odkwmJpAOv6xjjh1TMCGq5NAZFUmctlkId9Fee-lb7uU-pTUDLJJP5rVeblICmwqN6XY3ztIxQ=s88-c-k-c0x00ffffff-no-rj")</f>
        <v>https://yt3.ggpht.com/8odkwmJpAOv6xjjh1TMCGq5NAZFUmctlkId9Fee-lb7uU-pTUDLJJP5rVeblICmwqN6XY3ztIxQ=s88-c-k-c0x00ffffff-no-rj</v>
      </c>
      <c r="AL365" s="80">
        <v>8799</v>
      </c>
      <c r="AM365" s="80">
        <v>0</v>
      </c>
      <c r="AN365" s="80">
        <v>46</v>
      </c>
      <c r="AO365" s="80" t="b">
        <v>0</v>
      </c>
      <c r="AP365" s="80">
        <v>100</v>
      </c>
      <c r="AQ365" s="80"/>
      <c r="AR365" s="80"/>
      <c r="AS365" s="80" t="s">
        <v>2085</v>
      </c>
      <c r="AT365" s="85" t="str">
        <f>HYPERLINK("https://www.youtube.com/channel/UCiqUmhSikatfBMqyTrS3UMQ")</f>
        <v>https://www.youtube.com/channel/UCiqUmhSikatfBMqyTrS3UMQ</v>
      </c>
      <c r="AU365" s="80" t="str">
        <f>REPLACE(INDEX(GroupVertices[Group],MATCH(Vertices[[#This Row],[Vertex]],GroupVertices[Vertex],0)),1,1,"")</f>
        <v>1</v>
      </c>
      <c r="AV365" s="49">
        <v>6</v>
      </c>
      <c r="AW365" s="50">
        <v>4.37956204379562</v>
      </c>
      <c r="AX365" s="49">
        <v>10</v>
      </c>
      <c r="AY365" s="50">
        <v>7.299270072992701</v>
      </c>
      <c r="AZ365" s="49">
        <v>0</v>
      </c>
      <c r="BA365" s="50">
        <v>0</v>
      </c>
      <c r="BB365" s="49">
        <v>121</v>
      </c>
      <c r="BC365" s="50">
        <v>88.32116788321167</v>
      </c>
      <c r="BD365" s="49">
        <v>137</v>
      </c>
      <c r="BE365" s="49" t="s">
        <v>3391</v>
      </c>
      <c r="BF365" s="49" t="s">
        <v>3391</v>
      </c>
      <c r="BG365" s="49" t="s">
        <v>1922</v>
      </c>
      <c r="BH365" s="49" t="s">
        <v>1922</v>
      </c>
      <c r="BI365" s="49"/>
      <c r="BJ365" s="49"/>
      <c r="BK365" s="111" t="s">
        <v>3733</v>
      </c>
      <c r="BL365" s="111" t="s">
        <v>3733</v>
      </c>
      <c r="BM365" s="111" t="s">
        <v>4180</v>
      </c>
      <c r="BN365" s="111" t="s">
        <v>4180</v>
      </c>
      <c r="BO365" s="2"/>
      <c r="BP365" s="3"/>
      <c r="BQ365" s="3"/>
      <c r="BR365" s="3"/>
      <c r="BS365" s="3"/>
    </row>
    <row r="366" spans="1:71" ht="15">
      <c r="A366" s="65" t="s">
        <v>700</v>
      </c>
      <c r="B366" s="66"/>
      <c r="C366" s="66"/>
      <c r="D366" s="67">
        <v>150</v>
      </c>
      <c r="E366" s="69"/>
      <c r="F366" s="103" t="str">
        <f>HYPERLINK("https://yt3.ggpht.com/ytc/AKedOLT858ApNu7lDGkU03soJh2GXmlEsKBwbgFveQ=s88-c-k-c0x00ffffff-no-rj")</f>
        <v>https://yt3.ggpht.com/ytc/AKedOLT858ApNu7lDGkU03soJh2GXmlEsKBwbgFveQ=s88-c-k-c0x00ffffff-no-rj</v>
      </c>
      <c r="G366" s="66"/>
      <c r="H366" s="70" t="s">
        <v>1767</v>
      </c>
      <c r="I366" s="71"/>
      <c r="J366" s="71" t="s">
        <v>159</v>
      </c>
      <c r="K366" s="70" t="s">
        <v>1767</v>
      </c>
      <c r="L366" s="74">
        <v>1</v>
      </c>
      <c r="M366" s="75">
        <v>5007.0478515625</v>
      </c>
      <c r="N366" s="75">
        <v>434.4227600097656</v>
      </c>
      <c r="O366" s="76"/>
      <c r="P366" s="77"/>
      <c r="Q366" s="77"/>
      <c r="R366" s="89"/>
      <c r="S366" s="49">
        <v>0</v>
      </c>
      <c r="T366" s="49">
        <v>1</v>
      </c>
      <c r="U366" s="50">
        <v>0</v>
      </c>
      <c r="V366" s="50">
        <v>0.478122</v>
      </c>
      <c r="W366" s="50">
        <v>0.03471</v>
      </c>
      <c r="X366" s="50">
        <v>0.001935</v>
      </c>
      <c r="Y366" s="50">
        <v>0</v>
      </c>
      <c r="Z366" s="50">
        <v>0</v>
      </c>
      <c r="AA366" s="72">
        <v>366</v>
      </c>
      <c r="AB366" s="72"/>
      <c r="AC366" s="73"/>
      <c r="AD366" s="80" t="s">
        <v>1767</v>
      </c>
      <c r="AE366" s="80"/>
      <c r="AF366" s="80"/>
      <c r="AG366" s="80"/>
      <c r="AH366" s="80"/>
      <c r="AI366" s="80"/>
      <c r="AJ366" s="87">
        <v>42371.68002314815</v>
      </c>
      <c r="AK366" s="85" t="str">
        <f>HYPERLINK("https://yt3.ggpht.com/ytc/AKedOLT858ApNu7lDGkU03soJh2GXmlEsKBwbgFveQ=s88-c-k-c0x00ffffff-no-rj")</f>
        <v>https://yt3.ggpht.com/ytc/AKedOLT858ApNu7lDGkU03soJh2GXmlEsKBwbgFveQ=s88-c-k-c0x00ffffff-no-rj</v>
      </c>
      <c r="AL366" s="80">
        <v>0</v>
      </c>
      <c r="AM366" s="80">
        <v>0</v>
      </c>
      <c r="AN366" s="80">
        <v>0</v>
      </c>
      <c r="AO366" s="80" t="b">
        <v>0</v>
      </c>
      <c r="AP366" s="80">
        <v>0</v>
      </c>
      <c r="AQ366" s="80"/>
      <c r="AR366" s="80"/>
      <c r="AS366" s="80" t="s">
        <v>2085</v>
      </c>
      <c r="AT366" s="85" t="str">
        <f>HYPERLINK("https://www.youtube.com/channel/UCcZQzbvYvsvOlIx_G6Zz9GQ")</f>
        <v>https://www.youtube.com/channel/UCcZQzbvYvsvOlIx_G6Zz9GQ</v>
      </c>
      <c r="AU366" s="80" t="str">
        <f>REPLACE(INDEX(GroupVertices[Group],MATCH(Vertices[[#This Row],[Vertex]],GroupVertices[Vertex],0)),1,1,"")</f>
        <v>1</v>
      </c>
      <c r="AV366" s="49">
        <v>0</v>
      </c>
      <c r="AW366" s="50">
        <v>0</v>
      </c>
      <c r="AX366" s="49">
        <v>0</v>
      </c>
      <c r="AY366" s="50">
        <v>0</v>
      </c>
      <c r="AZ366" s="49">
        <v>0</v>
      </c>
      <c r="BA366" s="50">
        <v>0</v>
      </c>
      <c r="BB366" s="49">
        <v>27</v>
      </c>
      <c r="BC366" s="50">
        <v>100</v>
      </c>
      <c r="BD366" s="49">
        <v>27</v>
      </c>
      <c r="BE366" s="49"/>
      <c r="BF366" s="49"/>
      <c r="BG366" s="49"/>
      <c r="BH366" s="49"/>
      <c r="BI366" s="49"/>
      <c r="BJ366" s="49"/>
      <c r="BK366" s="111" t="s">
        <v>3734</v>
      </c>
      <c r="BL366" s="111" t="s">
        <v>3734</v>
      </c>
      <c r="BM366" s="111" t="s">
        <v>4181</v>
      </c>
      <c r="BN366" s="111" t="s">
        <v>4181</v>
      </c>
      <c r="BO366" s="2"/>
      <c r="BP366" s="3"/>
      <c r="BQ366" s="3"/>
      <c r="BR366" s="3"/>
      <c r="BS366" s="3"/>
    </row>
    <row r="367" spans="1:71" ht="15">
      <c r="A367" s="65" t="s">
        <v>701</v>
      </c>
      <c r="B367" s="66"/>
      <c r="C367" s="66"/>
      <c r="D367" s="67">
        <v>150</v>
      </c>
      <c r="E367" s="69"/>
      <c r="F367" s="103" t="str">
        <f>HYPERLINK("https://yt3.ggpht.com/YDcRiw1JbjTy0yTn9f8CmKlmDoa_RaP7JBNImvVNXEK6QM1tkooEGIC2JfWUEpiEn769kyeVoA=s88-c-k-c0x00ffffff-no-rj")</f>
        <v>https://yt3.ggpht.com/YDcRiw1JbjTy0yTn9f8CmKlmDoa_RaP7JBNImvVNXEK6QM1tkooEGIC2JfWUEpiEn769kyeVoA=s88-c-k-c0x00ffffff-no-rj</v>
      </c>
      <c r="G367" s="66"/>
      <c r="H367" s="70" t="s">
        <v>1768</v>
      </c>
      <c r="I367" s="71"/>
      <c r="J367" s="71" t="s">
        <v>159</v>
      </c>
      <c r="K367" s="70" t="s">
        <v>1768</v>
      </c>
      <c r="L367" s="74">
        <v>1</v>
      </c>
      <c r="M367" s="75">
        <v>2872.924072265625</v>
      </c>
      <c r="N367" s="75">
        <v>3308.25732421875</v>
      </c>
      <c r="O367" s="76"/>
      <c r="P367" s="77"/>
      <c r="Q367" s="77"/>
      <c r="R367" s="89"/>
      <c r="S367" s="49">
        <v>0</v>
      </c>
      <c r="T367" s="49">
        <v>1</v>
      </c>
      <c r="U367" s="50">
        <v>0</v>
      </c>
      <c r="V367" s="50">
        <v>0.478122</v>
      </c>
      <c r="W367" s="50">
        <v>0.03471</v>
      </c>
      <c r="X367" s="50">
        <v>0.001935</v>
      </c>
      <c r="Y367" s="50">
        <v>0</v>
      </c>
      <c r="Z367" s="50">
        <v>0</v>
      </c>
      <c r="AA367" s="72">
        <v>367</v>
      </c>
      <c r="AB367" s="72"/>
      <c r="AC367" s="73"/>
      <c r="AD367" s="80" t="s">
        <v>1768</v>
      </c>
      <c r="AE367" s="80"/>
      <c r="AF367" s="80"/>
      <c r="AG367" s="80"/>
      <c r="AH367" s="80"/>
      <c r="AI367" s="80"/>
      <c r="AJ367" s="87">
        <v>42124.78570601852</v>
      </c>
      <c r="AK367" s="85" t="str">
        <f>HYPERLINK("https://yt3.ggpht.com/YDcRiw1JbjTy0yTn9f8CmKlmDoa_RaP7JBNImvVNXEK6QM1tkooEGIC2JfWUEpiEn769kyeVoA=s88-c-k-c0x00ffffff-no-rj")</f>
        <v>https://yt3.ggpht.com/YDcRiw1JbjTy0yTn9f8CmKlmDoa_RaP7JBNImvVNXEK6QM1tkooEGIC2JfWUEpiEn769kyeVoA=s88-c-k-c0x00ffffff-no-rj</v>
      </c>
      <c r="AL367" s="80">
        <v>30027</v>
      </c>
      <c r="AM367" s="80">
        <v>0</v>
      </c>
      <c r="AN367" s="80">
        <v>167</v>
      </c>
      <c r="AO367" s="80" t="b">
        <v>0</v>
      </c>
      <c r="AP367" s="80">
        <v>2</v>
      </c>
      <c r="AQ367" s="80"/>
      <c r="AR367" s="80"/>
      <c r="AS367" s="80" t="s">
        <v>2085</v>
      </c>
      <c r="AT367" s="85" t="str">
        <f>HYPERLINK("https://www.youtube.com/channel/UC_tpxB3Xb6X5CEY5cRCiHFQ")</f>
        <v>https://www.youtube.com/channel/UC_tpxB3Xb6X5CEY5cRCiHFQ</v>
      </c>
      <c r="AU367" s="80" t="str">
        <f>REPLACE(INDEX(GroupVertices[Group],MATCH(Vertices[[#This Row],[Vertex]],GroupVertices[Vertex],0)),1,1,"")</f>
        <v>1</v>
      </c>
      <c r="AV367" s="49">
        <v>0</v>
      </c>
      <c r="AW367" s="50">
        <v>0</v>
      </c>
      <c r="AX367" s="49">
        <v>0</v>
      </c>
      <c r="AY367" s="50">
        <v>0</v>
      </c>
      <c r="AZ367" s="49">
        <v>0</v>
      </c>
      <c r="BA367" s="50">
        <v>0</v>
      </c>
      <c r="BB367" s="49">
        <v>14</v>
      </c>
      <c r="BC367" s="50">
        <v>100</v>
      </c>
      <c r="BD367" s="49">
        <v>14</v>
      </c>
      <c r="BE367" s="49"/>
      <c r="BF367" s="49"/>
      <c r="BG367" s="49"/>
      <c r="BH367" s="49"/>
      <c r="BI367" s="49"/>
      <c r="BJ367" s="49"/>
      <c r="BK367" s="111" t="s">
        <v>3735</v>
      </c>
      <c r="BL367" s="111" t="s">
        <v>3735</v>
      </c>
      <c r="BM367" s="111" t="s">
        <v>4182</v>
      </c>
      <c r="BN367" s="111" t="s">
        <v>4182</v>
      </c>
      <c r="BO367" s="2"/>
      <c r="BP367" s="3"/>
      <c r="BQ367" s="3"/>
      <c r="BR367" s="3"/>
      <c r="BS367" s="3"/>
    </row>
    <row r="368" spans="1:71" ht="15">
      <c r="A368" s="65" t="s">
        <v>702</v>
      </c>
      <c r="B368" s="66"/>
      <c r="C368" s="66"/>
      <c r="D368" s="67">
        <v>150</v>
      </c>
      <c r="E368" s="69"/>
      <c r="F368" s="103" t="str">
        <f>HYPERLINK("https://yt3.ggpht.com/ytc/AKedOLRjqFXkvt3NlHFH6lOvkj86wp88jnsrTymyfVP4uVg=s88-c-k-c0x00ffffff-no-rj")</f>
        <v>https://yt3.ggpht.com/ytc/AKedOLRjqFXkvt3NlHFH6lOvkj86wp88jnsrTymyfVP4uVg=s88-c-k-c0x00ffffff-no-rj</v>
      </c>
      <c r="G368" s="66"/>
      <c r="H368" s="70" t="s">
        <v>1769</v>
      </c>
      <c r="I368" s="71"/>
      <c r="J368" s="71" t="s">
        <v>159</v>
      </c>
      <c r="K368" s="70" t="s">
        <v>1769</v>
      </c>
      <c r="L368" s="74">
        <v>1</v>
      </c>
      <c r="M368" s="75">
        <v>1179.3277587890625</v>
      </c>
      <c r="N368" s="75">
        <v>3187.37158203125</v>
      </c>
      <c r="O368" s="76"/>
      <c r="P368" s="77"/>
      <c r="Q368" s="77"/>
      <c r="R368" s="89"/>
      <c r="S368" s="49">
        <v>0</v>
      </c>
      <c r="T368" s="49">
        <v>1</v>
      </c>
      <c r="U368" s="50">
        <v>0</v>
      </c>
      <c r="V368" s="50">
        <v>0.478122</v>
      </c>
      <c r="W368" s="50">
        <v>0.03471</v>
      </c>
      <c r="X368" s="50">
        <v>0.001935</v>
      </c>
      <c r="Y368" s="50">
        <v>0</v>
      </c>
      <c r="Z368" s="50">
        <v>0</v>
      </c>
      <c r="AA368" s="72">
        <v>368</v>
      </c>
      <c r="AB368" s="72"/>
      <c r="AC368" s="73"/>
      <c r="AD368" s="80" t="s">
        <v>1769</v>
      </c>
      <c r="AE368" s="80"/>
      <c r="AF368" s="80"/>
      <c r="AG368" s="80"/>
      <c r="AH368" s="80"/>
      <c r="AI368" s="80" t="s">
        <v>2080</v>
      </c>
      <c r="AJ368" s="87">
        <v>40787.05186342593</v>
      </c>
      <c r="AK368" s="85" t="str">
        <f>HYPERLINK("https://yt3.ggpht.com/ytc/AKedOLRjqFXkvt3NlHFH6lOvkj86wp88jnsrTymyfVP4uVg=s88-c-k-c0x00ffffff-no-rj")</f>
        <v>https://yt3.ggpht.com/ytc/AKedOLRjqFXkvt3NlHFH6lOvkj86wp88jnsrTymyfVP4uVg=s88-c-k-c0x00ffffff-no-rj</v>
      </c>
      <c r="AL368" s="80">
        <v>588</v>
      </c>
      <c r="AM368" s="80">
        <v>0</v>
      </c>
      <c r="AN368" s="80">
        <v>6</v>
      </c>
      <c r="AO368" s="80" t="b">
        <v>0</v>
      </c>
      <c r="AP368" s="80">
        <v>7</v>
      </c>
      <c r="AQ368" s="80"/>
      <c r="AR368" s="80"/>
      <c r="AS368" s="80" t="s">
        <v>2085</v>
      </c>
      <c r="AT368" s="85" t="str">
        <f>HYPERLINK("https://www.youtube.com/channel/UCj44qcgUYdNDInFvaLWlZTw")</f>
        <v>https://www.youtube.com/channel/UCj44qcgUYdNDInFvaLWlZTw</v>
      </c>
      <c r="AU368" s="80" t="str">
        <f>REPLACE(INDEX(GroupVertices[Group],MATCH(Vertices[[#This Row],[Vertex]],GroupVertices[Vertex],0)),1,1,"")</f>
        <v>1</v>
      </c>
      <c r="AV368" s="49">
        <v>1</v>
      </c>
      <c r="AW368" s="50">
        <v>6.666666666666667</v>
      </c>
      <c r="AX368" s="49">
        <v>0</v>
      </c>
      <c r="AY368" s="50">
        <v>0</v>
      </c>
      <c r="AZ368" s="49">
        <v>0</v>
      </c>
      <c r="BA368" s="50">
        <v>0</v>
      </c>
      <c r="BB368" s="49">
        <v>14</v>
      </c>
      <c r="BC368" s="50">
        <v>93.33333333333333</v>
      </c>
      <c r="BD368" s="49">
        <v>15</v>
      </c>
      <c r="BE368" s="49"/>
      <c r="BF368" s="49"/>
      <c r="BG368" s="49"/>
      <c r="BH368" s="49"/>
      <c r="BI368" s="49"/>
      <c r="BJ368" s="49"/>
      <c r="BK368" s="111" t="s">
        <v>3736</v>
      </c>
      <c r="BL368" s="111" t="s">
        <v>3736</v>
      </c>
      <c r="BM368" s="111" t="s">
        <v>4183</v>
      </c>
      <c r="BN368" s="111" t="s">
        <v>4183</v>
      </c>
      <c r="BO368" s="2"/>
      <c r="BP368" s="3"/>
      <c r="BQ368" s="3"/>
      <c r="BR368" s="3"/>
      <c r="BS368" s="3"/>
    </row>
    <row r="369" spans="1:71" ht="15">
      <c r="A369" s="65" t="s">
        <v>703</v>
      </c>
      <c r="B369" s="66"/>
      <c r="C369" s="66"/>
      <c r="D369" s="67">
        <v>150</v>
      </c>
      <c r="E369" s="69"/>
      <c r="F369" s="103" t="str">
        <f>HYPERLINK("https://yt3.ggpht.com/ytc/AKedOLRONh4ISG7o063tTR7azoEtg_Ghqp6LemzCq7riaA=s88-c-k-c0x00ffffff-no-rj")</f>
        <v>https://yt3.ggpht.com/ytc/AKedOLRONh4ISG7o063tTR7azoEtg_Ghqp6LemzCq7riaA=s88-c-k-c0x00ffffff-no-rj</v>
      </c>
      <c r="G369" s="66"/>
      <c r="H369" s="70" t="s">
        <v>1770</v>
      </c>
      <c r="I369" s="71"/>
      <c r="J369" s="71" t="s">
        <v>159</v>
      </c>
      <c r="K369" s="70" t="s">
        <v>1770</v>
      </c>
      <c r="L369" s="74">
        <v>1</v>
      </c>
      <c r="M369" s="75">
        <v>4357.53662109375</v>
      </c>
      <c r="N369" s="75">
        <v>9640.298828125</v>
      </c>
      <c r="O369" s="76"/>
      <c r="P369" s="77"/>
      <c r="Q369" s="77"/>
      <c r="R369" s="89"/>
      <c r="S369" s="49">
        <v>0</v>
      </c>
      <c r="T369" s="49">
        <v>1</v>
      </c>
      <c r="U369" s="50">
        <v>0</v>
      </c>
      <c r="V369" s="50">
        <v>0.478122</v>
      </c>
      <c r="W369" s="50">
        <v>0.03471</v>
      </c>
      <c r="X369" s="50">
        <v>0.001935</v>
      </c>
      <c r="Y369" s="50">
        <v>0</v>
      </c>
      <c r="Z369" s="50">
        <v>0</v>
      </c>
      <c r="AA369" s="72">
        <v>369</v>
      </c>
      <c r="AB369" s="72"/>
      <c r="AC369" s="73"/>
      <c r="AD369" s="80" t="s">
        <v>1770</v>
      </c>
      <c r="AE369" s="80"/>
      <c r="AF369" s="80"/>
      <c r="AG369" s="80"/>
      <c r="AH369" s="80"/>
      <c r="AI369" s="80"/>
      <c r="AJ369" s="87">
        <v>41611.58319444444</v>
      </c>
      <c r="AK369" s="85" t="str">
        <f>HYPERLINK("https://yt3.ggpht.com/ytc/AKedOLRONh4ISG7o063tTR7azoEtg_Ghqp6LemzCq7riaA=s88-c-k-c0x00ffffff-no-rj")</f>
        <v>https://yt3.ggpht.com/ytc/AKedOLRONh4ISG7o063tTR7azoEtg_Ghqp6LemzCq7riaA=s88-c-k-c0x00ffffff-no-rj</v>
      </c>
      <c r="AL369" s="80">
        <v>0</v>
      </c>
      <c r="AM369" s="80">
        <v>0</v>
      </c>
      <c r="AN369" s="80">
        <v>0</v>
      </c>
      <c r="AO369" s="80" t="b">
        <v>0</v>
      </c>
      <c r="AP369" s="80">
        <v>0</v>
      </c>
      <c r="AQ369" s="80"/>
      <c r="AR369" s="80"/>
      <c r="AS369" s="80" t="s">
        <v>2085</v>
      </c>
      <c r="AT369" s="85" t="str">
        <f>HYPERLINK("https://www.youtube.com/channel/UCntsAjL0yK2lXDl0tJtIbEA")</f>
        <v>https://www.youtube.com/channel/UCntsAjL0yK2lXDl0tJtIbEA</v>
      </c>
      <c r="AU369" s="80" t="str">
        <f>REPLACE(INDEX(GroupVertices[Group],MATCH(Vertices[[#This Row],[Vertex]],GroupVertices[Vertex],0)),1,1,"")</f>
        <v>1</v>
      </c>
      <c r="AV369" s="49">
        <v>2</v>
      </c>
      <c r="AW369" s="50">
        <v>13.333333333333334</v>
      </c>
      <c r="AX369" s="49">
        <v>0</v>
      </c>
      <c r="AY369" s="50">
        <v>0</v>
      </c>
      <c r="AZ369" s="49">
        <v>0</v>
      </c>
      <c r="BA369" s="50">
        <v>0</v>
      </c>
      <c r="BB369" s="49">
        <v>13</v>
      </c>
      <c r="BC369" s="50">
        <v>86.66666666666667</v>
      </c>
      <c r="BD369" s="49">
        <v>15</v>
      </c>
      <c r="BE369" s="49"/>
      <c r="BF369" s="49"/>
      <c r="BG369" s="49"/>
      <c r="BH369" s="49"/>
      <c r="BI369" s="49"/>
      <c r="BJ369" s="49"/>
      <c r="BK369" s="111" t="s">
        <v>3737</v>
      </c>
      <c r="BL369" s="111" t="s">
        <v>3737</v>
      </c>
      <c r="BM369" s="111" t="s">
        <v>4184</v>
      </c>
      <c r="BN369" s="111" t="s">
        <v>4184</v>
      </c>
      <c r="BO369" s="2"/>
      <c r="BP369" s="3"/>
      <c r="BQ369" s="3"/>
      <c r="BR369" s="3"/>
      <c r="BS369" s="3"/>
    </row>
    <row r="370" spans="1:71" ht="15">
      <c r="A370" s="65" t="s">
        <v>704</v>
      </c>
      <c r="B370" s="66"/>
      <c r="C370" s="66"/>
      <c r="D370" s="67">
        <v>150</v>
      </c>
      <c r="E370" s="69"/>
      <c r="F370" s="103" t="str">
        <f>HYPERLINK("https://yt3.ggpht.com/ytc/AKedOLR_fpIyJqUiG3ZBJmkNOOIyvZg_DGXWjLgFgKGzeQ=s88-c-k-c0x00ffffff-no-rj")</f>
        <v>https://yt3.ggpht.com/ytc/AKedOLR_fpIyJqUiG3ZBJmkNOOIyvZg_DGXWjLgFgKGzeQ=s88-c-k-c0x00ffffff-no-rj</v>
      </c>
      <c r="G370" s="66"/>
      <c r="H370" s="70" t="s">
        <v>1771</v>
      </c>
      <c r="I370" s="71"/>
      <c r="J370" s="71" t="s">
        <v>159</v>
      </c>
      <c r="K370" s="70" t="s">
        <v>1771</v>
      </c>
      <c r="L370" s="74">
        <v>1</v>
      </c>
      <c r="M370" s="75">
        <v>3942.5126953125</v>
      </c>
      <c r="N370" s="75">
        <v>9102.013671875</v>
      </c>
      <c r="O370" s="76"/>
      <c r="P370" s="77"/>
      <c r="Q370" s="77"/>
      <c r="R370" s="89"/>
      <c r="S370" s="49">
        <v>0</v>
      </c>
      <c r="T370" s="49">
        <v>1</v>
      </c>
      <c r="U370" s="50">
        <v>0</v>
      </c>
      <c r="V370" s="50">
        <v>0.478122</v>
      </c>
      <c r="W370" s="50">
        <v>0.03471</v>
      </c>
      <c r="X370" s="50">
        <v>0.001935</v>
      </c>
      <c r="Y370" s="50">
        <v>0</v>
      </c>
      <c r="Z370" s="50">
        <v>0</v>
      </c>
      <c r="AA370" s="72">
        <v>370</v>
      </c>
      <c r="AB370" s="72"/>
      <c r="AC370" s="73"/>
      <c r="AD370" s="80" t="s">
        <v>1771</v>
      </c>
      <c r="AE370" s="80" t="s">
        <v>2033</v>
      </c>
      <c r="AF370" s="80"/>
      <c r="AG370" s="80"/>
      <c r="AH370" s="80"/>
      <c r="AI370" s="80"/>
      <c r="AJ370" s="87">
        <v>41634.31810185185</v>
      </c>
      <c r="AK370" s="85" t="str">
        <f>HYPERLINK("https://yt3.ggpht.com/ytc/AKedOLR_fpIyJqUiG3ZBJmkNOOIyvZg_DGXWjLgFgKGzeQ=s88-c-k-c0x00ffffff-no-rj")</f>
        <v>https://yt3.ggpht.com/ytc/AKedOLR_fpIyJqUiG3ZBJmkNOOIyvZg_DGXWjLgFgKGzeQ=s88-c-k-c0x00ffffff-no-rj</v>
      </c>
      <c r="AL370" s="80">
        <v>19708</v>
      </c>
      <c r="AM370" s="80">
        <v>0</v>
      </c>
      <c r="AN370" s="80">
        <v>91</v>
      </c>
      <c r="AO370" s="80" t="b">
        <v>0</v>
      </c>
      <c r="AP370" s="80">
        <v>13</v>
      </c>
      <c r="AQ370" s="80"/>
      <c r="AR370" s="80"/>
      <c r="AS370" s="80" t="s">
        <v>2085</v>
      </c>
      <c r="AT370" s="85" t="str">
        <f>HYPERLINK("https://www.youtube.com/channel/UCg_03iJSFVf9olqAw89UrtQ")</f>
        <v>https://www.youtube.com/channel/UCg_03iJSFVf9olqAw89UrtQ</v>
      </c>
      <c r="AU370" s="80" t="str">
        <f>REPLACE(INDEX(GroupVertices[Group],MATCH(Vertices[[#This Row],[Vertex]],GroupVertices[Vertex],0)),1,1,"")</f>
        <v>1</v>
      </c>
      <c r="AV370" s="49">
        <v>0</v>
      </c>
      <c r="AW370" s="50">
        <v>0</v>
      </c>
      <c r="AX370" s="49">
        <v>1</v>
      </c>
      <c r="AY370" s="50">
        <v>8.333333333333334</v>
      </c>
      <c r="AZ370" s="49">
        <v>0</v>
      </c>
      <c r="BA370" s="50">
        <v>0</v>
      </c>
      <c r="BB370" s="49">
        <v>11</v>
      </c>
      <c r="BC370" s="50">
        <v>91.66666666666667</v>
      </c>
      <c r="BD370" s="49">
        <v>12</v>
      </c>
      <c r="BE370" s="49"/>
      <c r="BF370" s="49"/>
      <c r="BG370" s="49"/>
      <c r="BH370" s="49"/>
      <c r="BI370" s="49"/>
      <c r="BJ370" s="49"/>
      <c r="BK370" s="111" t="s">
        <v>3738</v>
      </c>
      <c r="BL370" s="111" t="s">
        <v>3738</v>
      </c>
      <c r="BM370" s="111" t="s">
        <v>4185</v>
      </c>
      <c r="BN370" s="111" t="s">
        <v>4185</v>
      </c>
      <c r="BO370" s="2"/>
      <c r="BP370" s="3"/>
      <c r="BQ370" s="3"/>
      <c r="BR370" s="3"/>
      <c r="BS370" s="3"/>
    </row>
    <row r="371" spans="1:71" ht="15">
      <c r="A371" s="65" t="s">
        <v>705</v>
      </c>
      <c r="B371" s="66"/>
      <c r="C371" s="66"/>
      <c r="D371" s="67">
        <v>150</v>
      </c>
      <c r="E371" s="69"/>
      <c r="F371" s="103" t="str">
        <f>HYPERLINK("https://yt3.ggpht.com/ytc/AKedOLS1Gt-orAIawXOSAXmjFoUCQc89LYqdWmxq58Eqog=s88-c-k-c0x00ffffff-no-rj")</f>
        <v>https://yt3.ggpht.com/ytc/AKedOLS1Gt-orAIawXOSAXmjFoUCQc89LYqdWmxq58Eqog=s88-c-k-c0x00ffffff-no-rj</v>
      </c>
      <c r="G371" s="66"/>
      <c r="H371" s="70" t="s">
        <v>1772</v>
      </c>
      <c r="I371" s="71"/>
      <c r="J371" s="71" t="s">
        <v>159</v>
      </c>
      <c r="K371" s="70" t="s">
        <v>1772</v>
      </c>
      <c r="L371" s="74">
        <v>1</v>
      </c>
      <c r="M371" s="75">
        <v>5619.3037109375</v>
      </c>
      <c r="N371" s="75">
        <v>678.3845825195312</v>
      </c>
      <c r="O371" s="76"/>
      <c r="P371" s="77"/>
      <c r="Q371" s="77"/>
      <c r="R371" s="89"/>
      <c r="S371" s="49">
        <v>0</v>
      </c>
      <c r="T371" s="49">
        <v>1</v>
      </c>
      <c r="U371" s="50">
        <v>0</v>
      </c>
      <c r="V371" s="50">
        <v>0.478122</v>
      </c>
      <c r="W371" s="50">
        <v>0.03471</v>
      </c>
      <c r="X371" s="50">
        <v>0.001935</v>
      </c>
      <c r="Y371" s="50">
        <v>0</v>
      </c>
      <c r="Z371" s="50">
        <v>0</v>
      </c>
      <c r="AA371" s="72">
        <v>371</v>
      </c>
      <c r="AB371" s="72"/>
      <c r="AC371" s="73"/>
      <c r="AD371" s="80" t="s">
        <v>1772</v>
      </c>
      <c r="AE371" s="80"/>
      <c r="AF371" s="80"/>
      <c r="AG371" s="80"/>
      <c r="AH371" s="80"/>
      <c r="AI371" s="80"/>
      <c r="AJ371" s="87">
        <v>41740.13295138889</v>
      </c>
      <c r="AK371" s="85" t="str">
        <f>HYPERLINK("https://yt3.ggpht.com/ytc/AKedOLS1Gt-orAIawXOSAXmjFoUCQc89LYqdWmxq58Eqog=s88-c-k-c0x00ffffff-no-rj")</f>
        <v>https://yt3.ggpht.com/ytc/AKedOLS1Gt-orAIawXOSAXmjFoUCQc89LYqdWmxq58Eqog=s88-c-k-c0x00ffffff-no-rj</v>
      </c>
      <c r="AL371" s="80">
        <v>0</v>
      </c>
      <c r="AM371" s="80">
        <v>0</v>
      </c>
      <c r="AN371" s="80">
        <v>0</v>
      </c>
      <c r="AO371" s="80" t="b">
        <v>0</v>
      </c>
      <c r="AP371" s="80">
        <v>0</v>
      </c>
      <c r="AQ371" s="80"/>
      <c r="AR371" s="80"/>
      <c r="AS371" s="80" t="s">
        <v>2085</v>
      </c>
      <c r="AT371" s="85" t="str">
        <f>HYPERLINK("https://www.youtube.com/channel/UCLY5WEJeSbQoZIPD5RGdPgg")</f>
        <v>https://www.youtube.com/channel/UCLY5WEJeSbQoZIPD5RGdPgg</v>
      </c>
      <c r="AU371" s="80" t="str">
        <f>REPLACE(INDEX(GroupVertices[Group],MATCH(Vertices[[#This Row],[Vertex]],GroupVertices[Vertex],0)),1,1,"")</f>
        <v>1</v>
      </c>
      <c r="AV371" s="49">
        <v>2</v>
      </c>
      <c r="AW371" s="50">
        <v>20</v>
      </c>
      <c r="AX371" s="49">
        <v>0</v>
      </c>
      <c r="AY371" s="50">
        <v>0</v>
      </c>
      <c r="AZ371" s="49">
        <v>0</v>
      </c>
      <c r="BA371" s="50">
        <v>0</v>
      </c>
      <c r="BB371" s="49">
        <v>8</v>
      </c>
      <c r="BC371" s="50">
        <v>80</v>
      </c>
      <c r="BD371" s="49">
        <v>10</v>
      </c>
      <c r="BE371" s="49"/>
      <c r="BF371" s="49"/>
      <c r="BG371" s="49"/>
      <c r="BH371" s="49"/>
      <c r="BI371" s="49"/>
      <c r="BJ371" s="49"/>
      <c r="BK371" s="111" t="s">
        <v>3739</v>
      </c>
      <c r="BL371" s="111" t="s">
        <v>3739</v>
      </c>
      <c r="BM371" s="111" t="s">
        <v>4186</v>
      </c>
      <c r="BN371" s="111" t="s">
        <v>4186</v>
      </c>
      <c r="BO371" s="2"/>
      <c r="BP371" s="3"/>
      <c r="BQ371" s="3"/>
      <c r="BR371" s="3"/>
      <c r="BS371" s="3"/>
    </row>
    <row r="372" spans="1:71" ht="15">
      <c r="A372" s="65" t="s">
        <v>706</v>
      </c>
      <c r="B372" s="66"/>
      <c r="C372" s="66"/>
      <c r="D372" s="67">
        <v>150</v>
      </c>
      <c r="E372" s="69"/>
      <c r="F372" s="103" t="str">
        <f>HYPERLINK("https://yt3.ggpht.com/ytc/AKedOLTXoTKrF0YReHum5lH-x9CYfB0Vl9XcWUqErzQZ=s88-c-k-c0x00ffffff-no-rj")</f>
        <v>https://yt3.ggpht.com/ytc/AKedOLTXoTKrF0YReHum5lH-x9CYfB0Vl9XcWUqErzQZ=s88-c-k-c0x00ffffff-no-rj</v>
      </c>
      <c r="G372" s="66"/>
      <c r="H372" s="70" t="s">
        <v>1773</v>
      </c>
      <c r="I372" s="71"/>
      <c r="J372" s="71" t="s">
        <v>159</v>
      </c>
      <c r="K372" s="70" t="s">
        <v>1773</v>
      </c>
      <c r="L372" s="74">
        <v>1</v>
      </c>
      <c r="M372" s="75">
        <v>480.58087158203125</v>
      </c>
      <c r="N372" s="75">
        <v>6418.42919921875</v>
      </c>
      <c r="O372" s="76"/>
      <c r="P372" s="77"/>
      <c r="Q372" s="77"/>
      <c r="R372" s="89"/>
      <c r="S372" s="49">
        <v>0</v>
      </c>
      <c r="T372" s="49">
        <v>1</v>
      </c>
      <c r="U372" s="50">
        <v>0</v>
      </c>
      <c r="V372" s="50">
        <v>0.478122</v>
      </c>
      <c r="W372" s="50">
        <v>0.03471</v>
      </c>
      <c r="X372" s="50">
        <v>0.001935</v>
      </c>
      <c r="Y372" s="50">
        <v>0</v>
      </c>
      <c r="Z372" s="50">
        <v>0</v>
      </c>
      <c r="AA372" s="72">
        <v>372</v>
      </c>
      <c r="AB372" s="72"/>
      <c r="AC372" s="73"/>
      <c r="AD372" s="80" t="s">
        <v>1773</v>
      </c>
      <c r="AE372" s="80"/>
      <c r="AF372" s="80"/>
      <c r="AG372" s="80"/>
      <c r="AH372" s="80"/>
      <c r="AI372" s="80"/>
      <c r="AJ372" s="87">
        <v>43947.44148148148</v>
      </c>
      <c r="AK372" s="85" t="str">
        <f>HYPERLINK("https://yt3.ggpht.com/ytc/AKedOLTXoTKrF0YReHum5lH-x9CYfB0Vl9XcWUqErzQZ=s88-c-k-c0x00ffffff-no-rj")</f>
        <v>https://yt3.ggpht.com/ytc/AKedOLTXoTKrF0YReHum5lH-x9CYfB0Vl9XcWUqErzQZ=s88-c-k-c0x00ffffff-no-rj</v>
      </c>
      <c r="AL372" s="80">
        <v>0</v>
      </c>
      <c r="AM372" s="80">
        <v>0</v>
      </c>
      <c r="AN372" s="80">
        <v>0</v>
      </c>
      <c r="AO372" s="80" t="b">
        <v>0</v>
      </c>
      <c r="AP372" s="80">
        <v>0</v>
      </c>
      <c r="AQ372" s="80"/>
      <c r="AR372" s="80"/>
      <c r="AS372" s="80" t="s">
        <v>2085</v>
      </c>
      <c r="AT372" s="85" t="str">
        <f>HYPERLINK("https://www.youtube.com/channel/UCIEXLv6qwXPTqd5t0BSaIhw")</f>
        <v>https://www.youtube.com/channel/UCIEXLv6qwXPTqd5t0BSaIhw</v>
      </c>
      <c r="AU372" s="80" t="str">
        <f>REPLACE(INDEX(GroupVertices[Group],MATCH(Vertices[[#This Row],[Vertex]],GroupVertices[Vertex],0)),1,1,"")</f>
        <v>1</v>
      </c>
      <c r="AV372" s="49">
        <v>0</v>
      </c>
      <c r="AW372" s="50">
        <v>0</v>
      </c>
      <c r="AX372" s="49">
        <v>5</v>
      </c>
      <c r="AY372" s="50">
        <v>9.803921568627452</v>
      </c>
      <c r="AZ372" s="49">
        <v>0</v>
      </c>
      <c r="BA372" s="50">
        <v>0</v>
      </c>
      <c r="BB372" s="49">
        <v>46</v>
      </c>
      <c r="BC372" s="50">
        <v>90.19607843137256</v>
      </c>
      <c r="BD372" s="49">
        <v>51</v>
      </c>
      <c r="BE372" s="49"/>
      <c r="BF372" s="49"/>
      <c r="BG372" s="49"/>
      <c r="BH372" s="49"/>
      <c r="BI372" s="49"/>
      <c r="BJ372" s="49"/>
      <c r="BK372" s="111" t="s">
        <v>3740</v>
      </c>
      <c r="BL372" s="111" t="s">
        <v>3740</v>
      </c>
      <c r="BM372" s="111" t="s">
        <v>4187</v>
      </c>
      <c r="BN372" s="111" t="s">
        <v>4187</v>
      </c>
      <c r="BO372" s="2"/>
      <c r="BP372" s="3"/>
      <c r="BQ372" s="3"/>
      <c r="BR372" s="3"/>
      <c r="BS372" s="3"/>
    </row>
    <row r="373" spans="1:71" ht="15">
      <c r="A373" s="65" t="s">
        <v>707</v>
      </c>
      <c r="B373" s="66"/>
      <c r="C373" s="66"/>
      <c r="D373" s="67">
        <v>150</v>
      </c>
      <c r="E373" s="69"/>
      <c r="F373" s="103" t="str">
        <f>HYPERLINK("https://yt3.ggpht.com/ytc/AKedOLTywPk7ELO0bRXZMP2mZlSbkHdVeb2_JvlWWg=s88-c-k-c0x00ffffff-no-rj")</f>
        <v>https://yt3.ggpht.com/ytc/AKedOLTywPk7ELO0bRXZMP2mZlSbkHdVeb2_JvlWWg=s88-c-k-c0x00ffffff-no-rj</v>
      </c>
      <c r="G373" s="66"/>
      <c r="H373" s="70" t="s">
        <v>1774</v>
      </c>
      <c r="I373" s="71"/>
      <c r="J373" s="71" t="s">
        <v>159</v>
      </c>
      <c r="K373" s="70" t="s">
        <v>1774</v>
      </c>
      <c r="L373" s="74">
        <v>1</v>
      </c>
      <c r="M373" s="75">
        <v>3701.2236328125</v>
      </c>
      <c r="N373" s="75">
        <v>2997.9697265625</v>
      </c>
      <c r="O373" s="76"/>
      <c r="P373" s="77"/>
      <c r="Q373" s="77"/>
      <c r="R373" s="89"/>
      <c r="S373" s="49">
        <v>0</v>
      </c>
      <c r="T373" s="49">
        <v>1</v>
      </c>
      <c r="U373" s="50">
        <v>0</v>
      </c>
      <c r="V373" s="50">
        <v>0.478122</v>
      </c>
      <c r="W373" s="50">
        <v>0.03471</v>
      </c>
      <c r="X373" s="50">
        <v>0.001935</v>
      </c>
      <c r="Y373" s="50">
        <v>0</v>
      </c>
      <c r="Z373" s="50">
        <v>0</v>
      </c>
      <c r="AA373" s="72">
        <v>373</v>
      </c>
      <c r="AB373" s="72"/>
      <c r="AC373" s="73"/>
      <c r="AD373" s="80" t="s">
        <v>1774</v>
      </c>
      <c r="AE373" s="80"/>
      <c r="AF373" s="80"/>
      <c r="AG373" s="80"/>
      <c r="AH373" s="80"/>
      <c r="AI373" s="80"/>
      <c r="AJ373" s="87">
        <v>40763.15557870371</v>
      </c>
      <c r="AK373" s="85" t="str">
        <f>HYPERLINK("https://yt3.ggpht.com/ytc/AKedOLTywPk7ELO0bRXZMP2mZlSbkHdVeb2_JvlWWg=s88-c-k-c0x00ffffff-no-rj")</f>
        <v>https://yt3.ggpht.com/ytc/AKedOLTywPk7ELO0bRXZMP2mZlSbkHdVeb2_JvlWWg=s88-c-k-c0x00ffffff-no-rj</v>
      </c>
      <c r="AL373" s="80">
        <v>0</v>
      </c>
      <c r="AM373" s="80">
        <v>0</v>
      </c>
      <c r="AN373" s="80">
        <v>0</v>
      </c>
      <c r="AO373" s="80" t="b">
        <v>0</v>
      </c>
      <c r="AP373" s="80">
        <v>0</v>
      </c>
      <c r="AQ373" s="80"/>
      <c r="AR373" s="80"/>
      <c r="AS373" s="80" t="s">
        <v>2085</v>
      </c>
      <c r="AT373" s="85" t="str">
        <f>HYPERLINK("https://www.youtube.com/channel/UCBbL0oZ57VlwHVLXsV4Du7A")</f>
        <v>https://www.youtube.com/channel/UCBbL0oZ57VlwHVLXsV4Du7A</v>
      </c>
      <c r="AU373" s="80" t="str">
        <f>REPLACE(INDEX(GroupVertices[Group],MATCH(Vertices[[#This Row],[Vertex]],GroupVertices[Vertex],0)),1,1,"")</f>
        <v>1</v>
      </c>
      <c r="AV373" s="49">
        <v>0</v>
      </c>
      <c r="AW373" s="50">
        <v>0</v>
      </c>
      <c r="AX373" s="49">
        <v>2</v>
      </c>
      <c r="AY373" s="50">
        <v>5.555555555555555</v>
      </c>
      <c r="AZ373" s="49">
        <v>0</v>
      </c>
      <c r="BA373" s="50">
        <v>0</v>
      </c>
      <c r="BB373" s="49">
        <v>34</v>
      </c>
      <c r="BC373" s="50">
        <v>94.44444444444444</v>
      </c>
      <c r="BD373" s="49">
        <v>36</v>
      </c>
      <c r="BE373" s="49"/>
      <c r="BF373" s="49"/>
      <c r="BG373" s="49"/>
      <c r="BH373" s="49"/>
      <c r="BI373" s="49"/>
      <c r="BJ373" s="49"/>
      <c r="BK373" s="111" t="s">
        <v>3741</v>
      </c>
      <c r="BL373" s="111" t="s">
        <v>3741</v>
      </c>
      <c r="BM373" s="111" t="s">
        <v>4188</v>
      </c>
      <c r="BN373" s="111" t="s">
        <v>4188</v>
      </c>
      <c r="BO373" s="2"/>
      <c r="BP373" s="3"/>
      <c r="BQ373" s="3"/>
      <c r="BR373" s="3"/>
      <c r="BS373" s="3"/>
    </row>
    <row r="374" spans="1:71" ht="15">
      <c r="A374" s="65" t="s">
        <v>708</v>
      </c>
      <c r="B374" s="66"/>
      <c r="C374" s="66"/>
      <c r="D374" s="67">
        <v>150</v>
      </c>
      <c r="E374" s="69"/>
      <c r="F374" s="103" t="str">
        <f>HYPERLINK("https://yt3.ggpht.com/ytc/AKedOLSv9TWTm7Sx5OdRNv83HC0gJfz31ROsJJjMnLfotQ=s88-c-k-c0x00ffffff-no-rj")</f>
        <v>https://yt3.ggpht.com/ytc/AKedOLSv9TWTm7Sx5OdRNv83HC0gJfz31ROsJJjMnLfotQ=s88-c-k-c0x00ffffff-no-rj</v>
      </c>
      <c r="G374" s="66"/>
      <c r="H374" s="70" t="s">
        <v>1775</v>
      </c>
      <c r="I374" s="71"/>
      <c r="J374" s="71" t="s">
        <v>159</v>
      </c>
      <c r="K374" s="70" t="s">
        <v>1775</v>
      </c>
      <c r="L374" s="74">
        <v>1</v>
      </c>
      <c r="M374" s="75">
        <v>3845.677001953125</v>
      </c>
      <c r="N374" s="75">
        <v>8041.11328125</v>
      </c>
      <c r="O374" s="76"/>
      <c r="P374" s="77"/>
      <c r="Q374" s="77"/>
      <c r="R374" s="89"/>
      <c r="S374" s="49">
        <v>0</v>
      </c>
      <c r="T374" s="49">
        <v>1</v>
      </c>
      <c r="U374" s="50">
        <v>0</v>
      </c>
      <c r="V374" s="50">
        <v>0.478122</v>
      </c>
      <c r="W374" s="50">
        <v>0.03471</v>
      </c>
      <c r="X374" s="50">
        <v>0.001935</v>
      </c>
      <c r="Y374" s="50">
        <v>0</v>
      </c>
      <c r="Z374" s="50">
        <v>0</v>
      </c>
      <c r="AA374" s="72">
        <v>374</v>
      </c>
      <c r="AB374" s="72"/>
      <c r="AC374" s="73"/>
      <c r="AD374" s="80" t="s">
        <v>1775</v>
      </c>
      <c r="AE374" s="80"/>
      <c r="AF374" s="80"/>
      <c r="AG374" s="80"/>
      <c r="AH374" s="80"/>
      <c r="AI374" s="80"/>
      <c r="AJ374" s="87">
        <v>40820.22828703704</v>
      </c>
      <c r="AK374" s="85" t="str">
        <f>HYPERLINK("https://yt3.ggpht.com/ytc/AKedOLSv9TWTm7Sx5OdRNv83HC0gJfz31ROsJJjMnLfotQ=s88-c-k-c0x00ffffff-no-rj")</f>
        <v>https://yt3.ggpht.com/ytc/AKedOLSv9TWTm7Sx5OdRNv83HC0gJfz31ROsJJjMnLfotQ=s88-c-k-c0x00ffffff-no-rj</v>
      </c>
      <c r="AL374" s="80">
        <v>0</v>
      </c>
      <c r="AM374" s="80">
        <v>0</v>
      </c>
      <c r="AN374" s="80">
        <v>37</v>
      </c>
      <c r="AO374" s="80" t="b">
        <v>0</v>
      </c>
      <c r="AP374" s="80">
        <v>0</v>
      </c>
      <c r="AQ374" s="80"/>
      <c r="AR374" s="80"/>
      <c r="AS374" s="80" t="s">
        <v>2085</v>
      </c>
      <c r="AT374" s="85" t="str">
        <f>HYPERLINK("https://www.youtube.com/channel/UCGhQcael1605jqEQJQgIUJg")</f>
        <v>https://www.youtube.com/channel/UCGhQcael1605jqEQJQgIUJg</v>
      </c>
      <c r="AU374" s="80" t="str">
        <f>REPLACE(INDEX(GroupVertices[Group],MATCH(Vertices[[#This Row],[Vertex]],GroupVertices[Vertex],0)),1,1,"")</f>
        <v>1</v>
      </c>
      <c r="AV374" s="49">
        <v>4</v>
      </c>
      <c r="AW374" s="50">
        <v>3.007518796992481</v>
      </c>
      <c r="AX374" s="49">
        <v>9</v>
      </c>
      <c r="AY374" s="50">
        <v>6.7669172932330826</v>
      </c>
      <c r="AZ374" s="49">
        <v>0</v>
      </c>
      <c r="BA374" s="50">
        <v>0</v>
      </c>
      <c r="BB374" s="49">
        <v>120</v>
      </c>
      <c r="BC374" s="50">
        <v>90.22556390977444</v>
      </c>
      <c r="BD374" s="49">
        <v>133</v>
      </c>
      <c r="BE374" s="49"/>
      <c r="BF374" s="49"/>
      <c r="BG374" s="49"/>
      <c r="BH374" s="49"/>
      <c r="BI374" s="49"/>
      <c r="BJ374" s="49"/>
      <c r="BK374" s="111" t="s">
        <v>3742</v>
      </c>
      <c r="BL374" s="111" t="s">
        <v>3742</v>
      </c>
      <c r="BM374" s="111" t="s">
        <v>4189</v>
      </c>
      <c r="BN374" s="111" t="s">
        <v>4189</v>
      </c>
      <c r="BO374" s="2"/>
      <c r="BP374" s="3"/>
      <c r="BQ374" s="3"/>
      <c r="BR374" s="3"/>
      <c r="BS374" s="3"/>
    </row>
    <row r="375" spans="1:71" ht="15">
      <c r="A375" s="65" t="s">
        <v>709</v>
      </c>
      <c r="B375" s="66"/>
      <c r="C375" s="66"/>
      <c r="D375" s="67">
        <v>150</v>
      </c>
      <c r="E375" s="69"/>
      <c r="F375" s="103" t="str">
        <f>HYPERLINK("https://yt3.ggpht.com/ytc/AKedOLRhIEXqk7AE0yUpnneMJviTClyFX-sQJNjvJhermA=s88-c-k-c0x00ffffff-no-rj")</f>
        <v>https://yt3.ggpht.com/ytc/AKedOLRhIEXqk7AE0yUpnneMJviTClyFX-sQJNjvJhermA=s88-c-k-c0x00ffffff-no-rj</v>
      </c>
      <c r="G375" s="66"/>
      <c r="H375" s="70" t="s">
        <v>1776</v>
      </c>
      <c r="I375" s="71"/>
      <c r="J375" s="71" t="s">
        <v>159</v>
      </c>
      <c r="K375" s="70" t="s">
        <v>1776</v>
      </c>
      <c r="L375" s="74">
        <v>1</v>
      </c>
      <c r="M375" s="75">
        <v>2426.305419921875</v>
      </c>
      <c r="N375" s="75">
        <v>8823.5419921875</v>
      </c>
      <c r="O375" s="76"/>
      <c r="P375" s="77"/>
      <c r="Q375" s="77"/>
      <c r="R375" s="89"/>
      <c r="S375" s="49">
        <v>0</v>
      </c>
      <c r="T375" s="49">
        <v>1</v>
      </c>
      <c r="U375" s="50">
        <v>0</v>
      </c>
      <c r="V375" s="50">
        <v>0.478122</v>
      </c>
      <c r="W375" s="50">
        <v>0.03471</v>
      </c>
      <c r="X375" s="50">
        <v>0.001935</v>
      </c>
      <c r="Y375" s="50">
        <v>0</v>
      </c>
      <c r="Z375" s="50">
        <v>0</v>
      </c>
      <c r="AA375" s="72">
        <v>375</v>
      </c>
      <c r="AB375" s="72"/>
      <c r="AC375" s="73"/>
      <c r="AD375" s="80" t="s">
        <v>1776</v>
      </c>
      <c r="AE375" s="80" t="s">
        <v>2034</v>
      </c>
      <c r="AF375" s="80"/>
      <c r="AG375" s="80"/>
      <c r="AH375" s="80"/>
      <c r="AI375" s="80"/>
      <c r="AJ375" s="87">
        <v>39126.10900462963</v>
      </c>
      <c r="AK375" s="85" t="str">
        <f>HYPERLINK("https://yt3.ggpht.com/ytc/AKedOLRhIEXqk7AE0yUpnneMJviTClyFX-sQJNjvJhermA=s88-c-k-c0x00ffffff-no-rj")</f>
        <v>https://yt3.ggpht.com/ytc/AKedOLRhIEXqk7AE0yUpnneMJviTClyFX-sQJNjvJhermA=s88-c-k-c0x00ffffff-no-rj</v>
      </c>
      <c r="AL375" s="80">
        <v>6850</v>
      </c>
      <c r="AM375" s="80">
        <v>0</v>
      </c>
      <c r="AN375" s="80">
        <v>42</v>
      </c>
      <c r="AO375" s="80" t="b">
        <v>0</v>
      </c>
      <c r="AP375" s="80">
        <v>43</v>
      </c>
      <c r="AQ375" s="80"/>
      <c r="AR375" s="80"/>
      <c r="AS375" s="80" t="s">
        <v>2085</v>
      </c>
      <c r="AT375" s="85" t="str">
        <f>HYPERLINK("https://www.youtube.com/channel/UCOIptuTS78Ihq07rrMqjvyw")</f>
        <v>https://www.youtube.com/channel/UCOIptuTS78Ihq07rrMqjvyw</v>
      </c>
      <c r="AU375" s="80" t="str">
        <f>REPLACE(INDEX(GroupVertices[Group],MATCH(Vertices[[#This Row],[Vertex]],GroupVertices[Vertex],0)),1,1,"")</f>
        <v>1</v>
      </c>
      <c r="AV375" s="49">
        <v>2</v>
      </c>
      <c r="AW375" s="50">
        <v>7.6923076923076925</v>
      </c>
      <c r="AX375" s="49">
        <v>2</v>
      </c>
      <c r="AY375" s="50">
        <v>7.6923076923076925</v>
      </c>
      <c r="AZ375" s="49">
        <v>0</v>
      </c>
      <c r="BA375" s="50">
        <v>0</v>
      </c>
      <c r="BB375" s="49">
        <v>22</v>
      </c>
      <c r="BC375" s="50">
        <v>84.61538461538461</v>
      </c>
      <c r="BD375" s="49">
        <v>26</v>
      </c>
      <c r="BE375" s="49"/>
      <c r="BF375" s="49"/>
      <c r="BG375" s="49"/>
      <c r="BH375" s="49"/>
      <c r="BI375" s="49"/>
      <c r="BJ375" s="49"/>
      <c r="BK375" s="111" t="s">
        <v>3743</v>
      </c>
      <c r="BL375" s="111" t="s">
        <v>3743</v>
      </c>
      <c r="BM375" s="111" t="s">
        <v>4190</v>
      </c>
      <c r="BN375" s="111" t="s">
        <v>4190</v>
      </c>
      <c r="BO375" s="2"/>
      <c r="BP375" s="3"/>
      <c r="BQ375" s="3"/>
      <c r="BR375" s="3"/>
      <c r="BS375" s="3"/>
    </row>
    <row r="376" spans="1:71" ht="15">
      <c r="A376" s="65" t="s">
        <v>710</v>
      </c>
      <c r="B376" s="66"/>
      <c r="C376" s="66"/>
      <c r="D376" s="67">
        <v>150</v>
      </c>
      <c r="E376" s="69"/>
      <c r="F376" s="103" t="str">
        <f>HYPERLINK("https://yt3.ggpht.com/ytc/AKedOLQhzY_PeBSj4jY9dEUM6e_X0oBiXxbHvV0HlQ=s88-c-k-c0x00ffffff-no-rj")</f>
        <v>https://yt3.ggpht.com/ytc/AKedOLQhzY_PeBSj4jY9dEUM6e_X0oBiXxbHvV0HlQ=s88-c-k-c0x00ffffff-no-rj</v>
      </c>
      <c r="G376" s="66"/>
      <c r="H376" s="70" t="s">
        <v>1777</v>
      </c>
      <c r="I376" s="71"/>
      <c r="J376" s="71" t="s">
        <v>159</v>
      </c>
      <c r="K376" s="70" t="s">
        <v>1777</v>
      </c>
      <c r="L376" s="74">
        <v>1</v>
      </c>
      <c r="M376" s="75">
        <v>5898.6240234375</v>
      </c>
      <c r="N376" s="75">
        <v>8941.1611328125</v>
      </c>
      <c r="O376" s="76"/>
      <c r="P376" s="77"/>
      <c r="Q376" s="77"/>
      <c r="R376" s="89"/>
      <c r="S376" s="49">
        <v>0</v>
      </c>
      <c r="T376" s="49">
        <v>1</v>
      </c>
      <c r="U376" s="50">
        <v>0</v>
      </c>
      <c r="V376" s="50">
        <v>0.478122</v>
      </c>
      <c r="W376" s="50">
        <v>0.03471</v>
      </c>
      <c r="X376" s="50">
        <v>0.001935</v>
      </c>
      <c r="Y376" s="50">
        <v>0</v>
      </c>
      <c r="Z376" s="50">
        <v>0</v>
      </c>
      <c r="AA376" s="72">
        <v>376</v>
      </c>
      <c r="AB376" s="72"/>
      <c r="AC376" s="73"/>
      <c r="AD376" s="80" t="s">
        <v>1777</v>
      </c>
      <c r="AE376" s="80"/>
      <c r="AF376" s="80"/>
      <c r="AG376" s="80"/>
      <c r="AH376" s="80"/>
      <c r="AI376" s="80"/>
      <c r="AJ376" s="87">
        <v>41047.81196759259</v>
      </c>
      <c r="AK376" s="85" t="str">
        <f>HYPERLINK("https://yt3.ggpht.com/ytc/AKedOLQhzY_PeBSj4jY9dEUM6e_X0oBiXxbHvV0HlQ=s88-c-k-c0x00ffffff-no-rj")</f>
        <v>https://yt3.ggpht.com/ytc/AKedOLQhzY_PeBSj4jY9dEUM6e_X0oBiXxbHvV0HlQ=s88-c-k-c0x00ffffff-no-rj</v>
      </c>
      <c r="AL376" s="80">
        <v>12</v>
      </c>
      <c r="AM376" s="80">
        <v>0</v>
      </c>
      <c r="AN376" s="80">
        <v>0</v>
      </c>
      <c r="AO376" s="80" t="b">
        <v>0</v>
      </c>
      <c r="AP376" s="80">
        <v>4</v>
      </c>
      <c r="AQ376" s="80"/>
      <c r="AR376" s="80"/>
      <c r="AS376" s="80" t="s">
        <v>2085</v>
      </c>
      <c r="AT376" s="85" t="str">
        <f>HYPERLINK("https://www.youtube.com/channel/UCZpj_jBodqeant50BhG2rOg")</f>
        <v>https://www.youtube.com/channel/UCZpj_jBodqeant50BhG2rOg</v>
      </c>
      <c r="AU376" s="80" t="str">
        <f>REPLACE(INDEX(GroupVertices[Group],MATCH(Vertices[[#This Row],[Vertex]],GroupVertices[Vertex],0)),1,1,"")</f>
        <v>1</v>
      </c>
      <c r="AV376" s="49">
        <v>1</v>
      </c>
      <c r="AW376" s="50">
        <v>100</v>
      </c>
      <c r="AX376" s="49">
        <v>0</v>
      </c>
      <c r="AY376" s="50">
        <v>0</v>
      </c>
      <c r="AZ376" s="49">
        <v>0</v>
      </c>
      <c r="BA376" s="50">
        <v>0</v>
      </c>
      <c r="BB376" s="49">
        <v>0</v>
      </c>
      <c r="BC376" s="50">
        <v>0</v>
      </c>
      <c r="BD376" s="49">
        <v>1</v>
      </c>
      <c r="BE376" s="49"/>
      <c r="BF376" s="49"/>
      <c r="BG376" s="49"/>
      <c r="BH376" s="49"/>
      <c r="BI376" s="49"/>
      <c r="BJ376" s="49"/>
      <c r="BK376" s="111" t="s">
        <v>2597</v>
      </c>
      <c r="BL376" s="111" t="s">
        <v>2597</v>
      </c>
      <c r="BM376" s="111" t="s">
        <v>1927</v>
      </c>
      <c r="BN376" s="111" t="s">
        <v>1927</v>
      </c>
      <c r="BO376" s="2"/>
      <c r="BP376" s="3"/>
      <c r="BQ376" s="3"/>
      <c r="BR376" s="3"/>
      <c r="BS376" s="3"/>
    </row>
    <row r="377" spans="1:71" ht="15">
      <c r="A377" s="65" t="s">
        <v>711</v>
      </c>
      <c r="B377" s="66"/>
      <c r="C377" s="66"/>
      <c r="D377" s="67">
        <v>150</v>
      </c>
      <c r="E377" s="69"/>
      <c r="F377" s="103" t="str">
        <f>HYPERLINK("https://yt3.ggpht.com/ytc/AKedOLQiAkFqZMc9Z1mVyZpmrLo8Vu6oaHDoH5qWOu7-hA=s88-c-k-c0x00ffffff-no-rj")</f>
        <v>https://yt3.ggpht.com/ytc/AKedOLQiAkFqZMc9Z1mVyZpmrLo8Vu6oaHDoH5qWOu7-hA=s88-c-k-c0x00ffffff-no-rj</v>
      </c>
      <c r="G377" s="66"/>
      <c r="H377" s="70" t="s">
        <v>1778</v>
      </c>
      <c r="I377" s="71"/>
      <c r="J377" s="71" t="s">
        <v>159</v>
      </c>
      <c r="K377" s="70" t="s">
        <v>1778</v>
      </c>
      <c r="L377" s="74">
        <v>1</v>
      </c>
      <c r="M377" s="75">
        <v>5347.6708984375</v>
      </c>
      <c r="N377" s="75">
        <v>9236.6201171875</v>
      </c>
      <c r="O377" s="76"/>
      <c r="P377" s="77"/>
      <c r="Q377" s="77"/>
      <c r="R377" s="89"/>
      <c r="S377" s="49">
        <v>0</v>
      </c>
      <c r="T377" s="49">
        <v>1</v>
      </c>
      <c r="U377" s="50">
        <v>0</v>
      </c>
      <c r="V377" s="50">
        <v>0.478122</v>
      </c>
      <c r="W377" s="50">
        <v>0.03471</v>
      </c>
      <c r="X377" s="50">
        <v>0.001935</v>
      </c>
      <c r="Y377" s="50">
        <v>0</v>
      </c>
      <c r="Z377" s="50">
        <v>0</v>
      </c>
      <c r="AA377" s="72">
        <v>377</v>
      </c>
      <c r="AB377" s="72"/>
      <c r="AC377" s="73"/>
      <c r="AD377" s="80" t="s">
        <v>1778</v>
      </c>
      <c r="AE377" s="80"/>
      <c r="AF377" s="80"/>
      <c r="AG377" s="80"/>
      <c r="AH377" s="80"/>
      <c r="AI377" s="80"/>
      <c r="AJ377" s="87">
        <v>41505.6484375</v>
      </c>
      <c r="AK377" s="85" t="str">
        <f>HYPERLINK("https://yt3.ggpht.com/ytc/AKedOLQiAkFqZMc9Z1mVyZpmrLo8Vu6oaHDoH5qWOu7-hA=s88-c-k-c0x00ffffff-no-rj")</f>
        <v>https://yt3.ggpht.com/ytc/AKedOLQiAkFqZMc9Z1mVyZpmrLo8Vu6oaHDoH5qWOu7-hA=s88-c-k-c0x00ffffff-no-rj</v>
      </c>
      <c r="AL377" s="80">
        <v>2</v>
      </c>
      <c r="AM377" s="80">
        <v>0</v>
      </c>
      <c r="AN377" s="80">
        <v>1</v>
      </c>
      <c r="AO377" s="80" t="b">
        <v>0</v>
      </c>
      <c r="AP377" s="80">
        <v>1</v>
      </c>
      <c r="AQ377" s="80"/>
      <c r="AR377" s="80"/>
      <c r="AS377" s="80" t="s">
        <v>2085</v>
      </c>
      <c r="AT377" s="85" t="str">
        <f>HYPERLINK("https://www.youtube.com/channel/UCPW2UfTjOv9M_f_IOEzOw3g")</f>
        <v>https://www.youtube.com/channel/UCPW2UfTjOv9M_f_IOEzOw3g</v>
      </c>
      <c r="AU377" s="80" t="str">
        <f>REPLACE(INDEX(GroupVertices[Group],MATCH(Vertices[[#This Row],[Vertex]],GroupVertices[Vertex],0)),1,1,"")</f>
        <v>1</v>
      </c>
      <c r="AV377" s="49">
        <v>0</v>
      </c>
      <c r="AW377" s="50">
        <v>0</v>
      </c>
      <c r="AX377" s="49">
        <v>1</v>
      </c>
      <c r="AY377" s="50">
        <v>1.5625</v>
      </c>
      <c r="AZ377" s="49">
        <v>0</v>
      </c>
      <c r="BA377" s="50">
        <v>0</v>
      </c>
      <c r="BB377" s="49">
        <v>63</v>
      </c>
      <c r="BC377" s="50">
        <v>98.4375</v>
      </c>
      <c r="BD377" s="49">
        <v>64</v>
      </c>
      <c r="BE377" s="49"/>
      <c r="BF377" s="49"/>
      <c r="BG377" s="49"/>
      <c r="BH377" s="49"/>
      <c r="BI377" s="49"/>
      <c r="BJ377" s="49"/>
      <c r="BK377" s="111" t="s">
        <v>3744</v>
      </c>
      <c r="BL377" s="111" t="s">
        <v>3744</v>
      </c>
      <c r="BM377" s="111" t="s">
        <v>4191</v>
      </c>
      <c r="BN377" s="111" t="s">
        <v>4191</v>
      </c>
      <c r="BO377" s="2"/>
      <c r="BP377" s="3"/>
      <c r="BQ377" s="3"/>
      <c r="BR377" s="3"/>
      <c r="BS377" s="3"/>
    </row>
    <row r="378" spans="1:71" ht="15">
      <c r="A378" s="65" t="s">
        <v>712</v>
      </c>
      <c r="B378" s="66"/>
      <c r="C378" s="66"/>
      <c r="D378" s="67">
        <v>150</v>
      </c>
      <c r="E378" s="69"/>
      <c r="F378" s="103" t="str">
        <f>HYPERLINK("https://yt3.ggpht.com/ytc/AKedOLRGvSNaLsptcgBc00T86s2DUWueWglH9i5yezu-=s88-c-k-c0x00ffffff-no-rj")</f>
        <v>https://yt3.ggpht.com/ytc/AKedOLRGvSNaLsptcgBc00T86s2DUWueWglH9i5yezu-=s88-c-k-c0x00ffffff-no-rj</v>
      </c>
      <c r="G378" s="66"/>
      <c r="H378" s="70" t="s">
        <v>1779</v>
      </c>
      <c r="I378" s="71"/>
      <c r="J378" s="71" t="s">
        <v>159</v>
      </c>
      <c r="K378" s="70" t="s">
        <v>1779</v>
      </c>
      <c r="L378" s="74">
        <v>1</v>
      </c>
      <c r="M378" s="75">
        <v>855.0398559570312</v>
      </c>
      <c r="N378" s="75">
        <v>4805.810546875</v>
      </c>
      <c r="O378" s="76"/>
      <c r="P378" s="77"/>
      <c r="Q378" s="77"/>
      <c r="R378" s="89"/>
      <c r="S378" s="49">
        <v>0</v>
      </c>
      <c r="T378" s="49">
        <v>1</v>
      </c>
      <c r="U378" s="50">
        <v>0</v>
      </c>
      <c r="V378" s="50">
        <v>0.478122</v>
      </c>
      <c r="W378" s="50">
        <v>0.03471</v>
      </c>
      <c r="X378" s="50">
        <v>0.001935</v>
      </c>
      <c r="Y378" s="50">
        <v>0</v>
      </c>
      <c r="Z378" s="50">
        <v>0</v>
      </c>
      <c r="AA378" s="72">
        <v>378</v>
      </c>
      <c r="AB378" s="72"/>
      <c r="AC378" s="73"/>
      <c r="AD378" s="80" t="s">
        <v>1779</v>
      </c>
      <c r="AE378" s="80" t="s">
        <v>2035</v>
      </c>
      <c r="AF378" s="80"/>
      <c r="AG378" s="80"/>
      <c r="AH378" s="80"/>
      <c r="AI378" s="80"/>
      <c r="AJ378" s="87">
        <v>41210.61125</v>
      </c>
      <c r="AK378" s="85" t="str">
        <f>HYPERLINK("https://yt3.ggpht.com/ytc/AKedOLRGvSNaLsptcgBc00T86s2DUWueWglH9i5yezu-=s88-c-k-c0x00ffffff-no-rj")</f>
        <v>https://yt3.ggpht.com/ytc/AKedOLRGvSNaLsptcgBc00T86s2DUWueWglH9i5yezu-=s88-c-k-c0x00ffffff-no-rj</v>
      </c>
      <c r="AL378" s="80">
        <v>0</v>
      </c>
      <c r="AM378" s="80">
        <v>0</v>
      </c>
      <c r="AN378" s="80">
        <v>11</v>
      </c>
      <c r="AO378" s="80" t="b">
        <v>0</v>
      </c>
      <c r="AP378" s="80">
        <v>0</v>
      </c>
      <c r="AQ378" s="80"/>
      <c r="AR378" s="80"/>
      <c r="AS378" s="80" t="s">
        <v>2085</v>
      </c>
      <c r="AT378" s="85" t="str">
        <f>HYPERLINK("https://www.youtube.com/channel/UC32Tq6gmne3zD69PjIcg7Bw")</f>
        <v>https://www.youtube.com/channel/UC32Tq6gmne3zD69PjIcg7Bw</v>
      </c>
      <c r="AU378" s="80" t="str">
        <f>REPLACE(INDEX(GroupVertices[Group],MATCH(Vertices[[#This Row],[Vertex]],GroupVertices[Vertex],0)),1,1,"")</f>
        <v>1</v>
      </c>
      <c r="AV378" s="49">
        <v>4</v>
      </c>
      <c r="AW378" s="50">
        <v>2.2988505747126435</v>
      </c>
      <c r="AX378" s="49">
        <v>2</v>
      </c>
      <c r="AY378" s="50">
        <v>1.1494252873563218</v>
      </c>
      <c r="AZ378" s="49">
        <v>0</v>
      </c>
      <c r="BA378" s="50">
        <v>0</v>
      </c>
      <c r="BB378" s="49">
        <v>168</v>
      </c>
      <c r="BC378" s="50">
        <v>96.55172413793103</v>
      </c>
      <c r="BD378" s="49">
        <v>174</v>
      </c>
      <c r="BE378" s="49"/>
      <c r="BF378" s="49"/>
      <c r="BG378" s="49"/>
      <c r="BH378" s="49"/>
      <c r="BI378" s="49"/>
      <c r="BJ378" s="49"/>
      <c r="BK378" s="111" t="s">
        <v>3745</v>
      </c>
      <c r="BL378" s="111" t="s">
        <v>3745</v>
      </c>
      <c r="BM378" s="111" t="s">
        <v>4192</v>
      </c>
      <c r="BN378" s="111" t="s">
        <v>4192</v>
      </c>
      <c r="BO378" s="2"/>
      <c r="BP378" s="3"/>
      <c r="BQ378" s="3"/>
      <c r="BR378" s="3"/>
      <c r="BS378" s="3"/>
    </row>
    <row r="379" spans="1:71" ht="15">
      <c r="A379" s="65" t="s">
        <v>713</v>
      </c>
      <c r="B379" s="66"/>
      <c r="C379" s="66"/>
      <c r="D379" s="67">
        <v>150</v>
      </c>
      <c r="E379" s="69"/>
      <c r="F379" s="103" t="str">
        <f>HYPERLINK("https://yt3.ggpht.com/ovutPhVMWIWUcT6sWvNSsfcFn9zRsdwNAePVUomy4x2fXqzOzlGuaOBfaBWwO_lM0bm-oU4R=s88-c-k-c0x00ffffff-no-rj")</f>
        <v>https://yt3.ggpht.com/ovutPhVMWIWUcT6sWvNSsfcFn9zRsdwNAePVUomy4x2fXqzOzlGuaOBfaBWwO_lM0bm-oU4R=s88-c-k-c0x00ffffff-no-rj</v>
      </c>
      <c r="G379" s="66"/>
      <c r="H379" s="70" t="s">
        <v>1780</v>
      </c>
      <c r="I379" s="71"/>
      <c r="J379" s="71" t="s">
        <v>159</v>
      </c>
      <c r="K379" s="70" t="s">
        <v>1780</v>
      </c>
      <c r="L379" s="74">
        <v>1</v>
      </c>
      <c r="M379" s="75">
        <v>6248.84228515625</v>
      </c>
      <c r="N379" s="75">
        <v>7476.4169921875</v>
      </c>
      <c r="O379" s="76"/>
      <c r="P379" s="77"/>
      <c r="Q379" s="77"/>
      <c r="R379" s="89"/>
      <c r="S379" s="49">
        <v>0</v>
      </c>
      <c r="T379" s="49">
        <v>1</v>
      </c>
      <c r="U379" s="50">
        <v>0</v>
      </c>
      <c r="V379" s="50">
        <v>0.478122</v>
      </c>
      <c r="W379" s="50">
        <v>0.03471</v>
      </c>
      <c r="X379" s="50">
        <v>0.001935</v>
      </c>
      <c r="Y379" s="50">
        <v>0</v>
      </c>
      <c r="Z379" s="50">
        <v>0</v>
      </c>
      <c r="AA379" s="72">
        <v>379</v>
      </c>
      <c r="AB379" s="72"/>
      <c r="AC379" s="73"/>
      <c r="AD379" s="80" t="s">
        <v>1780</v>
      </c>
      <c r="AE379" s="80" t="s">
        <v>2036</v>
      </c>
      <c r="AF379" s="80"/>
      <c r="AG379" s="80"/>
      <c r="AH379" s="80"/>
      <c r="AI379" s="80"/>
      <c r="AJ379" s="87">
        <v>43890.71623842593</v>
      </c>
      <c r="AK379" s="85" t="str">
        <f>HYPERLINK("https://yt3.ggpht.com/ovutPhVMWIWUcT6sWvNSsfcFn9zRsdwNAePVUomy4x2fXqzOzlGuaOBfaBWwO_lM0bm-oU4R=s88-c-k-c0x00ffffff-no-rj")</f>
        <v>https://yt3.ggpht.com/ovutPhVMWIWUcT6sWvNSsfcFn9zRsdwNAePVUomy4x2fXqzOzlGuaOBfaBWwO_lM0bm-oU4R=s88-c-k-c0x00ffffff-no-rj</v>
      </c>
      <c r="AL379" s="80">
        <v>557</v>
      </c>
      <c r="AM379" s="80">
        <v>0</v>
      </c>
      <c r="AN379" s="80">
        <v>12</v>
      </c>
      <c r="AO379" s="80" t="b">
        <v>0</v>
      </c>
      <c r="AP379" s="80">
        <v>10</v>
      </c>
      <c r="AQ379" s="80"/>
      <c r="AR379" s="80"/>
      <c r="AS379" s="80" t="s">
        <v>2085</v>
      </c>
      <c r="AT379" s="85" t="str">
        <f>HYPERLINK("https://www.youtube.com/channel/UC6OFeLsaH1E7H9jW5EFrRsQ")</f>
        <v>https://www.youtube.com/channel/UC6OFeLsaH1E7H9jW5EFrRsQ</v>
      </c>
      <c r="AU379" s="80" t="str">
        <f>REPLACE(INDEX(GroupVertices[Group],MATCH(Vertices[[#This Row],[Vertex]],GroupVertices[Vertex],0)),1,1,"")</f>
        <v>1</v>
      </c>
      <c r="AV379" s="49">
        <v>0</v>
      </c>
      <c r="AW379" s="50">
        <v>0</v>
      </c>
      <c r="AX379" s="49">
        <v>0</v>
      </c>
      <c r="AY379" s="50">
        <v>0</v>
      </c>
      <c r="AZ379" s="49">
        <v>0</v>
      </c>
      <c r="BA379" s="50">
        <v>0</v>
      </c>
      <c r="BB379" s="49">
        <v>7</v>
      </c>
      <c r="BC379" s="50">
        <v>100</v>
      </c>
      <c r="BD379" s="49">
        <v>7</v>
      </c>
      <c r="BE379" s="49"/>
      <c r="BF379" s="49"/>
      <c r="BG379" s="49"/>
      <c r="BH379" s="49"/>
      <c r="BI379" s="49"/>
      <c r="BJ379" s="49"/>
      <c r="BK379" s="111" t="s">
        <v>3746</v>
      </c>
      <c r="BL379" s="111" t="s">
        <v>3746</v>
      </c>
      <c r="BM379" s="111" t="s">
        <v>4193</v>
      </c>
      <c r="BN379" s="111" t="s">
        <v>4193</v>
      </c>
      <c r="BO379" s="2"/>
      <c r="BP379" s="3"/>
      <c r="BQ379" s="3"/>
      <c r="BR379" s="3"/>
      <c r="BS379" s="3"/>
    </row>
    <row r="380" spans="1:71" ht="15">
      <c r="A380" s="65" t="s">
        <v>714</v>
      </c>
      <c r="B380" s="66"/>
      <c r="C380" s="66"/>
      <c r="D380" s="67">
        <v>150</v>
      </c>
      <c r="E380" s="69"/>
      <c r="F380" s="103" t="str">
        <f>HYPERLINK("https://yt3.ggpht.com/ytc/AKedOLTp8E-UiN805ju8jt-LCfSsaeTn-hETW5qHZg=s88-c-k-c0x00ffffff-no-rj")</f>
        <v>https://yt3.ggpht.com/ytc/AKedOLTp8E-UiN805ju8jt-LCfSsaeTn-hETW5qHZg=s88-c-k-c0x00ffffff-no-rj</v>
      </c>
      <c r="G380" s="66"/>
      <c r="H380" s="70" t="s">
        <v>1781</v>
      </c>
      <c r="I380" s="71"/>
      <c r="J380" s="71" t="s">
        <v>159</v>
      </c>
      <c r="K380" s="70" t="s">
        <v>1781</v>
      </c>
      <c r="L380" s="74">
        <v>1</v>
      </c>
      <c r="M380" s="75">
        <v>3931.637939453125</v>
      </c>
      <c r="N380" s="75">
        <v>7388.75830078125</v>
      </c>
      <c r="O380" s="76"/>
      <c r="P380" s="77"/>
      <c r="Q380" s="77"/>
      <c r="R380" s="89"/>
      <c r="S380" s="49">
        <v>0</v>
      </c>
      <c r="T380" s="49">
        <v>1</v>
      </c>
      <c r="U380" s="50">
        <v>0</v>
      </c>
      <c r="V380" s="50">
        <v>0.478122</v>
      </c>
      <c r="W380" s="50">
        <v>0.03471</v>
      </c>
      <c r="X380" s="50">
        <v>0.001935</v>
      </c>
      <c r="Y380" s="50">
        <v>0</v>
      </c>
      <c r="Z380" s="50">
        <v>0</v>
      </c>
      <c r="AA380" s="72">
        <v>380</v>
      </c>
      <c r="AB380" s="72"/>
      <c r="AC380" s="73"/>
      <c r="AD380" s="80" t="s">
        <v>1781</v>
      </c>
      <c r="AE380" s="80"/>
      <c r="AF380" s="80"/>
      <c r="AG380" s="80"/>
      <c r="AH380" s="80"/>
      <c r="AI380" s="80"/>
      <c r="AJ380" s="87">
        <v>39330.03287037037</v>
      </c>
      <c r="AK380" s="85" t="str">
        <f>HYPERLINK("https://yt3.ggpht.com/ytc/AKedOLTp8E-UiN805ju8jt-LCfSsaeTn-hETW5qHZg=s88-c-k-c0x00ffffff-no-rj")</f>
        <v>https://yt3.ggpht.com/ytc/AKedOLTp8E-UiN805ju8jt-LCfSsaeTn-hETW5qHZg=s88-c-k-c0x00ffffff-no-rj</v>
      </c>
      <c r="AL380" s="80">
        <v>0</v>
      </c>
      <c r="AM380" s="80">
        <v>0</v>
      </c>
      <c r="AN380" s="80">
        <v>4</v>
      </c>
      <c r="AO380" s="80" t="b">
        <v>0</v>
      </c>
      <c r="AP380" s="80">
        <v>0</v>
      </c>
      <c r="AQ380" s="80"/>
      <c r="AR380" s="80"/>
      <c r="AS380" s="80" t="s">
        <v>2085</v>
      </c>
      <c r="AT380" s="85" t="str">
        <f>HYPERLINK("https://www.youtube.com/channel/UCWDK6irzgVt4AU5X6cyFiWg")</f>
        <v>https://www.youtube.com/channel/UCWDK6irzgVt4AU5X6cyFiWg</v>
      </c>
      <c r="AU380" s="80" t="str">
        <f>REPLACE(INDEX(GroupVertices[Group],MATCH(Vertices[[#This Row],[Vertex]],GroupVertices[Vertex],0)),1,1,"")</f>
        <v>1</v>
      </c>
      <c r="AV380" s="49">
        <v>0</v>
      </c>
      <c r="AW380" s="50">
        <v>0</v>
      </c>
      <c r="AX380" s="49">
        <v>1</v>
      </c>
      <c r="AY380" s="50">
        <v>4.166666666666667</v>
      </c>
      <c r="AZ380" s="49">
        <v>0</v>
      </c>
      <c r="BA380" s="50">
        <v>0</v>
      </c>
      <c r="BB380" s="49">
        <v>23</v>
      </c>
      <c r="BC380" s="50">
        <v>95.83333333333333</v>
      </c>
      <c r="BD380" s="49">
        <v>24</v>
      </c>
      <c r="BE380" s="49"/>
      <c r="BF380" s="49"/>
      <c r="BG380" s="49"/>
      <c r="BH380" s="49"/>
      <c r="BI380" s="49"/>
      <c r="BJ380" s="49"/>
      <c r="BK380" s="111" t="s">
        <v>3747</v>
      </c>
      <c r="BL380" s="111" t="s">
        <v>3747</v>
      </c>
      <c r="BM380" s="111" t="s">
        <v>4194</v>
      </c>
      <c r="BN380" s="111" t="s">
        <v>4194</v>
      </c>
      <c r="BO380" s="2"/>
      <c r="BP380" s="3"/>
      <c r="BQ380" s="3"/>
      <c r="BR380" s="3"/>
      <c r="BS380" s="3"/>
    </row>
    <row r="381" spans="1:71" ht="15">
      <c r="A381" s="65" t="s">
        <v>715</v>
      </c>
      <c r="B381" s="66"/>
      <c r="C381" s="66"/>
      <c r="D381" s="67">
        <v>150</v>
      </c>
      <c r="E381" s="69"/>
      <c r="F381" s="103" t="str">
        <f>HYPERLINK("https://yt3.ggpht.com/ytc/AKedOLR3lqjCVSyaqYTVYKeqJG5wwmJX5EOZkOEhQt4=s88-c-k-c0x00ffffff-no-rj")</f>
        <v>https://yt3.ggpht.com/ytc/AKedOLR3lqjCVSyaqYTVYKeqJG5wwmJX5EOZkOEhQt4=s88-c-k-c0x00ffffff-no-rj</v>
      </c>
      <c r="G381" s="66"/>
      <c r="H381" s="70" t="s">
        <v>1782</v>
      </c>
      <c r="I381" s="71"/>
      <c r="J381" s="71" t="s">
        <v>159</v>
      </c>
      <c r="K381" s="70" t="s">
        <v>1782</v>
      </c>
      <c r="L381" s="74">
        <v>1</v>
      </c>
      <c r="M381" s="75">
        <v>7832.82763671875</v>
      </c>
      <c r="N381" s="75">
        <v>5141.9931640625</v>
      </c>
      <c r="O381" s="76"/>
      <c r="P381" s="77"/>
      <c r="Q381" s="77"/>
      <c r="R381" s="89"/>
      <c r="S381" s="49">
        <v>0</v>
      </c>
      <c r="T381" s="49">
        <v>1</v>
      </c>
      <c r="U381" s="50">
        <v>0</v>
      </c>
      <c r="V381" s="50">
        <v>0.478122</v>
      </c>
      <c r="W381" s="50">
        <v>0.03471</v>
      </c>
      <c r="X381" s="50">
        <v>0.001935</v>
      </c>
      <c r="Y381" s="50">
        <v>0</v>
      </c>
      <c r="Z381" s="50">
        <v>0</v>
      </c>
      <c r="AA381" s="72">
        <v>381</v>
      </c>
      <c r="AB381" s="72"/>
      <c r="AC381" s="73"/>
      <c r="AD381" s="80" t="s">
        <v>1782</v>
      </c>
      <c r="AE381" s="80"/>
      <c r="AF381" s="80"/>
      <c r="AG381" s="80"/>
      <c r="AH381" s="80"/>
      <c r="AI381" s="80"/>
      <c r="AJ381" s="87">
        <v>44011.09185185185</v>
      </c>
      <c r="AK381" s="85" t="str">
        <f>HYPERLINK("https://yt3.ggpht.com/ytc/AKedOLR3lqjCVSyaqYTVYKeqJG5wwmJX5EOZkOEhQt4=s88-c-k-c0x00ffffff-no-rj")</f>
        <v>https://yt3.ggpht.com/ytc/AKedOLR3lqjCVSyaqYTVYKeqJG5wwmJX5EOZkOEhQt4=s88-c-k-c0x00ffffff-no-rj</v>
      </c>
      <c r="AL381" s="80">
        <v>0</v>
      </c>
      <c r="AM381" s="80">
        <v>0</v>
      </c>
      <c r="AN381" s="80">
        <v>1</v>
      </c>
      <c r="AO381" s="80" t="b">
        <v>0</v>
      </c>
      <c r="AP381" s="80">
        <v>0</v>
      </c>
      <c r="AQ381" s="80"/>
      <c r="AR381" s="80"/>
      <c r="AS381" s="80" t="s">
        <v>2085</v>
      </c>
      <c r="AT381" s="85" t="str">
        <f>HYPERLINK("https://www.youtube.com/channel/UCXpzIvoO2EiojZ32TrcyobQ")</f>
        <v>https://www.youtube.com/channel/UCXpzIvoO2EiojZ32TrcyobQ</v>
      </c>
      <c r="AU381" s="80" t="str">
        <f>REPLACE(INDEX(GroupVertices[Group],MATCH(Vertices[[#This Row],[Vertex]],GroupVertices[Vertex],0)),1,1,"")</f>
        <v>1</v>
      </c>
      <c r="AV381" s="49">
        <v>2</v>
      </c>
      <c r="AW381" s="50">
        <v>11.11111111111111</v>
      </c>
      <c r="AX381" s="49">
        <v>1</v>
      </c>
      <c r="AY381" s="50">
        <v>5.555555555555555</v>
      </c>
      <c r="AZ381" s="49">
        <v>0</v>
      </c>
      <c r="BA381" s="50">
        <v>0</v>
      </c>
      <c r="BB381" s="49">
        <v>15</v>
      </c>
      <c r="BC381" s="50">
        <v>83.33333333333333</v>
      </c>
      <c r="BD381" s="49">
        <v>18</v>
      </c>
      <c r="BE381" s="49"/>
      <c r="BF381" s="49"/>
      <c r="BG381" s="49"/>
      <c r="BH381" s="49"/>
      <c r="BI381" s="49"/>
      <c r="BJ381" s="49"/>
      <c r="BK381" s="111" t="s">
        <v>3748</v>
      </c>
      <c r="BL381" s="111" t="s">
        <v>3748</v>
      </c>
      <c r="BM381" s="111" t="s">
        <v>4195</v>
      </c>
      <c r="BN381" s="111" t="s">
        <v>4195</v>
      </c>
      <c r="BO381" s="2"/>
      <c r="BP381" s="3"/>
      <c r="BQ381" s="3"/>
      <c r="BR381" s="3"/>
      <c r="BS381" s="3"/>
    </row>
    <row r="382" spans="1:71" ht="15">
      <c r="A382" s="65" t="s">
        <v>716</v>
      </c>
      <c r="B382" s="66"/>
      <c r="C382" s="66"/>
      <c r="D382" s="67">
        <v>150</v>
      </c>
      <c r="E382" s="69"/>
      <c r="F382" s="103" t="str">
        <f>HYPERLINK("https://yt3.ggpht.com/ytc/AKedOLSdud-z6kNWlhhw_tsPAmXhNSkAmSJzlFZ07raEpg=s88-c-k-c0x00ffffff-no-rj")</f>
        <v>https://yt3.ggpht.com/ytc/AKedOLSdud-z6kNWlhhw_tsPAmXhNSkAmSJzlFZ07raEpg=s88-c-k-c0x00ffffff-no-rj</v>
      </c>
      <c r="G382" s="66"/>
      <c r="H382" s="70" t="s">
        <v>1783</v>
      </c>
      <c r="I382" s="71"/>
      <c r="J382" s="71" t="s">
        <v>159</v>
      </c>
      <c r="K382" s="70" t="s">
        <v>1783</v>
      </c>
      <c r="L382" s="74">
        <v>1</v>
      </c>
      <c r="M382" s="75">
        <v>850.377197265625</v>
      </c>
      <c r="N382" s="75">
        <v>8047.00732421875</v>
      </c>
      <c r="O382" s="76"/>
      <c r="P382" s="77"/>
      <c r="Q382" s="77"/>
      <c r="R382" s="89"/>
      <c r="S382" s="49">
        <v>0</v>
      </c>
      <c r="T382" s="49">
        <v>1</v>
      </c>
      <c r="U382" s="50">
        <v>0</v>
      </c>
      <c r="V382" s="50">
        <v>0.478122</v>
      </c>
      <c r="W382" s="50">
        <v>0.03471</v>
      </c>
      <c r="X382" s="50">
        <v>0.001935</v>
      </c>
      <c r="Y382" s="50">
        <v>0</v>
      </c>
      <c r="Z382" s="50">
        <v>0</v>
      </c>
      <c r="AA382" s="72">
        <v>382</v>
      </c>
      <c r="AB382" s="72"/>
      <c r="AC382" s="73"/>
      <c r="AD382" s="80" t="s">
        <v>1783</v>
      </c>
      <c r="AE382" s="80"/>
      <c r="AF382" s="80"/>
      <c r="AG382" s="80"/>
      <c r="AH382" s="80"/>
      <c r="AI382" s="80"/>
      <c r="AJ382" s="87">
        <v>39531.69164351852</v>
      </c>
      <c r="AK382" s="85" t="str">
        <f>HYPERLINK("https://yt3.ggpht.com/ytc/AKedOLSdud-z6kNWlhhw_tsPAmXhNSkAmSJzlFZ07raEpg=s88-c-k-c0x00ffffff-no-rj")</f>
        <v>https://yt3.ggpht.com/ytc/AKedOLSdud-z6kNWlhhw_tsPAmXhNSkAmSJzlFZ07raEpg=s88-c-k-c0x00ffffff-no-rj</v>
      </c>
      <c r="AL382" s="80">
        <v>371</v>
      </c>
      <c r="AM382" s="80">
        <v>0</v>
      </c>
      <c r="AN382" s="80">
        <v>10</v>
      </c>
      <c r="AO382" s="80" t="b">
        <v>0</v>
      </c>
      <c r="AP382" s="80">
        <v>11</v>
      </c>
      <c r="AQ382" s="80"/>
      <c r="AR382" s="80"/>
      <c r="AS382" s="80" t="s">
        <v>2085</v>
      </c>
      <c r="AT382" s="85" t="str">
        <f>HYPERLINK("https://www.youtube.com/channel/UC68Uy1XyJiUWgmJ0_BmcXBg")</f>
        <v>https://www.youtube.com/channel/UC68Uy1XyJiUWgmJ0_BmcXBg</v>
      </c>
      <c r="AU382" s="80" t="str">
        <f>REPLACE(INDEX(GroupVertices[Group],MATCH(Vertices[[#This Row],[Vertex]],GroupVertices[Vertex],0)),1,1,"")</f>
        <v>1</v>
      </c>
      <c r="AV382" s="49">
        <v>1</v>
      </c>
      <c r="AW382" s="50">
        <v>3.225806451612903</v>
      </c>
      <c r="AX382" s="49">
        <v>0</v>
      </c>
      <c r="AY382" s="50">
        <v>0</v>
      </c>
      <c r="AZ382" s="49">
        <v>0</v>
      </c>
      <c r="BA382" s="50">
        <v>0</v>
      </c>
      <c r="BB382" s="49">
        <v>30</v>
      </c>
      <c r="BC382" s="50">
        <v>96.7741935483871</v>
      </c>
      <c r="BD382" s="49">
        <v>31</v>
      </c>
      <c r="BE382" s="49"/>
      <c r="BF382" s="49"/>
      <c r="BG382" s="49"/>
      <c r="BH382" s="49"/>
      <c r="BI382" s="49"/>
      <c r="BJ382" s="49"/>
      <c r="BK382" s="111" t="s">
        <v>3749</v>
      </c>
      <c r="BL382" s="111" t="s">
        <v>3749</v>
      </c>
      <c r="BM382" s="111" t="s">
        <v>4196</v>
      </c>
      <c r="BN382" s="111" t="s">
        <v>4196</v>
      </c>
      <c r="BO382" s="2"/>
      <c r="BP382" s="3"/>
      <c r="BQ382" s="3"/>
      <c r="BR382" s="3"/>
      <c r="BS382" s="3"/>
    </row>
    <row r="383" spans="1:71" ht="15">
      <c r="A383" s="65" t="s">
        <v>717</v>
      </c>
      <c r="B383" s="66"/>
      <c r="C383" s="66"/>
      <c r="D383" s="67">
        <v>150</v>
      </c>
      <c r="E383" s="69"/>
      <c r="F383" s="103" t="str">
        <f>HYPERLINK("https://yt3.ggpht.com/ytc/AKedOLSkaH0H0_MF_pz9dWU4Qzyy7IID5ZUvYyc0HWXPPg=s88-c-k-c0x00ffffff-no-rj")</f>
        <v>https://yt3.ggpht.com/ytc/AKedOLSkaH0H0_MF_pz9dWU4Qzyy7IID5ZUvYyc0HWXPPg=s88-c-k-c0x00ffffff-no-rj</v>
      </c>
      <c r="G383" s="66"/>
      <c r="H383" s="70" t="s">
        <v>1784</v>
      </c>
      <c r="I383" s="71"/>
      <c r="J383" s="71" t="s">
        <v>159</v>
      </c>
      <c r="K383" s="70" t="s">
        <v>1784</v>
      </c>
      <c r="L383" s="74">
        <v>1</v>
      </c>
      <c r="M383" s="75">
        <v>5051.55517578125</v>
      </c>
      <c r="N383" s="75">
        <v>1742.322021484375</v>
      </c>
      <c r="O383" s="76"/>
      <c r="P383" s="77"/>
      <c r="Q383" s="77"/>
      <c r="R383" s="89"/>
      <c r="S383" s="49">
        <v>0</v>
      </c>
      <c r="T383" s="49">
        <v>1</v>
      </c>
      <c r="U383" s="50">
        <v>0</v>
      </c>
      <c r="V383" s="50">
        <v>0.478122</v>
      </c>
      <c r="W383" s="50">
        <v>0.03471</v>
      </c>
      <c r="X383" s="50">
        <v>0.001935</v>
      </c>
      <c r="Y383" s="50">
        <v>0</v>
      </c>
      <c r="Z383" s="50">
        <v>0</v>
      </c>
      <c r="AA383" s="72">
        <v>383</v>
      </c>
      <c r="AB383" s="72"/>
      <c r="AC383" s="73"/>
      <c r="AD383" s="80" t="s">
        <v>1784</v>
      </c>
      <c r="AE383" s="80"/>
      <c r="AF383" s="80"/>
      <c r="AG383" s="80"/>
      <c r="AH383" s="80"/>
      <c r="AI383" s="80"/>
      <c r="AJ383" s="87">
        <v>40846.83300925926</v>
      </c>
      <c r="AK383" s="85" t="str">
        <f>HYPERLINK("https://yt3.ggpht.com/ytc/AKedOLSkaH0H0_MF_pz9dWU4Qzyy7IID5ZUvYyc0HWXPPg=s88-c-k-c0x00ffffff-no-rj")</f>
        <v>https://yt3.ggpht.com/ytc/AKedOLSkaH0H0_MF_pz9dWU4Qzyy7IID5ZUvYyc0HWXPPg=s88-c-k-c0x00ffffff-no-rj</v>
      </c>
      <c r="AL383" s="80">
        <v>14</v>
      </c>
      <c r="AM383" s="80">
        <v>0</v>
      </c>
      <c r="AN383" s="80">
        <v>2</v>
      </c>
      <c r="AO383" s="80" t="b">
        <v>0</v>
      </c>
      <c r="AP383" s="80">
        <v>2</v>
      </c>
      <c r="AQ383" s="80"/>
      <c r="AR383" s="80"/>
      <c r="AS383" s="80" t="s">
        <v>2085</v>
      </c>
      <c r="AT383" s="85" t="str">
        <f>HYPERLINK("https://www.youtube.com/channel/UClPH2H2-TDctChogbKv3Ttw")</f>
        <v>https://www.youtube.com/channel/UClPH2H2-TDctChogbKv3Ttw</v>
      </c>
      <c r="AU383" s="80" t="str">
        <f>REPLACE(INDEX(GroupVertices[Group],MATCH(Vertices[[#This Row],[Vertex]],GroupVertices[Vertex],0)),1,1,"")</f>
        <v>1</v>
      </c>
      <c r="AV383" s="49">
        <v>0</v>
      </c>
      <c r="AW383" s="50">
        <v>0</v>
      </c>
      <c r="AX383" s="49">
        <v>3</v>
      </c>
      <c r="AY383" s="50">
        <v>4.545454545454546</v>
      </c>
      <c r="AZ383" s="49">
        <v>0</v>
      </c>
      <c r="BA383" s="50">
        <v>0</v>
      </c>
      <c r="BB383" s="49">
        <v>63</v>
      </c>
      <c r="BC383" s="50">
        <v>95.45454545454545</v>
      </c>
      <c r="BD383" s="49">
        <v>66</v>
      </c>
      <c r="BE383" s="49"/>
      <c r="BF383" s="49"/>
      <c r="BG383" s="49"/>
      <c r="BH383" s="49"/>
      <c r="BI383" s="49"/>
      <c r="BJ383" s="49"/>
      <c r="BK383" s="111" t="s">
        <v>3750</v>
      </c>
      <c r="BL383" s="111" t="s">
        <v>3750</v>
      </c>
      <c r="BM383" s="111" t="s">
        <v>4197</v>
      </c>
      <c r="BN383" s="111" t="s">
        <v>4197</v>
      </c>
      <c r="BO383" s="2"/>
      <c r="BP383" s="3"/>
      <c r="BQ383" s="3"/>
      <c r="BR383" s="3"/>
      <c r="BS383" s="3"/>
    </row>
    <row r="384" spans="1:71" ht="15">
      <c r="A384" s="65" t="s">
        <v>718</v>
      </c>
      <c r="B384" s="66"/>
      <c r="C384" s="66"/>
      <c r="D384" s="67">
        <v>150</v>
      </c>
      <c r="E384" s="69"/>
      <c r="F384" s="103" t="str">
        <f>HYPERLINK("https://yt3.ggpht.com/ytc/AKedOLTB5_Ja_7Mp2aUxyFOEm6doE8jydI4-Uq5_kzh6hw=s88-c-k-c0x00ffffff-no-rj")</f>
        <v>https://yt3.ggpht.com/ytc/AKedOLTB5_Ja_7Mp2aUxyFOEm6doE8jydI4-Uq5_kzh6hw=s88-c-k-c0x00ffffff-no-rj</v>
      </c>
      <c r="G384" s="66"/>
      <c r="H384" s="70" t="s">
        <v>1785</v>
      </c>
      <c r="I384" s="71"/>
      <c r="J384" s="71" t="s">
        <v>159</v>
      </c>
      <c r="K384" s="70" t="s">
        <v>1785</v>
      </c>
      <c r="L384" s="74">
        <v>1</v>
      </c>
      <c r="M384" s="75">
        <v>506.673828125</v>
      </c>
      <c r="N384" s="75">
        <v>7048.53173828125</v>
      </c>
      <c r="O384" s="76"/>
      <c r="P384" s="77"/>
      <c r="Q384" s="77"/>
      <c r="R384" s="89"/>
      <c r="S384" s="49">
        <v>0</v>
      </c>
      <c r="T384" s="49">
        <v>1</v>
      </c>
      <c r="U384" s="50">
        <v>0</v>
      </c>
      <c r="V384" s="50">
        <v>0.478122</v>
      </c>
      <c r="W384" s="50">
        <v>0.03471</v>
      </c>
      <c r="X384" s="50">
        <v>0.001935</v>
      </c>
      <c r="Y384" s="50">
        <v>0</v>
      </c>
      <c r="Z384" s="50">
        <v>0</v>
      </c>
      <c r="AA384" s="72">
        <v>384</v>
      </c>
      <c r="AB384" s="72"/>
      <c r="AC384" s="73"/>
      <c r="AD384" s="80" t="s">
        <v>1785</v>
      </c>
      <c r="AE384" s="80"/>
      <c r="AF384" s="80"/>
      <c r="AG384" s="80"/>
      <c r="AH384" s="80"/>
      <c r="AI384" s="80"/>
      <c r="AJ384" s="87">
        <v>41186.914502314816</v>
      </c>
      <c r="AK384" s="85" t="str">
        <f>HYPERLINK("https://yt3.ggpht.com/ytc/AKedOLTB5_Ja_7Mp2aUxyFOEm6doE8jydI4-Uq5_kzh6hw=s88-c-k-c0x00ffffff-no-rj")</f>
        <v>https://yt3.ggpht.com/ytc/AKedOLTB5_Ja_7Mp2aUxyFOEm6doE8jydI4-Uq5_kzh6hw=s88-c-k-c0x00ffffff-no-rj</v>
      </c>
      <c r="AL384" s="80">
        <v>10</v>
      </c>
      <c r="AM384" s="80">
        <v>0</v>
      </c>
      <c r="AN384" s="80">
        <v>2</v>
      </c>
      <c r="AO384" s="80" t="b">
        <v>0</v>
      </c>
      <c r="AP384" s="80">
        <v>1</v>
      </c>
      <c r="AQ384" s="80"/>
      <c r="AR384" s="80"/>
      <c r="AS384" s="80" t="s">
        <v>2085</v>
      </c>
      <c r="AT384" s="85" t="str">
        <f>HYPERLINK("https://www.youtube.com/channel/UCoNNU0wapd3LwNwTKBZdB_Q")</f>
        <v>https://www.youtube.com/channel/UCoNNU0wapd3LwNwTKBZdB_Q</v>
      </c>
      <c r="AU384" s="80" t="str">
        <f>REPLACE(INDEX(GroupVertices[Group],MATCH(Vertices[[#This Row],[Vertex]],GroupVertices[Vertex],0)),1,1,"")</f>
        <v>1</v>
      </c>
      <c r="AV384" s="49">
        <v>14</v>
      </c>
      <c r="AW384" s="50">
        <v>5.072463768115942</v>
      </c>
      <c r="AX384" s="49">
        <v>20</v>
      </c>
      <c r="AY384" s="50">
        <v>7.246376811594203</v>
      </c>
      <c r="AZ384" s="49">
        <v>0</v>
      </c>
      <c r="BA384" s="50">
        <v>0</v>
      </c>
      <c r="BB384" s="49">
        <v>242</v>
      </c>
      <c r="BC384" s="50">
        <v>87.68115942028986</v>
      </c>
      <c r="BD384" s="49">
        <v>276</v>
      </c>
      <c r="BE384" s="49"/>
      <c r="BF384" s="49"/>
      <c r="BG384" s="49"/>
      <c r="BH384" s="49"/>
      <c r="BI384" s="49"/>
      <c r="BJ384" s="49"/>
      <c r="BK384" s="111" t="s">
        <v>3751</v>
      </c>
      <c r="BL384" s="111" t="s">
        <v>3751</v>
      </c>
      <c r="BM384" s="111" t="s">
        <v>4198</v>
      </c>
      <c r="BN384" s="111" t="s">
        <v>4198</v>
      </c>
      <c r="BO384" s="2"/>
      <c r="BP384" s="3"/>
      <c r="BQ384" s="3"/>
      <c r="BR384" s="3"/>
      <c r="BS384" s="3"/>
    </row>
    <row r="385" spans="1:71" ht="15">
      <c r="A385" s="65" t="s">
        <v>719</v>
      </c>
      <c r="B385" s="66"/>
      <c r="C385" s="66"/>
      <c r="D385" s="67">
        <v>150</v>
      </c>
      <c r="E385" s="69"/>
      <c r="F385" s="103" t="str">
        <f>HYPERLINK("https://yt3.ggpht.com/ytc/AKedOLQkV0OeLzuI7SFbvuED6kxElhCGUzIov2ScfR1_WA=s88-c-k-c0x00ffffff-no-rj")</f>
        <v>https://yt3.ggpht.com/ytc/AKedOLQkV0OeLzuI7SFbvuED6kxElhCGUzIov2ScfR1_WA=s88-c-k-c0x00ffffff-no-rj</v>
      </c>
      <c r="G385" s="66"/>
      <c r="H385" s="70" t="s">
        <v>1786</v>
      </c>
      <c r="I385" s="71"/>
      <c r="J385" s="71" t="s">
        <v>159</v>
      </c>
      <c r="K385" s="70" t="s">
        <v>1786</v>
      </c>
      <c r="L385" s="74">
        <v>1</v>
      </c>
      <c r="M385" s="75">
        <v>3384.744140625</v>
      </c>
      <c r="N385" s="75">
        <v>850.9783325195312</v>
      </c>
      <c r="O385" s="76"/>
      <c r="P385" s="77"/>
      <c r="Q385" s="77"/>
      <c r="R385" s="89"/>
      <c r="S385" s="49">
        <v>0</v>
      </c>
      <c r="T385" s="49">
        <v>1</v>
      </c>
      <c r="U385" s="50">
        <v>0</v>
      </c>
      <c r="V385" s="50">
        <v>0.478122</v>
      </c>
      <c r="W385" s="50">
        <v>0.03471</v>
      </c>
      <c r="X385" s="50">
        <v>0.001935</v>
      </c>
      <c r="Y385" s="50">
        <v>0</v>
      </c>
      <c r="Z385" s="50">
        <v>0</v>
      </c>
      <c r="AA385" s="72">
        <v>385</v>
      </c>
      <c r="AB385" s="72"/>
      <c r="AC385" s="73"/>
      <c r="AD385" s="80" t="s">
        <v>1786</v>
      </c>
      <c r="AE385" s="80"/>
      <c r="AF385" s="80"/>
      <c r="AG385" s="80"/>
      <c r="AH385" s="80"/>
      <c r="AI385" s="80"/>
      <c r="AJ385" s="87">
        <v>42365.761608796296</v>
      </c>
      <c r="AK385" s="85" t="str">
        <f>HYPERLINK("https://yt3.ggpht.com/ytc/AKedOLQkV0OeLzuI7SFbvuED6kxElhCGUzIov2ScfR1_WA=s88-c-k-c0x00ffffff-no-rj")</f>
        <v>https://yt3.ggpht.com/ytc/AKedOLQkV0OeLzuI7SFbvuED6kxElhCGUzIov2ScfR1_WA=s88-c-k-c0x00ffffff-no-rj</v>
      </c>
      <c r="AL385" s="80">
        <v>0</v>
      </c>
      <c r="AM385" s="80">
        <v>0</v>
      </c>
      <c r="AN385" s="80">
        <v>1</v>
      </c>
      <c r="AO385" s="80" t="b">
        <v>0</v>
      </c>
      <c r="AP385" s="80">
        <v>0</v>
      </c>
      <c r="AQ385" s="80"/>
      <c r="AR385" s="80"/>
      <c r="AS385" s="80" t="s">
        <v>2085</v>
      </c>
      <c r="AT385" s="85" t="str">
        <f>HYPERLINK("https://www.youtube.com/channel/UCFx4Vj3k47wH_d_pe_TLI9Q")</f>
        <v>https://www.youtube.com/channel/UCFx4Vj3k47wH_d_pe_TLI9Q</v>
      </c>
      <c r="AU385" s="80" t="str">
        <f>REPLACE(INDEX(GroupVertices[Group],MATCH(Vertices[[#This Row],[Vertex]],GroupVertices[Vertex],0)),1,1,"")</f>
        <v>1</v>
      </c>
      <c r="AV385" s="49">
        <v>4</v>
      </c>
      <c r="AW385" s="50">
        <v>3.9603960396039604</v>
      </c>
      <c r="AX385" s="49">
        <v>0</v>
      </c>
      <c r="AY385" s="50">
        <v>0</v>
      </c>
      <c r="AZ385" s="49">
        <v>0</v>
      </c>
      <c r="BA385" s="50">
        <v>0</v>
      </c>
      <c r="BB385" s="49">
        <v>97</v>
      </c>
      <c r="BC385" s="50">
        <v>96.03960396039604</v>
      </c>
      <c r="BD385" s="49">
        <v>101</v>
      </c>
      <c r="BE385" s="49"/>
      <c r="BF385" s="49"/>
      <c r="BG385" s="49"/>
      <c r="BH385" s="49"/>
      <c r="BI385" s="49"/>
      <c r="BJ385" s="49"/>
      <c r="BK385" s="111" t="s">
        <v>3752</v>
      </c>
      <c r="BL385" s="111" t="s">
        <v>3752</v>
      </c>
      <c r="BM385" s="111" t="s">
        <v>4199</v>
      </c>
      <c r="BN385" s="111" t="s">
        <v>4199</v>
      </c>
      <c r="BO385" s="2"/>
      <c r="BP385" s="3"/>
      <c r="BQ385" s="3"/>
      <c r="BR385" s="3"/>
      <c r="BS385" s="3"/>
    </row>
    <row r="386" spans="1:71" ht="15">
      <c r="A386" s="65" t="s">
        <v>720</v>
      </c>
      <c r="B386" s="66"/>
      <c r="C386" s="66"/>
      <c r="D386" s="67">
        <v>150</v>
      </c>
      <c r="E386" s="69"/>
      <c r="F386" s="103" t="str">
        <f>HYPERLINK("https://yt3.ggpht.com/Ab_wyzLnu_GjQnsIeAfbrhMsmECh2CpQ-96mcPgIiThq0GoECRokY5euKpow9zadOS0Afw0V=s88-c-k-c0x00ffffff-no-rj")</f>
        <v>https://yt3.ggpht.com/Ab_wyzLnu_GjQnsIeAfbrhMsmECh2CpQ-96mcPgIiThq0GoECRokY5euKpow9zadOS0Afw0V=s88-c-k-c0x00ffffff-no-rj</v>
      </c>
      <c r="G386" s="66"/>
      <c r="H386" s="70" t="s">
        <v>1787</v>
      </c>
      <c r="I386" s="71"/>
      <c r="J386" s="71" t="s">
        <v>159</v>
      </c>
      <c r="K386" s="70" t="s">
        <v>1787</v>
      </c>
      <c r="L386" s="74">
        <v>1</v>
      </c>
      <c r="M386" s="75">
        <v>3575.4423828125</v>
      </c>
      <c r="N386" s="75">
        <v>9707.40625</v>
      </c>
      <c r="O386" s="76"/>
      <c r="P386" s="77"/>
      <c r="Q386" s="77"/>
      <c r="R386" s="89"/>
      <c r="S386" s="49">
        <v>0</v>
      </c>
      <c r="T386" s="49">
        <v>1</v>
      </c>
      <c r="U386" s="50">
        <v>0</v>
      </c>
      <c r="V386" s="50">
        <v>0.478122</v>
      </c>
      <c r="W386" s="50">
        <v>0.03471</v>
      </c>
      <c r="X386" s="50">
        <v>0.001935</v>
      </c>
      <c r="Y386" s="50">
        <v>0</v>
      </c>
      <c r="Z386" s="50">
        <v>0</v>
      </c>
      <c r="AA386" s="72">
        <v>386</v>
      </c>
      <c r="AB386" s="72"/>
      <c r="AC386" s="73"/>
      <c r="AD386" s="80" t="s">
        <v>1787</v>
      </c>
      <c r="AE386" s="80" t="s">
        <v>2037</v>
      </c>
      <c r="AF386" s="80"/>
      <c r="AG386" s="80"/>
      <c r="AH386" s="80"/>
      <c r="AI386" s="80"/>
      <c r="AJ386" s="87">
        <v>44341.7508912037</v>
      </c>
      <c r="AK386" s="85" t="str">
        <f>HYPERLINK("https://yt3.ggpht.com/Ab_wyzLnu_GjQnsIeAfbrhMsmECh2CpQ-96mcPgIiThq0GoECRokY5euKpow9zadOS0Afw0V=s88-c-k-c0x00ffffff-no-rj")</f>
        <v>https://yt3.ggpht.com/Ab_wyzLnu_GjQnsIeAfbrhMsmECh2CpQ-96mcPgIiThq0GoECRokY5euKpow9zadOS0Afw0V=s88-c-k-c0x00ffffff-no-rj</v>
      </c>
      <c r="AL386" s="80">
        <v>3283</v>
      </c>
      <c r="AM386" s="80">
        <v>0</v>
      </c>
      <c r="AN386" s="80">
        <v>21</v>
      </c>
      <c r="AO386" s="80" t="b">
        <v>0</v>
      </c>
      <c r="AP386" s="80">
        <v>27</v>
      </c>
      <c r="AQ386" s="80"/>
      <c r="AR386" s="80"/>
      <c r="AS386" s="80" t="s">
        <v>2085</v>
      </c>
      <c r="AT386" s="85" t="str">
        <f>HYPERLINK("https://www.youtube.com/channel/UCY8PskpvUgWJY5uByBB2-9A")</f>
        <v>https://www.youtube.com/channel/UCY8PskpvUgWJY5uByBB2-9A</v>
      </c>
      <c r="AU386" s="80" t="str">
        <f>REPLACE(INDEX(GroupVertices[Group],MATCH(Vertices[[#This Row],[Vertex]],GroupVertices[Vertex],0)),1,1,"")</f>
        <v>1</v>
      </c>
      <c r="AV386" s="49">
        <v>8</v>
      </c>
      <c r="AW386" s="50">
        <v>17.02127659574468</v>
      </c>
      <c r="AX386" s="49">
        <v>0</v>
      </c>
      <c r="AY386" s="50">
        <v>0</v>
      </c>
      <c r="AZ386" s="49">
        <v>0</v>
      </c>
      <c r="BA386" s="50">
        <v>0</v>
      </c>
      <c r="BB386" s="49">
        <v>39</v>
      </c>
      <c r="BC386" s="50">
        <v>82.97872340425532</v>
      </c>
      <c r="BD386" s="49">
        <v>47</v>
      </c>
      <c r="BE386" s="49"/>
      <c r="BF386" s="49"/>
      <c r="BG386" s="49"/>
      <c r="BH386" s="49"/>
      <c r="BI386" s="49"/>
      <c r="BJ386" s="49"/>
      <c r="BK386" s="111" t="s">
        <v>3753</v>
      </c>
      <c r="BL386" s="111" t="s">
        <v>3753</v>
      </c>
      <c r="BM386" s="111" t="s">
        <v>4200</v>
      </c>
      <c r="BN386" s="111" t="s">
        <v>4200</v>
      </c>
      <c r="BO386" s="2"/>
      <c r="BP386" s="3"/>
      <c r="BQ386" s="3"/>
      <c r="BR386" s="3"/>
      <c r="BS386" s="3"/>
    </row>
    <row r="387" spans="1:71" ht="15">
      <c r="A387" s="65" t="s">
        <v>721</v>
      </c>
      <c r="B387" s="66"/>
      <c r="C387" s="66"/>
      <c r="D387" s="67">
        <v>150</v>
      </c>
      <c r="E387" s="69"/>
      <c r="F387" s="103" t="str">
        <f>HYPERLINK("https://yt3.ggpht.com/ytc/AKedOLSfJIQUfFjgZ-ksnEx0uhBtoKW84oZ4fbd6gv21YYiYzVuTzlC0lMHfjHHpUTGN=s88-c-k-c0x00ffffff-no-rj")</f>
        <v>https://yt3.ggpht.com/ytc/AKedOLSfJIQUfFjgZ-ksnEx0uhBtoKW84oZ4fbd6gv21YYiYzVuTzlC0lMHfjHHpUTGN=s88-c-k-c0x00ffffff-no-rj</v>
      </c>
      <c r="G387" s="66"/>
      <c r="H387" s="70" t="s">
        <v>1788</v>
      </c>
      <c r="I387" s="71"/>
      <c r="J387" s="71" t="s">
        <v>159</v>
      </c>
      <c r="K387" s="70" t="s">
        <v>1788</v>
      </c>
      <c r="L387" s="74">
        <v>1</v>
      </c>
      <c r="M387" s="75">
        <v>9601.2919921875</v>
      </c>
      <c r="N387" s="75">
        <v>7157.802734375</v>
      </c>
      <c r="O387" s="76"/>
      <c r="P387" s="77"/>
      <c r="Q387" s="77"/>
      <c r="R387" s="89"/>
      <c r="S387" s="49">
        <v>0</v>
      </c>
      <c r="T387" s="49">
        <v>1</v>
      </c>
      <c r="U387" s="50">
        <v>0</v>
      </c>
      <c r="V387" s="50">
        <v>0.325345</v>
      </c>
      <c r="W387" s="50">
        <v>0.001845</v>
      </c>
      <c r="X387" s="50">
        <v>0.001975</v>
      </c>
      <c r="Y387" s="50">
        <v>0</v>
      </c>
      <c r="Z387" s="50">
        <v>0</v>
      </c>
      <c r="AA387" s="72">
        <v>387</v>
      </c>
      <c r="AB387" s="72"/>
      <c r="AC387" s="73"/>
      <c r="AD387" s="80" t="s">
        <v>1788</v>
      </c>
      <c r="AE387" s="80"/>
      <c r="AF387" s="80"/>
      <c r="AG387" s="80"/>
      <c r="AH387" s="80"/>
      <c r="AI387" s="80"/>
      <c r="AJ387" s="87">
        <v>44536.787766203706</v>
      </c>
      <c r="AK387" s="85" t="str">
        <f>HYPERLINK("https://yt3.ggpht.com/ytc/AKedOLSfJIQUfFjgZ-ksnEx0uhBtoKW84oZ4fbd6gv21YYiYzVuTzlC0lMHfjHHpUTGN=s88-c-k-c0x00ffffff-no-rj")</f>
        <v>https://yt3.ggpht.com/ytc/AKedOLSfJIQUfFjgZ-ksnEx0uhBtoKW84oZ4fbd6gv21YYiYzVuTzlC0lMHfjHHpUTGN=s88-c-k-c0x00ffffff-no-rj</v>
      </c>
      <c r="AL387" s="80">
        <v>0</v>
      </c>
      <c r="AM387" s="80">
        <v>0</v>
      </c>
      <c r="AN387" s="80">
        <v>0</v>
      </c>
      <c r="AO387" s="80" t="b">
        <v>0</v>
      </c>
      <c r="AP387" s="80">
        <v>0</v>
      </c>
      <c r="AQ387" s="80"/>
      <c r="AR387" s="80"/>
      <c r="AS387" s="80" t="s">
        <v>2085</v>
      </c>
      <c r="AT387" s="85" t="str">
        <f>HYPERLINK("https://www.youtube.com/channel/UC8Suwp8U1iIsPF_pMGNdDzg")</f>
        <v>https://www.youtube.com/channel/UC8Suwp8U1iIsPF_pMGNdDzg</v>
      </c>
      <c r="AU387" s="80" t="str">
        <f>REPLACE(INDEX(GroupVertices[Group],MATCH(Vertices[[#This Row],[Vertex]],GroupVertices[Vertex],0)),1,1,"")</f>
        <v>3</v>
      </c>
      <c r="AV387" s="49">
        <v>6</v>
      </c>
      <c r="AW387" s="50">
        <v>15.789473684210526</v>
      </c>
      <c r="AX387" s="49">
        <v>1</v>
      </c>
      <c r="AY387" s="50">
        <v>2.6315789473684212</v>
      </c>
      <c r="AZ387" s="49">
        <v>0</v>
      </c>
      <c r="BA387" s="50">
        <v>0</v>
      </c>
      <c r="BB387" s="49">
        <v>31</v>
      </c>
      <c r="BC387" s="50">
        <v>81.57894736842105</v>
      </c>
      <c r="BD387" s="49">
        <v>38</v>
      </c>
      <c r="BE387" s="49"/>
      <c r="BF387" s="49"/>
      <c r="BG387" s="49"/>
      <c r="BH387" s="49"/>
      <c r="BI387" s="49"/>
      <c r="BJ387" s="49"/>
      <c r="BK387" s="111" t="s">
        <v>3754</v>
      </c>
      <c r="BL387" s="111" t="s">
        <v>3754</v>
      </c>
      <c r="BM387" s="111" t="s">
        <v>4201</v>
      </c>
      <c r="BN387" s="111" t="s">
        <v>4201</v>
      </c>
      <c r="BO387" s="2"/>
      <c r="BP387" s="3"/>
      <c r="BQ387" s="3"/>
      <c r="BR387" s="3"/>
      <c r="BS387" s="3"/>
    </row>
    <row r="388" spans="1:71" ht="15">
      <c r="A388" s="65" t="s">
        <v>722</v>
      </c>
      <c r="B388" s="66"/>
      <c r="C388" s="66"/>
      <c r="D388" s="67">
        <v>150</v>
      </c>
      <c r="E388" s="69"/>
      <c r="F388" s="103" t="str">
        <f>HYPERLINK("https://yt3.ggpht.com/ytc/AKedOLRGnAinqONxE5fjRM6Enc3_vF7tFKvbYKcfKg=s88-c-k-c0x00ffffff-no-rj")</f>
        <v>https://yt3.ggpht.com/ytc/AKedOLRGnAinqONxE5fjRM6Enc3_vF7tFKvbYKcfKg=s88-c-k-c0x00ffffff-no-rj</v>
      </c>
      <c r="G388" s="66"/>
      <c r="H388" s="70" t="s">
        <v>1789</v>
      </c>
      <c r="I388" s="71"/>
      <c r="J388" s="71" t="s">
        <v>159</v>
      </c>
      <c r="K388" s="70" t="s">
        <v>1789</v>
      </c>
      <c r="L388" s="74">
        <v>1</v>
      </c>
      <c r="M388" s="75">
        <v>9388.24609375</v>
      </c>
      <c r="N388" s="75">
        <v>6984.595703125</v>
      </c>
      <c r="O388" s="76"/>
      <c r="P388" s="77"/>
      <c r="Q388" s="77"/>
      <c r="R388" s="89"/>
      <c r="S388" s="49">
        <v>0</v>
      </c>
      <c r="T388" s="49">
        <v>1</v>
      </c>
      <c r="U388" s="50">
        <v>0</v>
      </c>
      <c r="V388" s="50">
        <v>0.325345</v>
      </c>
      <c r="W388" s="50">
        <v>0.001845</v>
      </c>
      <c r="X388" s="50">
        <v>0.001975</v>
      </c>
      <c r="Y388" s="50">
        <v>0</v>
      </c>
      <c r="Z388" s="50">
        <v>0</v>
      </c>
      <c r="AA388" s="72">
        <v>388</v>
      </c>
      <c r="AB388" s="72"/>
      <c r="AC388" s="73"/>
      <c r="AD388" s="80" t="s">
        <v>1789</v>
      </c>
      <c r="AE388" s="80"/>
      <c r="AF388" s="80"/>
      <c r="AG388" s="80"/>
      <c r="AH388" s="80"/>
      <c r="AI388" s="80"/>
      <c r="AJ388" s="87">
        <v>40847.706354166665</v>
      </c>
      <c r="AK388" s="85" t="str">
        <f>HYPERLINK("https://yt3.ggpht.com/ytc/AKedOLRGnAinqONxE5fjRM6Enc3_vF7tFKvbYKcfKg=s88-c-k-c0x00ffffff-no-rj")</f>
        <v>https://yt3.ggpht.com/ytc/AKedOLRGnAinqONxE5fjRM6Enc3_vF7tFKvbYKcfKg=s88-c-k-c0x00ffffff-no-rj</v>
      </c>
      <c r="AL388" s="80">
        <v>3</v>
      </c>
      <c r="AM388" s="80">
        <v>0</v>
      </c>
      <c r="AN388" s="80">
        <v>0</v>
      </c>
      <c r="AO388" s="80" t="b">
        <v>0</v>
      </c>
      <c r="AP388" s="80">
        <v>2</v>
      </c>
      <c r="AQ388" s="80"/>
      <c r="AR388" s="80"/>
      <c r="AS388" s="80" t="s">
        <v>2085</v>
      </c>
      <c r="AT388" s="85" t="str">
        <f>HYPERLINK("https://www.youtube.com/channel/UCPZ_r5jgass9cv38X7Hrc2w")</f>
        <v>https://www.youtube.com/channel/UCPZ_r5jgass9cv38X7Hrc2w</v>
      </c>
      <c r="AU388" s="80" t="str">
        <f>REPLACE(INDEX(GroupVertices[Group],MATCH(Vertices[[#This Row],[Vertex]],GroupVertices[Vertex],0)),1,1,"")</f>
        <v>3</v>
      </c>
      <c r="AV388" s="49">
        <v>0</v>
      </c>
      <c r="AW388" s="50">
        <v>0</v>
      </c>
      <c r="AX388" s="49">
        <v>0</v>
      </c>
      <c r="AY388" s="50">
        <v>0</v>
      </c>
      <c r="AZ388" s="49">
        <v>0</v>
      </c>
      <c r="BA388" s="50">
        <v>0</v>
      </c>
      <c r="BB388" s="49">
        <v>3</v>
      </c>
      <c r="BC388" s="50">
        <v>100</v>
      </c>
      <c r="BD388" s="49">
        <v>3</v>
      </c>
      <c r="BE388" s="49"/>
      <c r="BF388" s="49"/>
      <c r="BG388" s="49"/>
      <c r="BH388" s="49"/>
      <c r="BI388" s="49"/>
      <c r="BJ388" s="49"/>
      <c r="BK388" s="111" t="s">
        <v>3755</v>
      </c>
      <c r="BL388" s="111" t="s">
        <v>3755</v>
      </c>
      <c r="BM388" s="111" t="s">
        <v>4202</v>
      </c>
      <c r="BN388" s="111" t="s">
        <v>4202</v>
      </c>
      <c r="BO388" s="2"/>
      <c r="BP388" s="3"/>
      <c r="BQ388" s="3"/>
      <c r="BR388" s="3"/>
      <c r="BS388" s="3"/>
    </row>
    <row r="389" spans="1:71" ht="15">
      <c r="A389" s="65" t="s">
        <v>723</v>
      </c>
      <c r="B389" s="66"/>
      <c r="C389" s="66"/>
      <c r="D389" s="67">
        <v>150</v>
      </c>
      <c r="E389" s="69"/>
      <c r="F389" s="103" t="str">
        <f>HYPERLINK("https://yt3.ggpht.com/ytc/AKedOLRyJBg8UU3bywRnj42WWny0b9HmxXUpo_-9nw=s88-c-k-c0x00ffffff-no-rj")</f>
        <v>https://yt3.ggpht.com/ytc/AKedOLRyJBg8UU3bywRnj42WWny0b9HmxXUpo_-9nw=s88-c-k-c0x00ffffff-no-rj</v>
      </c>
      <c r="G389" s="66"/>
      <c r="H389" s="70" t="s">
        <v>1790</v>
      </c>
      <c r="I389" s="71"/>
      <c r="J389" s="71" t="s">
        <v>159</v>
      </c>
      <c r="K389" s="70" t="s">
        <v>1790</v>
      </c>
      <c r="L389" s="74">
        <v>1</v>
      </c>
      <c r="M389" s="75">
        <v>5555.79150390625</v>
      </c>
      <c r="N389" s="75">
        <v>3947.170654296875</v>
      </c>
      <c r="O389" s="76"/>
      <c r="P389" s="77"/>
      <c r="Q389" s="77"/>
      <c r="R389" s="89"/>
      <c r="S389" s="49">
        <v>0</v>
      </c>
      <c r="T389" s="49">
        <v>1</v>
      </c>
      <c r="U389" s="50">
        <v>0</v>
      </c>
      <c r="V389" s="50">
        <v>0.478122</v>
      </c>
      <c r="W389" s="50">
        <v>0.03471</v>
      </c>
      <c r="X389" s="50">
        <v>0.001935</v>
      </c>
      <c r="Y389" s="50">
        <v>0</v>
      </c>
      <c r="Z389" s="50">
        <v>0</v>
      </c>
      <c r="AA389" s="72">
        <v>389</v>
      </c>
      <c r="AB389" s="72"/>
      <c r="AC389" s="73"/>
      <c r="AD389" s="80" t="s">
        <v>1790</v>
      </c>
      <c r="AE389" s="80"/>
      <c r="AF389" s="80"/>
      <c r="AG389" s="80"/>
      <c r="AH389" s="80"/>
      <c r="AI389" s="80"/>
      <c r="AJ389" s="87">
        <v>44200.12704861111</v>
      </c>
      <c r="AK389" s="85" t="str">
        <f>HYPERLINK("https://yt3.ggpht.com/ytc/AKedOLRyJBg8UU3bywRnj42WWny0b9HmxXUpo_-9nw=s88-c-k-c0x00ffffff-no-rj")</f>
        <v>https://yt3.ggpht.com/ytc/AKedOLRyJBg8UU3bywRnj42WWny0b9HmxXUpo_-9nw=s88-c-k-c0x00ffffff-no-rj</v>
      </c>
      <c r="AL389" s="80">
        <v>0</v>
      </c>
      <c r="AM389" s="80">
        <v>0</v>
      </c>
      <c r="AN389" s="80">
        <v>0</v>
      </c>
      <c r="AO389" s="80" t="b">
        <v>0</v>
      </c>
      <c r="AP389" s="80">
        <v>0</v>
      </c>
      <c r="AQ389" s="80"/>
      <c r="AR389" s="80"/>
      <c r="AS389" s="80" t="s">
        <v>2085</v>
      </c>
      <c r="AT389" s="85" t="str">
        <f>HYPERLINK("https://www.youtube.com/channel/UCpEvHal_hW3x5fYeHPXKpcw")</f>
        <v>https://www.youtube.com/channel/UCpEvHal_hW3x5fYeHPXKpcw</v>
      </c>
      <c r="AU389" s="80" t="str">
        <f>REPLACE(INDEX(GroupVertices[Group],MATCH(Vertices[[#This Row],[Vertex]],GroupVertices[Vertex],0)),1,1,"")</f>
        <v>1</v>
      </c>
      <c r="AV389" s="49">
        <v>2</v>
      </c>
      <c r="AW389" s="50">
        <v>18.181818181818183</v>
      </c>
      <c r="AX389" s="49">
        <v>0</v>
      </c>
      <c r="AY389" s="50">
        <v>0</v>
      </c>
      <c r="AZ389" s="49">
        <v>0</v>
      </c>
      <c r="BA389" s="50">
        <v>0</v>
      </c>
      <c r="BB389" s="49">
        <v>9</v>
      </c>
      <c r="BC389" s="50">
        <v>81.81818181818181</v>
      </c>
      <c r="BD389" s="49">
        <v>11</v>
      </c>
      <c r="BE389" s="49"/>
      <c r="BF389" s="49"/>
      <c r="BG389" s="49"/>
      <c r="BH389" s="49"/>
      <c r="BI389" s="49"/>
      <c r="BJ389" s="49"/>
      <c r="BK389" s="111" t="s">
        <v>3756</v>
      </c>
      <c r="BL389" s="111" t="s">
        <v>3756</v>
      </c>
      <c r="BM389" s="111" t="s">
        <v>4203</v>
      </c>
      <c r="BN389" s="111" t="s">
        <v>4203</v>
      </c>
      <c r="BO389" s="2"/>
      <c r="BP389" s="3"/>
      <c r="BQ389" s="3"/>
      <c r="BR389" s="3"/>
      <c r="BS389" s="3"/>
    </row>
    <row r="390" spans="1:71" ht="15">
      <c r="A390" s="65" t="s">
        <v>724</v>
      </c>
      <c r="B390" s="66"/>
      <c r="C390" s="66"/>
      <c r="D390" s="67">
        <v>150</v>
      </c>
      <c r="E390" s="69"/>
      <c r="F390" s="103" t="str">
        <f>HYPERLINK("https://yt3.ggpht.com/ytc/AKedOLSTfUbo3Je6qxCA5AbFONjfmzdrHQS-lhTC_HmKpA=s88-c-k-c0x00ffffff-no-rj")</f>
        <v>https://yt3.ggpht.com/ytc/AKedOLSTfUbo3Je6qxCA5AbFONjfmzdrHQS-lhTC_HmKpA=s88-c-k-c0x00ffffff-no-rj</v>
      </c>
      <c r="G390" s="66"/>
      <c r="H390" s="70" t="s">
        <v>1791</v>
      </c>
      <c r="I390" s="71"/>
      <c r="J390" s="71" t="s">
        <v>159</v>
      </c>
      <c r="K390" s="70" t="s">
        <v>1791</v>
      </c>
      <c r="L390" s="74">
        <v>1</v>
      </c>
      <c r="M390" s="75">
        <v>2165.78076171875</v>
      </c>
      <c r="N390" s="75">
        <v>773.394287109375</v>
      </c>
      <c r="O390" s="76"/>
      <c r="P390" s="77"/>
      <c r="Q390" s="77"/>
      <c r="R390" s="89"/>
      <c r="S390" s="49">
        <v>0</v>
      </c>
      <c r="T390" s="49">
        <v>1</v>
      </c>
      <c r="U390" s="50">
        <v>0</v>
      </c>
      <c r="V390" s="50">
        <v>0.478122</v>
      </c>
      <c r="W390" s="50">
        <v>0.03471</v>
      </c>
      <c r="X390" s="50">
        <v>0.001935</v>
      </c>
      <c r="Y390" s="50">
        <v>0</v>
      </c>
      <c r="Z390" s="50">
        <v>0</v>
      </c>
      <c r="AA390" s="72">
        <v>390</v>
      </c>
      <c r="AB390" s="72"/>
      <c r="AC390" s="73"/>
      <c r="AD390" s="80" t="s">
        <v>1791</v>
      </c>
      <c r="AE390" s="80"/>
      <c r="AF390" s="80"/>
      <c r="AG390" s="80"/>
      <c r="AH390" s="80"/>
      <c r="AI390" s="80"/>
      <c r="AJ390" s="87">
        <v>41459.906122685185</v>
      </c>
      <c r="AK390" s="85" t="str">
        <f>HYPERLINK("https://yt3.ggpht.com/ytc/AKedOLSTfUbo3Je6qxCA5AbFONjfmzdrHQS-lhTC_HmKpA=s88-c-k-c0x00ffffff-no-rj")</f>
        <v>https://yt3.ggpht.com/ytc/AKedOLSTfUbo3Je6qxCA5AbFONjfmzdrHQS-lhTC_HmKpA=s88-c-k-c0x00ffffff-no-rj</v>
      </c>
      <c r="AL390" s="80">
        <v>4420</v>
      </c>
      <c r="AM390" s="80">
        <v>0</v>
      </c>
      <c r="AN390" s="80">
        <v>11</v>
      </c>
      <c r="AO390" s="80" t="b">
        <v>0</v>
      </c>
      <c r="AP390" s="80">
        <v>5</v>
      </c>
      <c r="AQ390" s="80"/>
      <c r="AR390" s="80"/>
      <c r="AS390" s="80" t="s">
        <v>2085</v>
      </c>
      <c r="AT390" s="85" t="str">
        <f>HYPERLINK("https://www.youtube.com/channel/UCBqByZPmDZMizpc5U_y-dDA")</f>
        <v>https://www.youtube.com/channel/UCBqByZPmDZMizpc5U_y-dDA</v>
      </c>
      <c r="AU390" s="80" t="str">
        <f>REPLACE(INDEX(GroupVertices[Group],MATCH(Vertices[[#This Row],[Vertex]],GroupVertices[Vertex],0)),1,1,"")</f>
        <v>1</v>
      </c>
      <c r="AV390" s="49">
        <v>1</v>
      </c>
      <c r="AW390" s="50">
        <v>50</v>
      </c>
      <c r="AX390" s="49">
        <v>0</v>
      </c>
      <c r="AY390" s="50">
        <v>0</v>
      </c>
      <c r="AZ390" s="49">
        <v>0</v>
      </c>
      <c r="BA390" s="50">
        <v>0</v>
      </c>
      <c r="BB390" s="49">
        <v>1</v>
      </c>
      <c r="BC390" s="50">
        <v>50</v>
      </c>
      <c r="BD390" s="49">
        <v>2</v>
      </c>
      <c r="BE390" s="49"/>
      <c r="BF390" s="49"/>
      <c r="BG390" s="49"/>
      <c r="BH390" s="49"/>
      <c r="BI390" s="49"/>
      <c r="BJ390" s="49"/>
      <c r="BK390" s="111" t="s">
        <v>3757</v>
      </c>
      <c r="BL390" s="111" t="s">
        <v>3757</v>
      </c>
      <c r="BM390" s="111" t="s">
        <v>4204</v>
      </c>
      <c r="BN390" s="111" t="s">
        <v>4204</v>
      </c>
      <c r="BO390" s="2"/>
      <c r="BP390" s="3"/>
      <c r="BQ390" s="3"/>
      <c r="BR390" s="3"/>
      <c r="BS390" s="3"/>
    </row>
    <row r="391" spans="1:71" ht="15">
      <c r="A391" s="65" t="s">
        <v>725</v>
      </c>
      <c r="B391" s="66"/>
      <c r="C391" s="66"/>
      <c r="D391" s="67">
        <v>150</v>
      </c>
      <c r="E391" s="69"/>
      <c r="F391" s="103" t="str">
        <f>HYPERLINK("https://yt3.ggpht.com/ytc/AKedOLTMA2rl1v-L6_YogrnzJuwqDgnigHu6AB3FrG0p0OA=s88-c-k-c0x00ffffff-no-rj")</f>
        <v>https://yt3.ggpht.com/ytc/AKedOLTMA2rl1v-L6_YogrnzJuwqDgnigHu6AB3FrG0p0OA=s88-c-k-c0x00ffffff-no-rj</v>
      </c>
      <c r="G391" s="66"/>
      <c r="H391" s="70" t="s">
        <v>1792</v>
      </c>
      <c r="I391" s="71"/>
      <c r="J391" s="71" t="s">
        <v>159</v>
      </c>
      <c r="K391" s="70" t="s">
        <v>1792</v>
      </c>
      <c r="L391" s="74">
        <v>1</v>
      </c>
      <c r="M391" s="75">
        <v>2088.672607421875</v>
      </c>
      <c r="N391" s="75">
        <v>1984.4261474609375</v>
      </c>
      <c r="O391" s="76"/>
      <c r="P391" s="77"/>
      <c r="Q391" s="77"/>
      <c r="R391" s="89"/>
      <c r="S391" s="49">
        <v>1</v>
      </c>
      <c r="T391" s="49">
        <v>2</v>
      </c>
      <c r="U391" s="50">
        <v>0</v>
      </c>
      <c r="V391" s="50">
        <v>0.478122</v>
      </c>
      <c r="W391" s="50">
        <v>0.036456</v>
      </c>
      <c r="X391" s="50">
        <v>0.002092</v>
      </c>
      <c r="Y391" s="50">
        <v>0</v>
      </c>
      <c r="Z391" s="50">
        <v>0</v>
      </c>
      <c r="AA391" s="72">
        <v>391</v>
      </c>
      <c r="AB391" s="72"/>
      <c r="AC391" s="73"/>
      <c r="AD391" s="80" t="s">
        <v>1792</v>
      </c>
      <c r="AE391" s="80"/>
      <c r="AF391" s="80"/>
      <c r="AG391" s="80"/>
      <c r="AH391" s="80"/>
      <c r="AI391" s="80"/>
      <c r="AJ391" s="87">
        <v>41016.91034722222</v>
      </c>
      <c r="AK391" s="85" t="str">
        <f>HYPERLINK("https://yt3.ggpht.com/ytc/AKedOLTMA2rl1v-L6_YogrnzJuwqDgnigHu6AB3FrG0p0OA=s88-c-k-c0x00ffffff-no-rj")</f>
        <v>https://yt3.ggpht.com/ytc/AKedOLTMA2rl1v-L6_YogrnzJuwqDgnigHu6AB3FrG0p0OA=s88-c-k-c0x00ffffff-no-rj</v>
      </c>
      <c r="AL391" s="80">
        <v>21712</v>
      </c>
      <c r="AM391" s="80">
        <v>0</v>
      </c>
      <c r="AN391" s="80">
        <v>38</v>
      </c>
      <c r="AO391" s="80" t="b">
        <v>0</v>
      </c>
      <c r="AP391" s="80">
        <v>7</v>
      </c>
      <c r="AQ391" s="80"/>
      <c r="AR391" s="80"/>
      <c r="AS391" s="80" t="s">
        <v>2085</v>
      </c>
      <c r="AT391" s="85" t="str">
        <f>HYPERLINK("https://www.youtube.com/channel/UCfmrm0tJ4Wvbwh0Qc8S0vZw")</f>
        <v>https://www.youtube.com/channel/UCfmrm0tJ4Wvbwh0Qc8S0vZw</v>
      </c>
      <c r="AU391" s="80" t="str">
        <f>REPLACE(INDEX(GroupVertices[Group],MATCH(Vertices[[#This Row],[Vertex]],GroupVertices[Vertex],0)),1,1,"")</f>
        <v>1</v>
      </c>
      <c r="AV391" s="49">
        <v>1</v>
      </c>
      <c r="AW391" s="50">
        <v>7.6923076923076925</v>
      </c>
      <c r="AX391" s="49">
        <v>1</v>
      </c>
      <c r="AY391" s="50">
        <v>7.6923076923076925</v>
      </c>
      <c r="AZ391" s="49">
        <v>0</v>
      </c>
      <c r="BA391" s="50">
        <v>0</v>
      </c>
      <c r="BB391" s="49">
        <v>11</v>
      </c>
      <c r="BC391" s="50">
        <v>84.61538461538461</v>
      </c>
      <c r="BD391" s="49">
        <v>13</v>
      </c>
      <c r="BE391" s="49"/>
      <c r="BF391" s="49"/>
      <c r="BG391" s="49"/>
      <c r="BH391" s="49"/>
      <c r="BI391" s="49"/>
      <c r="BJ391" s="49"/>
      <c r="BK391" s="111" t="s">
        <v>3758</v>
      </c>
      <c r="BL391" s="111" t="s">
        <v>3758</v>
      </c>
      <c r="BM391" s="111" t="s">
        <v>4205</v>
      </c>
      <c r="BN391" s="111" t="s">
        <v>4205</v>
      </c>
      <c r="BO391" s="2"/>
      <c r="BP391" s="3"/>
      <c r="BQ391" s="3"/>
      <c r="BR391" s="3"/>
      <c r="BS391" s="3"/>
    </row>
    <row r="392" spans="1:71" ht="15">
      <c r="A392" s="65" t="s">
        <v>726</v>
      </c>
      <c r="B392" s="66"/>
      <c r="C392" s="66"/>
      <c r="D392" s="67">
        <v>150</v>
      </c>
      <c r="E392" s="69"/>
      <c r="F392" s="103" t="str">
        <f>HYPERLINK("https://yt3.ggpht.com/ytc/AKedOLQLCKiGWyw7sf4tWCAEEQM8SdoKJd3PwHs72w=s88-c-k-c0x00ffffff-no-rj")</f>
        <v>https://yt3.ggpht.com/ytc/AKedOLQLCKiGWyw7sf4tWCAEEQM8SdoKJd3PwHs72w=s88-c-k-c0x00ffffff-no-rj</v>
      </c>
      <c r="G392" s="66"/>
      <c r="H392" s="70" t="s">
        <v>1793</v>
      </c>
      <c r="I392" s="71"/>
      <c r="J392" s="71" t="s">
        <v>159</v>
      </c>
      <c r="K392" s="70" t="s">
        <v>1793</v>
      </c>
      <c r="L392" s="74">
        <v>1</v>
      </c>
      <c r="M392" s="75">
        <v>5586.017578125</v>
      </c>
      <c r="N392" s="75">
        <v>9480.8583984375</v>
      </c>
      <c r="O392" s="76"/>
      <c r="P392" s="77"/>
      <c r="Q392" s="77"/>
      <c r="R392" s="89"/>
      <c r="S392" s="49">
        <v>0</v>
      </c>
      <c r="T392" s="49">
        <v>1</v>
      </c>
      <c r="U392" s="50">
        <v>0</v>
      </c>
      <c r="V392" s="50">
        <v>0.478122</v>
      </c>
      <c r="W392" s="50">
        <v>0.03471</v>
      </c>
      <c r="X392" s="50">
        <v>0.001935</v>
      </c>
      <c r="Y392" s="50">
        <v>0</v>
      </c>
      <c r="Z392" s="50">
        <v>0</v>
      </c>
      <c r="AA392" s="72">
        <v>392</v>
      </c>
      <c r="AB392" s="72"/>
      <c r="AC392" s="73"/>
      <c r="AD392" s="80" t="s">
        <v>1793</v>
      </c>
      <c r="AE392" s="80"/>
      <c r="AF392" s="80"/>
      <c r="AG392" s="80"/>
      <c r="AH392" s="80"/>
      <c r="AI392" s="80"/>
      <c r="AJ392" s="87">
        <v>41708.978946759256</v>
      </c>
      <c r="AK392" s="85" t="str">
        <f>HYPERLINK("https://yt3.ggpht.com/ytc/AKedOLQLCKiGWyw7sf4tWCAEEQM8SdoKJd3PwHs72w=s88-c-k-c0x00ffffff-no-rj")</f>
        <v>https://yt3.ggpht.com/ytc/AKedOLQLCKiGWyw7sf4tWCAEEQM8SdoKJd3PwHs72w=s88-c-k-c0x00ffffff-no-rj</v>
      </c>
      <c r="AL392" s="80">
        <v>0</v>
      </c>
      <c r="AM392" s="80">
        <v>0</v>
      </c>
      <c r="AN392" s="80">
        <v>0</v>
      </c>
      <c r="AO392" s="80" t="b">
        <v>0</v>
      </c>
      <c r="AP392" s="80">
        <v>0</v>
      </c>
      <c r="AQ392" s="80"/>
      <c r="AR392" s="80"/>
      <c r="AS392" s="80" t="s">
        <v>2085</v>
      </c>
      <c r="AT392" s="85" t="str">
        <f>HYPERLINK("https://www.youtube.com/channel/UC_juy4yO45-xTlCvVGADnag")</f>
        <v>https://www.youtube.com/channel/UC_juy4yO45-xTlCvVGADnag</v>
      </c>
      <c r="AU392" s="80" t="str">
        <f>REPLACE(INDEX(GroupVertices[Group],MATCH(Vertices[[#This Row],[Vertex]],GroupVertices[Vertex],0)),1,1,"")</f>
        <v>1</v>
      </c>
      <c r="AV392" s="49">
        <v>0</v>
      </c>
      <c r="AW392" s="50">
        <v>0</v>
      </c>
      <c r="AX392" s="49">
        <v>0</v>
      </c>
      <c r="AY392" s="50">
        <v>0</v>
      </c>
      <c r="AZ392" s="49">
        <v>0</v>
      </c>
      <c r="BA392" s="50">
        <v>0</v>
      </c>
      <c r="BB392" s="49">
        <v>8</v>
      </c>
      <c r="BC392" s="50">
        <v>100</v>
      </c>
      <c r="BD392" s="49">
        <v>8</v>
      </c>
      <c r="BE392" s="49"/>
      <c r="BF392" s="49"/>
      <c r="BG392" s="49"/>
      <c r="BH392" s="49"/>
      <c r="BI392" s="49"/>
      <c r="BJ392" s="49"/>
      <c r="BK392" s="111" t="s">
        <v>3759</v>
      </c>
      <c r="BL392" s="111" t="s">
        <v>3759</v>
      </c>
      <c r="BM392" s="111" t="s">
        <v>4206</v>
      </c>
      <c r="BN392" s="111" t="s">
        <v>4206</v>
      </c>
      <c r="BO392" s="2"/>
      <c r="BP392" s="3"/>
      <c r="BQ392" s="3"/>
      <c r="BR392" s="3"/>
      <c r="BS392" s="3"/>
    </row>
    <row r="393" spans="1:71" ht="15">
      <c r="A393" s="65" t="s">
        <v>727</v>
      </c>
      <c r="B393" s="66"/>
      <c r="C393" s="66"/>
      <c r="D393" s="67">
        <v>150</v>
      </c>
      <c r="E393" s="69"/>
      <c r="F393" s="103" t="str">
        <f>HYPERLINK("https://yt3.ggpht.com/ytc/AKedOLTSiQyJGUkMdcsvhhgdcLK3QC2QyZPRkJbZXu0w3g=s88-c-k-c0x00ffffff-no-rj")</f>
        <v>https://yt3.ggpht.com/ytc/AKedOLTSiQyJGUkMdcsvhhgdcLK3QC2QyZPRkJbZXu0w3g=s88-c-k-c0x00ffffff-no-rj</v>
      </c>
      <c r="G393" s="66"/>
      <c r="H393" s="70" t="s">
        <v>1794</v>
      </c>
      <c r="I393" s="71"/>
      <c r="J393" s="71" t="s">
        <v>159</v>
      </c>
      <c r="K393" s="70" t="s">
        <v>1794</v>
      </c>
      <c r="L393" s="74">
        <v>1</v>
      </c>
      <c r="M393" s="75">
        <v>4730.3662109375</v>
      </c>
      <c r="N393" s="75">
        <v>3450.90185546875</v>
      </c>
      <c r="O393" s="76"/>
      <c r="P393" s="77"/>
      <c r="Q393" s="77"/>
      <c r="R393" s="89"/>
      <c r="S393" s="49">
        <v>0</v>
      </c>
      <c r="T393" s="49">
        <v>1</v>
      </c>
      <c r="U393" s="50">
        <v>0</v>
      </c>
      <c r="V393" s="50">
        <v>0.478122</v>
      </c>
      <c r="W393" s="50">
        <v>0.03471</v>
      </c>
      <c r="X393" s="50">
        <v>0.001935</v>
      </c>
      <c r="Y393" s="50">
        <v>0</v>
      </c>
      <c r="Z393" s="50">
        <v>0</v>
      </c>
      <c r="AA393" s="72">
        <v>393</v>
      </c>
      <c r="AB393" s="72"/>
      <c r="AC393" s="73"/>
      <c r="AD393" s="80" t="s">
        <v>1794</v>
      </c>
      <c r="AE393" s="80"/>
      <c r="AF393" s="80"/>
      <c r="AG393" s="80"/>
      <c r="AH393" s="80"/>
      <c r="AI393" s="80"/>
      <c r="AJ393" s="87">
        <v>42258.94909722222</v>
      </c>
      <c r="AK393" s="85" t="str">
        <f>HYPERLINK("https://yt3.ggpht.com/ytc/AKedOLTSiQyJGUkMdcsvhhgdcLK3QC2QyZPRkJbZXu0w3g=s88-c-k-c0x00ffffff-no-rj")</f>
        <v>https://yt3.ggpht.com/ytc/AKedOLTSiQyJGUkMdcsvhhgdcLK3QC2QyZPRkJbZXu0w3g=s88-c-k-c0x00ffffff-no-rj</v>
      </c>
      <c r="AL393" s="80">
        <v>0</v>
      </c>
      <c r="AM393" s="80">
        <v>0</v>
      </c>
      <c r="AN393" s="80">
        <v>5</v>
      </c>
      <c r="AO393" s="80" t="b">
        <v>0</v>
      </c>
      <c r="AP393" s="80">
        <v>0</v>
      </c>
      <c r="AQ393" s="80"/>
      <c r="AR393" s="80"/>
      <c r="AS393" s="80" t="s">
        <v>2085</v>
      </c>
      <c r="AT393" s="85" t="str">
        <f>HYPERLINK("https://www.youtube.com/channel/UCKUuFKvoUfcgc48a5eiy0iA")</f>
        <v>https://www.youtube.com/channel/UCKUuFKvoUfcgc48a5eiy0iA</v>
      </c>
      <c r="AU393" s="80" t="str">
        <f>REPLACE(INDEX(GroupVertices[Group],MATCH(Vertices[[#This Row],[Vertex]],GroupVertices[Vertex],0)),1,1,"")</f>
        <v>1</v>
      </c>
      <c r="AV393" s="49">
        <v>1</v>
      </c>
      <c r="AW393" s="50">
        <v>1.2345679012345678</v>
      </c>
      <c r="AX393" s="49">
        <v>5</v>
      </c>
      <c r="AY393" s="50">
        <v>6.172839506172839</v>
      </c>
      <c r="AZ393" s="49">
        <v>0</v>
      </c>
      <c r="BA393" s="50">
        <v>0</v>
      </c>
      <c r="BB393" s="49">
        <v>75</v>
      </c>
      <c r="BC393" s="50">
        <v>92.5925925925926</v>
      </c>
      <c r="BD393" s="49">
        <v>81</v>
      </c>
      <c r="BE393" s="49"/>
      <c r="BF393" s="49"/>
      <c r="BG393" s="49"/>
      <c r="BH393" s="49"/>
      <c r="BI393" s="49"/>
      <c r="BJ393" s="49"/>
      <c r="BK393" s="111" t="s">
        <v>3760</v>
      </c>
      <c r="BL393" s="111" t="s">
        <v>3760</v>
      </c>
      <c r="BM393" s="111" t="s">
        <v>4207</v>
      </c>
      <c r="BN393" s="111" t="s">
        <v>4207</v>
      </c>
      <c r="BO393" s="2"/>
      <c r="BP393" s="3"/>
      <c r="BQ393" s="3"/>
      <c r="BR393" s="3"/>
      <c r="BS393" s="3"/>
    </row>
    <row r="394" spans="1:71" ht="15">
      <c r="A394" s="65" t="s">
        <v>728</v>
      </c>
      <c r="B394" s="66"/>
      <c r="C394" s="66"/>
      <c r="D394" s="67">
        <v>150</v>
      </c>
      <c r="E394" s="69"/>
      <c r="F394" s="103" t="str">
        <f>HYPERLINK("https://yt3.ggpht.com/ytc/AKedOLSOEazMx0yzUFTBKF1Twzh2rj4pBbLCZO9D7pXO2_EJTSzTHMt1Ops-ngzguAQr=s88-c-k-c0x00ffffff-no-rj")</f>
        <v>https://yt3.ggpht.com/ytc/AKedOLSOEazMx0yzUFTBKF1Twzh2rj4pBbLCZO9D7pXO2_EJTSzTHMt1Ops-ngzguAQr=s88-c-k-c0x00ffffff-no-rj</v>
      </c>
      <c r="G394" s="66"/>
      <c r="H394" s="70" t="s">
        <v>1795</v>
      </c>
      <c r="I394" s="71"/>
      <c r="J394" s="71" t="s">
        <v>159</v>
      </c>
      <c r="K394" s="70" t="s">
        <v>1795</v>
      </c>
      <c r="L394" s="74">
        <v>1</v>
      </c>
      <c r="M394" s="75">
        <v>5332.10595703125</v>
      </c>
      <c r="N394" s="75">
        <v>7175.29638671875</v>
      </c>
      <c r="O394" s="76"/>
      <c r="P394" s="77"/>
      <c r="Q394" s="77"/>
      <c r="R394" s="89"/>
      <c r="S394" s="49">
        <v>0</v>
      </c>
      <c r="T394" s="49">
        <v>1</v>
      </c>
      <c r="U394" s="50">
        <v>0</v>
      </c>
      <c r="V394" s="50">
        <v>0.478122</v>
      </c>
      <c r="W394" s="50">
        <v>0.03471</v>
      </c>
      <c r="X394" s="50">
        <v>0.001935</v>
      </c>
      <c r="Y394" s="50">
        <v>0</v>
      </c>
      <c r="Z394" s="50">
        <v>0</v>
      </c>
      <c r="AA394" s="72">
        <v>394</v>
      </c>
      <c r="AB394" s="72"/>
      <c r="AC394" s="73"/>
      <c r="AD394" s="80" t="s">
        <v>1795</v>
      </c>
      <c r="AE394" s="80"/>
      <c r="AF394" s="80"/>
      <c r="AG394" s="80"/>
      <c r="AH394" s="80"/>
      <c r="AI394" s="80"/>
      <c r="AJ394" s="87">
        <v>44448.66575231482</v>
      </c>
      <c r="AK394" s="85" t="str">
        <f>HYPERLINK("https://yt3.ggpht.com/ytc/AKedOLSOEazMx0yzUFTBKF1Twzh2rj4pBbLCZO9D7pXO2_EJTSzTHMt1Ops-ngzguAQr=s88-c-k-c0x00ffffff-no-rj")</f>
        <v>https://yt3.ggpht.com/ytc/AKedOLSOEazMx0yzUFTBKF1Twzh2rj4pBbLCZO9D7pXO2_EJTSzTHMt1Ops-ngzguAQr=s88-c-k-c0x00ffffff-no-rj</v>
      </c>
      <c r="AL394" s="80">
        <v>0</v>
      </c>
      <c r="AM394" s="80">
        <v>0</v>
      </c>
      <c r="AN394" s="80">
        <v>0</v>
      </c>
      <c r="AO394" s="80" t="b">
        <v>0</v>
      </c>
      <c r="AP394" s="80">
        <v>0</v>
      </c>
      <c r="AQ394" s="80"/>
      <c r="AR394" s="80"/>
      <c r="AS394" s="80" t="s">
        <v>2085</v>
      </c>
      <c r="AT394" s="85" t="str">
        <f>HYPERLINK("https://www.youtube.com/channel/UCQUO6eNYTAvVIa2XoaQjRwQ")</f>
        <v>https://www.youtube.com/channel/UCQUO6eNYTAvVIa2XoaQjRwQ</v>
      </c>
      <c r="AU394" s="80" t="str">
        <f>REPLACE(INDEX(GroupVertices[Group],MATCH(Vertices[[#This Row],[Vertex]],GroupVertices[Vertex],0)),1,1,"")</f>
        <v>1</v>
      </c>
      <c r="AV394" s="49">
        <v>0</v>
      </c>
      <c r="AW394" s="50">
        <v>0</v>
      </c>
      <c r="AX394" s="49">
        <v>0</v>
      </c>
      <c r="AY394" s="50">
        <v>0</v>
      </c>
      <c r="AZ394" s="49">
        <v>0</v>
      </c>
      <c r="BA394" s="50">
        <v>0</v>
      </c>
      <c r="BB394" s="49">
        <v>30</v>
      </c>
      <c r="BC394" s="50">
        <v>100</v>
      </c>
      <c r="BD394" s="49">
        <v>30</v>
      </c>
      <c r="BE394" s="49"/>
      <c r="BF394" s="49"/>
      <c r="BG394" s="49"/>
      <c r="BH394" s="49"/>
      <c r="BI394" s="49"/>
      <c r="BJ394" s="49"/>
      <c r="BK394" s="111" t="s">
        <v>3761</v>
      </c>
      <c r="BL394" s="111" t="s">
        <v>3761</v>
      </c>
      <c r="BM394" s="111" t="s">
        <v>4208</v>
      </c>
      <c r="BN394" s="111" t="s">
        <v>4208</v>
      </c>
      <c r="BO394" s="2"/>
      <c r="BP394" s="3"/>
      <c r="BQ394" s="3"/>
      <c r="BR394" s="3"/>
      <c r="BS394" s="3"/>
    </row>
    <row r="395" spans="1:71" ht="15">
      <c r="A395" s="65" t="s">
        <v>729</v>
      </c>
      <c r="B395" s="66"/>
      <c r="C395" s="66"/>
      <c r="D395" s="67">
        <v>150</v>
      </c>
      <c r="E395" s="69"/>
      <c r="F395" s="103" t="str">
        <f>HYPERLINK("https://yt3.ggpht.com/ytc/AKedOLR1r_qhZsbUagiiZVbn3xmnhWY9RvuORRl2sQ=s88-c-k-c0x00ffffff-no-rj")</f>
        <v>https://yt3.ggpht.com/ytc/AKedOLR1r_qhZsbUagiiZVbn3xmnhWY9RvuORRl2sQ=s88-c-k-c0x00ffffff-no-rj</v>
      </c>
      <c r="G395" s="66"/>
      <c r="H395" s="70" t="s">
        <v>1796</v>
      </c>
      <c r="I395" s="71"/>
      <c r="J395" s="71" t="s">
        <v>159</v>
      </c>
      <c r="K395" s="70" t="s">
        <v>1796</v>
      </c>
      <c r="L395" s="74">
        <v>1</v>
      </c>
      <c r="M395" s="75">
        <v>7066.19140625</v>
      </c>
      <c r="N395" s="75">
        <v>3515.565185546875</v>
      </c>
      <c r="O395" s="76"/>
      <c r="P395" s="77"/>
      <c r="Q395" s="77"/>
      <c r="R395" s="89"/>
      <c r="S395" s="49">
        <v>0</v>
      </c>
      <c r="T395" s="49">
        <v>1</v>
      </c>
      <c r="U395" s="50">
        <v>0</v>
      </c>
      <c r="V395" s="50">
        <v>0.478122</v>
      </c>
      <c r="W395" s="50">
        <v>0.03471</v>
      </c>
      <c r="X395" s="50">
        <v>0.001935</v>
      </c>
      <c r="Y395" s="50">
        <v>0</v>
      </c>
      <c r="Z395" s="50">
        <v>0</v>
      </c>
      <c r="AA395" s="72">
        <v>395</v>
      </c>
      <c r="AB395" s="72"/>
      <c r="AC395" s="73"/>
      <c r="AD395" s="80" t="s">
        <v>1796</v>
      </c>
      <c r="AE395" s="80"/>
      <c r="AF395" s="80"/>
      <c r="AG395" s="80"/>
      <c r="AH395" s="80"/>
      <c r="AI395" s="80"/>
      <c r="AJ395" s="87">
        <v>44015.823425925926</v>
      </c>
      <c r="AK395" s="85" t="str">
        <f>HYPERLINK("https://yt3.ggpht.com/ytc/AKedOLR1r_qhZsbUagiiZVbn3xmnhWY9RvuORRl2sQ=s88-c-k-c0x00ffffff-no-rj")</f>
        <v>https://yt3.ggpht.com/ytc/AKedOLR1r_qhZsbUagiiZVbn3xmnhWY9RvuORRl2sQ=s88-c-k-c0x00ffffff-no-rj</v>
      </c>
      <c r="AL395" s="80">
        <v>11</v>
      </c>
      <c r="AM395" s="80">
        <v>0</v>
      </c>
      <c r="AN395" s="80">
        <v>0</v>
      </c>
      <c r="AO395" s="80" t="b">
        <v>0</v>
      </c>
      <c r="AP395" s="80">
        <v>1</v>
      </c>
      <c r="AQ395" s="80"/>
      <c r="AR395" s="80"/>
      <c r="AS395" s="80" t="s">
        <v>2085</v>
      </c>
      <c r="AT395" s="85" t="str">
        <f>HYPERLINK("https://www.youtube.com/channel/UC1DjQgoKxKaWdL_hrR4nI-Q")</f>
        <v>https://www.youtube.com/channel/UC1DjQgoKxKaWdL_hrR4nI-Q</v>
      </c>
      <c r="AU395" s="80" t="str">
        <f>REPLACE(INDEX(GroupVertices[Group],MATCH(Vertices[[#This Row],[Vertex]],GroupVertices[Vertex],0)),1,1,"")</f>
        <v>1</v>
      </c>
      <c r="AV395" s="49">
        <v>0</v>
      </c>
      <c r="AW395" s="50">
        <v>0</v>
      </c>
      <c r="AX395" s="49">
        <v>0</v>
      </c>
      <c r="AY395" s="50">
        <v>0</v>
      </c>
      <c r="AZ395" s="49">
        <v>0</v>
      </c>
      <c r="BA395" s="50">
        <v>0</v>
      </c>
      <c r="BB395" s="49">
        <v>75</v>
      </c>
      <c r="BC395" s="50">
        <v>100</v>
      </c>
      <c r="BD395" s="49">
        <v>75</v>
      </c>
      <c r="BE395" s="49" t="s">
        <v>3392</v>
      </c>
      <c r="BF395" s="49" t="s">
        <v>3392</v>
      </c>
      <c r="BG395" s="49" t="s">
        <v>1922</v>
      </c>
      <c r="BH395" s="49" t="s">
        <v>1922</v>
      </c>
      <c r="BI395" s="49"/>
      <c r="BJ395" s="49"/>
      <c r="BK395" s="111" t="s">
        <v>3762</v>
      </c>
      <c r="BL395" s="111" t="s">
        <v>3848</v>
      </c>
      <c r="BM395" s="111" t="s">
        <v>4209</v>
      </c>
      <c r="BN395" s="111" t="s">
        <v>4209</v>
      </c>
      <c r="BO395" s="2"/>
      <c r="BP395" s="3"/>
      <c r="BQ395" s="3"/>
      <c r="BR395" s="3"/>
      <c r="BS395" s="3"/>
    </row>
    <row r="396" spans="1:71" ht="15">
      <c r="A396" s="65" t="s">
        <v>730</v>
      </c>
      <c r="B396" s="66"/>
      <c r="C396" s="66"/>
      <c r="D396" s="67">
        <v>150</v>
      </c>
      <c r="E396" s="69"/>
      <c r="F396" s="103" t="str">
        <f>HYPERLINK("https://yt3.ggpht.com/ytc/AKedOLSN_0rzCwwVVW-k5Y9xyJ3zgajkQ27xdKHtzA=s88-c-k-c0x00ffffff-no-rj")</f>
        <v>https://yt3.ggpht.com/ytc/AKedOLSN_0rzCwwVVW-k5Y9xyJ3zgajkQ27xdKHtzA=s88-c-k-c0x00ffffff-no-rj</v>
      </c>
      <c r="G396" s="66"/>
      <c r="H396" s="70" t="s">
        <v>1797</v>
      </c>
      <c r="I396" s="71"/>
      <c r="J396" s="71" t="s">
        <v>159</v>
      </c>
      <c r="K396" s="70" t="s">
        <v>1797</v>
      </c>
      <c r="L396" s="74">
        <v>1</v>
      </c>
      <c r="M396" s="75">
        <v>7281.2412109375</v>
      </c>
      <c r="N396" s="75">
        <v>6233.9765625</v>
      </c>
      <c r="O396" s="76"/>
      <c r="P396" s="77"/>
      <c r="Q396" s="77"/>
      <c r="R396" s="89"/>
      <c r="S396" s="49">
        <v>0</v>
      </c>
      <c r="T396" s="49">
        <v>1</v>
      </c>
      <c r="U396" s="50">
        <v>0</v>
      </c>
      <c r="V396" s="50">
        <v>0.478122</v>
      </c>
      <c r="W396" s="50">
        <v>0.03471</v>
      </c>
      <c r="X396" s="50">
        <v>0.001935</v>
      </c>
      <c r="Y396" s="50">
        <v>0</v>
      </c>
      <c r="Z396" s="50">
        <v>0</v>
      </c>
      <c r="AA396" s="72">
        <v>396</v>
      </c>
      <c r="AB396" s="72"/>
      <c r="AC396" s="73"/>
      <c r="AD396" s="80" t="s">
        <v>1797</v>
      </c>
      <c r="AE396" s="80"/>
      <c r="AF396" s="80"/>
      <c r="AG396" s="80"/>
      <c r="AH396" s="80"/>
      <c r="AI396" s="80"/>
      <c r="AJ396" s="87">
        <v>41663.96878472222</v>
      </c>
      <c r="AK396" s="85" t="str">
        <f>HYPERLINK("https://yt3.ggpht.com/ytc/AKedOLSN_0rzCwwVVW-k5Y9xyJ3zgajkQ27xdKHtzA=s88-c-k-c0x00ffffff-no-rj")</f>
        <v>https://yt3.ggpht.com/ytc/AKedOLSN_0rzCwwVVW-k5Y9xyJ3zgajkQ27xdKHtzA=s88-c-k-c0x00ffffff-no-rj</v>
      </c>
      <c r="AL396" s="80">
        <v>0</v>
      </c>
      <c r="AM396" s="80">
        <v>0</v>
      </c>
      <c r="AN396" s="80">
        <v>0</v>
      </c>
      <c r="AO396" s="80" t="b">
        <v>0</v>
      </c>
      <c r="AP396" s="80">
        <v>0</v>
      </c>
      <c r="AQ396" s="80"/>
      <c r="AR396" s="80"/>
      <c r="AS396" s="80" t="s">
        <v>2085</v>
      </c>
      <c r="AT396" s="85" t="str">
        <f>HYPERLINK("https://www.youtube.com/channel/UCT5ynWTl9RcNmQaVmx64yCg")</f>
        <v>https://www.youtube.com/channel/UCT5ynWTl9RcNmQaVmx64yCg</v>
      </c>
      <c r="AU396" s="80" t="str">
        <f>REPLACE(INDEX(GroupVertices[Group],MATCH(Vertices[[#This Row],[Vertex]],GroupVertices[Vertex],0)),1,1,"")</f>
        <v>1</v>
      </c>
      <c r="AV396" s="49">
        <v>0</v>
      </c>
      <c r="AW396" s="50">
        <v>0</v>
      </c>
      <c r="AX396" s="49">
        <v>1</v>
      </c>
      <c r="AY396" s="50">
        <v>25</v>
      </c>
      <c r="AZ396" s="49">
        <v>0</v>
      </c>
      <c r="BA396" s="50">
        <v>0</v>
      </c>
      <c r="BB396" s="49">
        <v>3</v>
      </c>
      <c r="BC396" s="50">
        <v>75</v>
      </c>
      <c r="BD396" s="49">
        <v>4</v>
      </c>
      <c r="BE396" s="49"/>
      <c r="BF396" s="49"/>
      <c r="BG396" s="49"/>
      <c r="BH396" s="49"/>
      <c r="BI396" s="49"/>
      <c r="BJ396" s="49"/>
      <c r="BK396" s="111" t="s">
        <v>3763</v>
      </c>
      <c r="BL396" s="111" t="s">
        <v>3763</v>
      </c>
      <c r="BM396" s="111" t="s">
        <v>4210</v>
      </c>
      <c r="BN396" s="111" t="s">
        <v>4210</v>
      </c>
      <c r="BO396" s="2"/>
      <c r="BP396" s="3"/>
      <c r="BQ396" s="3"/>
      <c r="BR396" s="3"/>
      <c r="BS396" s="3"/>
    </row>
    <row r="397" spans="1:71" ht="15">
      <c r="A397" s="65" t="s">
        <v>731</v>
      </c>
      <c r="B397" s="66"/>
      <c r="C397" s="66"/>
      <c r="D397" s="67">
        <v>150</v>
      </c>
      <c r="E397" s="69"/>
      <c r="F397" s="103" t="str">
        <f>HYPERLINK("https://yt3.ggpht.com/ytc/AKedOLQy-ZtYCS8zrFd0mLTmEITWxT6CA8x3E1STSYsOCek=s88-c-k-c0x00ffffff-no-rj")</f>
        <v>https://yt3.ggpht.com/ytc/AKedOLQy-ZtYCS8zrFd0mLTmEITWxT6CA8x3E1STSYsOCek=s88-c-k-c0x00ffffff-no-rj</v>
      </c>
      <c r="G397" s="66"/>
      <c r="H397" s="70" t="s">
        <v>1798</v>
      </c>
      <c r="I397" s="71"/>
      <c r="J397" s="71" t="s">
        <v>159</v>
      </c>
      <c r="K397" s="70" t="s">
        <v>1798</v>
      </c>
      <c r="L397" s="74">
        <v>1</v>
      </c>
      <c r="M397" s="75">
        <v>1258.8858642578125</v>
      </c>
      <c r="N397" s="75">
        <v>8136.47509765625</v>
      </c>
      <c r="O397" s="76"/>
      <c r="P397" s="77"/>
      <c r="Q397" s="77"/>
      <c r="R397" s="89"/>
      <c r="S397" s="49">
        <v>0</v>
      </c>
      <c r="T397" s="49">
        <v>1</v>
      </c>
      <c r="U397" s="50">
        <v>0</v>
      </c>
      <c r="V397" s="50">
        <v>0.478122</v>
      </c>
      <c r="W397" s="50">
        <v>0.03471</v>
      </c>
      <c r="X397" s="50">
        <v>0.001935</v>
      </c>
      <c r="Y397" s="50">
        <v>0</v>
      </c>
      <c r="Z397" s="50">
        <v>0</v>
      </c>
      <c r="AA397" s="72">
        <v>397</v>
      </c>
      <c r="AB397" s="72"/>
      <c r="AC397" s="73"/>
      <c r="AD397" s="80" t="s">
        <v>1798</v>
      </c>
      <c r="AE397" s="80"/>
      <c r="AF397" s="80"/>
      <c r="AG397" s="80"/>
      <c r="AH397" s="80"/>
      <c r="AI397" s="80" t="s">
        <v>2081</v>
      </c>
      <c r="AJ397" s="87">
        <v>40947.062789351854</v>
      </c>
      <c r="AK397" s="85" t="str">
        <f>HYPERLINK("https://yt3.ggpht.com/ytc/AKedOLQy-ZtYCS8zrFd0mLTmEITWxT6CA8x3E1STSYsOCek=s88-c-k-c0x00ffffff-no-rj")</f>
        <v>https://yt3.ggpht.com/ytc/AKedOLQy-ZtYCS8zrFd0mLTmEITWxT6CA8x3E1STSYsOCek=s88-c-k-c0x00ffffff-no-rj</v>
      </c>
      <c r="AL397" s="80">
        <v>0</v>
      </c>
      <c r="AM397" s="80">
        <v>0</v>
      </c>
      <c r="AN397" s="80">
        <v>0</v>
      </c>
      <c r="AO397" s="80" t="b">
        <v>0</v>
      </c>
      <c r="AP397" s="80">
        <v>0</v>
      </c>
      <c r="AQ397" s="80"/>
      <c r="AR397" s="80"/>
      <c r="AS397" s="80" t="s">
        <v>2085</v>
      </c>
      <c r="AT397" s="85" t="str">
        <f>HYPERLINK("https://www.youtube.com/channel/UCjW6K5mG_h--dfOZgjmySNg")</f>
        <v>https://www.youtube.com/channel/UCjW6K5mG_h--dfOZgjmySNg</v>
      </c>
      <c r="AU397" s="80" t="str">
        <f>REPLACE(INDEX(GroupVertices[Group],MATCH(Vertices[[#This Row],[Vertex]],GroupVertices[Vertex],0)),1,1,"")</f>
        <v>1</v>
      </c>
      <c r="AV397" s="49">
        <v>1</v>
      </c>
      <c r="AW397" s="50">
        <v>100</v>
      </c>
      <c r="AX397" s="49">
        <v>0</v>
      </c>
      <c r="AY397" s="50">
        <v>0</v>
      </c>
      <c r="AZ397" s="49">
        <v>0</v>
      </c>
      <c r="BA397" s="50">
        <v>0</v>
      </c>
      <c r="BB397" s="49">
        <v>0</v>
      </c>
      <c r="BC397" s="50">
        <v>0</v>
      </c>
      <c r="BD397" s="49">
        <v>1</v>
      </c>
      <c r="BE397" s="49"/>
      <c r="BF397" s="49"/>
      <c r="BG397" s="49"/>
      <c r="BH397" s="49"/>
      <c r="BI397" s="49"/>
      <c r="BJ397" s="49"/>
      <c r="BK397" s="111" t="s">
        <v>2354</v>
      </c>
      <c r="BL397" s="111" t="s">
        <v>2354</v>
      </c>
      <c r="BM397" s="111" t="s">
        <v>1927</v>
      </c>
      <c r="BN397" s="111" t="s">
        <v>1927</v>
      </c>
      <c r="BO397" s="2"/>
      <c r="BP397" s="3"/>
      <c r="BQ397" s="3"/>
      <c r="BR397" s="3"/>
      <c r="BS397" s="3"/>
    </row>
    <row r="398" spans="1:71" ht="15">
      <c r="A398" s="65" t="s">
        <v>732</v>
      </c>
      <c r="B398" s="66"/>
      <c r="C398" s="66"/>
      <c r="D398" s="67">
        <v>150</v>
      </c>
      <c r="E398" s="69"/>
      <c r="F398" s="103" t="str">
        <f>HYPERLINK("https://yt3.ggpht.com/ytc/AKedOLT6zqIeoILuQNdFJkRqfvCEb2Fflr4yNdeUS3pbLik=s88-c-k-c0x00ffffff-no-rj")</f>
        <v>https://yt3.ggpht.com/ytc/AKedOLT6zqIeoILuQNdFJkRqfvCEb2Fflr4yNdeUS3pbLik=s88-c-k-c0x00ffffff-no-rj</v>
      </c>
      <c r="G398" s="66"/>
      <c r="H398" s="70" t="s">
        <v>1799</v>
      </c>
      <c r="I398" s="71"/>
      <c r="J398" s="71" t="s">
        <v>159</v>
      </c>
      <c r="K398" s="70" t="s">
        <v>1799</v>
      </c>
      <c r="L398" s="74">
        <v>1</v>
      </c>
      <c r="M398" s="75">
        <v>3436.954345703125</v>
      </c>
      <c r="N398" s="75">
        <v>733.0540161132812</v>
      </c>
      <c r="O398" s="76"/>
      <c r="P398" s="77"/>
      <c r="Q398" s="77"/>
      <c r="R398" s="89"/>
      <c r="S398" s="49">
        <v>0</v>
      </c>
      <c r="T398" s="49">
        <v>1</v>
      </c>
      <c r="U398" s="50">
        <v>0</v>
      </c>
      <c r="V398" s="50">
        <v>0.478122</v>
      </c>
      <c r="W398" s="50">
        <v>0.03471</v>
      </c>
      <c r="X398" s="50">
        <v>0.001935</v>
      </c>
      <c r="Y398" s="50">
        <v>0</v>
      </c>
      <c r="Z398" s="50">
        <v>0</v>
      </c>
      <c r="AA398" s="72">
        <v>398</v>
      </c>
      <c r="AB398" s="72"/>
      <c r="AC398" s="73"/>
      <c r="AD398" s="80" t="s">
        <v>1799</v>
      </c>
      <c r="AE398" s="80"/>
      <c r="AF398" s="80"/>
      <c r="AG398" s="80"/>
      <c r="AH398" s="80"/>
      <c r="AI398" s="80"/>
      <c r="AJ398" s="87">
        <v>39376.16997685185</v>
      </c>
      <c r="AK398" s="85" t="str">
        <f>HYPERLINK("https://yt3.ggpht.com/ytc/AKedOLT6zqIeoILuQNdFJkRqfvCEb2Fflr4yNdeUS3pbLik=s88-c-k-c0x00ffffff-no-rj")</f>
        <v>https://yt3.ggpht.com/ytc/AKedOLT6zqIeoILuQNdFJkRqfvCEb2Fflr4yNdeUS3pbLik=s88-c-k-c0x00ffffff-no-rj</v>
      </c>
      <c r="AL398" s="80">
        <v>0</v>
      </c>
      <c r="AM398" s="80">
        <v>0</v>
      </c>
      <c r="AN398" s="80">
        <v>1</v>
      </c>
      <c r="AO398" s="80" t="b">
        <v>0</v>
      </c>
      <c r="AP398" s="80">
        <v>0</v>
      </c>
      <c r="AQ398" s="80"/>
      <c r="AR398" s="80"/>
      <c r="AS398" s="80" t="s">
        <v>2085</v>
      </c>
      <c r="AT398" s="85" t="str">
        <f>HYPERLINK("https://www.youtube.com/channel/UC5PuRhzgB1QSEi5KtDzQjbA")</f>
        <v>https://www.youtube.com/channel/UC5PuRhzgB1QSEi5KtDzQjbA</v>
      </c>
      <c r="AU398" s="80" t="str">
        <f>REPLACE(INDEX(GroupVertices[Group],MATCH(Vertices[[#This Row],[Vertex]],GroupVertices[Vertex],0)),1,1,"")</f>
        <v>1</v>
      </c>
      <c r="AV398" s="49">
        <v>1</v>
      </c>
      <c r="AW398" s="50">
        <v>9.090909090909092</v>
      </c>
      <c r="AX398" s="49">
        <v>0</v>
      </c>
      <c r="AY398" s="50">
        <v>0</v>
      </c>
      <c r="AZ398" s="49">
        <v>0</v>
      </c>
      <c r="BA398" s="50">
        <v>0</v>
      </c>
      <c r="BB398" s="49">
        <v>10</v>
      </c>
      <c r="BC398" s="50">
        <v>90.9090909090909</v>
      </c>
      <c r="BD398" s="49">
        <v>11</v>
      </c>
      <c r="BE398" s="49"/>
      <c r="BF398" s="49"/>
      <c r="BG398" s="49"/>
      <c r="BH398" s="49"/>
      <c r="BI398" s="49"/>
      <c r="BJ398" s="49"/>
      <c r="BK398" s="111" t="s">
        <v>844</v>
      </c>
      <c r="BL398" s="111" t="s">
        <v>844</v>
      </c>
      <c r="BM398" s="111" t="s">
        <v>1927</v>
      </c>
      <c r="BN398" s="111" t="s">
        <v>1927</v>
      </c>
      <c r="BO398" s="2"/>
      <c r="BP398" s="3"/>
      <c r="BQ398" s="3"/>
      <c r="BR398" s="3"/>
      <c r="BS398" s="3"/>
    </row>
    <row r="399" spans="1:71" ht="15">
      <c r="A399" s="65" t="s">
        <v>733</v>
      </c>
      <c r="B399" s="66"/>
      <c r="C399" s="66"/>
      <c r="D399" s="67">
        <v>150</v>
      </c>
      <c r="E399" s="69"/>
      <c r="F399" s="103" t="str">
        <f>HYPERLINK("https://yt3.ggpht.com/BTe9yjET2k0GQR7LvdVJ6VdbWIv31V-CvlnUWkBeKNFyn5GUk7vq2Vk4xS6siUdP0fZTug3k3kQ=s88-c-k-c0x00ffffff-no-rj")</f>
        <v>https://yt3.ggpht.com/BTe9yjET2k0GQR7LvdVJ6VdbWIv31V-CvlnUWkBeKNFyn5GUk7vq2Vk4xS6siUdP0fZTug3k3kQ=s88-c-k-c0x00ffffff-no-rj</v>
      </c>
      <c r="G399" s="66"/>
      <c r="H399" s="70" t="s">
        <v>1800</v>
      </c>
      <c r="I399" s="71"/>
      <c r="J399" s="71" t="s">
        <v>159</v>
      </c>
      <c r="K399" s="70" t="s">
        <v>1800</v>
      </c>
      <c r="L399" s="74">
        <v>1</v>
      </c>
      <c r="M399" s="75">
        <v>5076.314453125</v>
      </c>
      <c r="N399" s="75">
        <v>9585.3994140625</v>
      </c>
      <c r="O399" s="76"/>
      <c r="P399" s="77"/>
      <c r="Q399" s="77"/>
      <c r="R399" s="89"/>
      <c r="S399" s="49">
        <v>0</v>
      </c>
      <c r="T399" s="49">
        <v>1</v>
      </c>
      <c r="U399" s="50">
        <v>0</v>
      </c>
      <c r="V399" s="50">
        <v>0.478122</v>
      </c>
      <c r="W399" s="50">
        <v>0.03471</v>
      </c>
      <c r="X399" s="50">
        <v>0.001935</v>
      </c>
      <c r="Y399" s="50">
        <v>0</v>
      </c>
      <c r="Z399" s="50">
        <v>0</v>
      </c>
      <c r="AA399" s="72">
        <v>399</v>
      </c>
      <c r="AB399" s="72"/>
      <c r="AC399" s="73"/>
      <c r="AD399" s="80" t="s">
        <v>1800</v>
      </c>
      <c r="AE399" s="80" t="s">
        <v>2038</v>
      </c>
      <c r="AF399" s="80"/>
      <c r="AG399" s="80"/>
      <c r="AH399" s="80"/>
      <c r="AI399" s="80"/>
      <c r="AJ399" s="87">
        <v>41829.55299768518</v>
      </c>
      <c r="AK399" s="85" t="str">
        <f>HYPERLINK("https://yt3.ggpht.com/BTe9yjET2k0GQR7LvdVJ6VdbWIv31V-CvlnUWkBeKNFyn5GUk7vq2Vk4xS6siUdP0fZTug3k3kQ=s88-c-k-c0x00ffffff-no-rj")</f>
        <v>https://yt3.ggpht.com/BTe9yjET2k0GQR7LvdVJ6VdbWIv31V-CvlnUWkBeKNFyn5GUk7vq2Vk4xS6siUdP0fZTug3k3kQ=s88-c-k-c0x00ffffff-no-rj</v>
      </c>
      <c r="AL399" s="80">
        <v>19734</v>
      </c>
      <c r="AM399" s="80">
        <v>0</v>
      </c>
      <c r="AN399" s="80">
        <v>104</v>
      </c>
      <c r="AO399" s="80" t="b">
        <v>0</v>
      </c>
      <c r="AP399" s="80">
        <v>7</v>
      </c>
      <c r="AQ399" s="80"/>
      <c r="AR399" s="80"/>
      <c r="AS399" s="80" t="s">
        <v>2085</v>
      </c>
      <c r="AT399" s="85" t="str">
        <f>HYPERLINK("https://www.youtube.com/channel/UCSf7v8KmsdJjHjUJmIR3fDA")</f>
        <v>https://www.youtube.com/channel/UCSf7v8KmsdJjHjUJmIR3fDA</v>
      </c>
      <c r="AU399" s="80" t="str">
        <f>REPLACE(INDEX(GroupVertices[Group],MATCH(Vertices[[#This Row],[Vertex]],GroupVertices[Vertex],0)),1,1,"")</f>
        <v>1</v>
      </c>
      <c r="AV399" s="49">
        <v>1</v>
      </c>
      <c r="AW399" s="50">
        <v>11.11111111111111</v>
      </c>
      <c r="AX399" s="49">
        <v>0</v>
      </c>
      <c r="AY399" s="50">
        <v>0</v>
      </c>
      <c r="AZ399" s="49">
        <v>0</v>
      </c>
      <c r="BA399" s="50">
        <v>0</v>
      </c>
      <c r="BB399" s="49">
        <v>8</v>
      </c>
      <c r="BC399" s="50">
        <v>88.88888888888889</v>
      </c>
      <c r="BD399" s="49">
        <v>9</v>
      </c>
      <c r="BE399" s="49"/>
      <c r="BF399" s="49"/>
      <c r="BG399" s="49"/>
      <c r="BH399" s="49"/>
      <c r="BI399" s="49"/>
      <c r="BJ399" s="49"/>
      <c r="BK399" s="111" t="s">
        <v>3764</v>
      </c>
      <c r="BL399" s="111" t="s">
        <v>3764</v>
      </c>
      <c r="BM399" s="111" t="s">
        <v>4211</v>
      </c>
      <c r="BN399" s="111" t="s">
        <v>4211</v>
      </c>
      <c r="BO399" s="2"/>
      <c r="BP399" s="3"/>
      <c r="BQ399" s="3"/>
      <c r="BR399" s="3"/>
      <c r="BS399" s="3"/>
    </row>
    <row r="400" spans="1:71" ht="15">
      <c r="A400" s="65" t="s">
        <v>734</v>
      </c>
      <c r="B400" s="66"/>
      <c r="C400" s="66"/>
      <c r="D400" s="67">
        <v>150</v>
      </c>
      <c r="E400" s="69"/>
      <c r="F400" s="103" t="str">
        <f>HYPERLINK("https://yt3.ggpht.com/ytc/AKedOLQ-Ck-Dv7j_fWYY_uo0HiqbOcE0UmOq3wmnuInJhaM=s88-c-k-c0x00ffffff-no-rj")</f>
        <v>https://yt3.ggpht.com/ytc/AKedOLQ-Ck-Dv7j_fWYY_uo0HiqbOcE0UmOq3wmnuInJhaM=s88-c-k-c0x00ffffff-no-rj</v>
      </c>
      <c r="G400" s="66"/>
      <c r="H400" s="70" t="s">
        <v>1801</v>
      </c>
      <c r="I400" s="71"/>
      <c r="J400" s="71" t="s">
        <v>159</v>
      </c>
      <c r="K400" s="70" t="s">
        <v>1801</v>
      </c>
      <c r="L400" s="74">
        <v>1</v>
      </c>
      <c r="M400" s="75">
        <v>2760.763916015625</v>
      </c>
      <c r="N400" s="75">
        <v>1139.55419921875</v>
      </c>
      <c r="O400" s="76"/>
      <c r="P400" s="77"/>
      <c r="Q400" s="77"/>
      <c r="R400" s="89"/>
      <c r="S400" s="49">
        <v>0</v>
      </c>
      <c r="T400" s="49">
        <v>1</v>
      </c>
      <c r="U400" s="50">
        <v>0</v>
      </c>
      <c r="V400" s="50">
        <v>0.478122</v>
      </c>
      <c r="W400" s="50">
        <v>0.03471</v>
      </c>
      <c r="X400" s="50">
        <v>0.001935</v>
      </c>
      <c r="Y400" s="50">
        <v>0</v>
      </c>
      <c r="Z400" s="50">
        <v>0</v>
      </c>
      <c r="AA400" s="72">
        <v>400</v>
      </c>
      <c r="AB400" s="72"/>
      <c r="AC400" s="73"/>
      <c r="AD400" s="80" t="s">
        <v>1801</v>
      </c>
      <c r="AE400" s="80"/>
      <c r="AF400" s="80"/>
      <c r="AG400" s="80"/>
      <c r="AH400" s="80"/>
      <c r="AI400" s="80"/>
      <c r="AJ400" s="87">
        <v>41543.191342592596</v>
      </c>
      <c r="AK400" s="85" t="str">
        <f>HYPERLINK("https://yt3.ggpht.com/ytc/AKedOLQ-Ck-Dv7j_fWYY_uo0HiqbOcE0UmOq3wmnuInJhaM=s88-c-k-c0x00ffffff-no-rj")</f>
        <v>https://yt3.ggpht.com/ytc/AKedOLQ-Ck-Dv7j_fWYY_uo0HiqbOcE0UmOq3wmnuInJhaM=s88-c-k-c0x00ffffff-no-rj</v>
      </c>
      <c r="AL400" s="80">
        <v>0</v>
      </c>
      <c r="AM400" s="80">
        <v>0</v>
      </c>
      <c r="AN400" s="80">
        <v>20</v>
      </c>
      <c r="AO400" s="80" t="b">
        <v>0</v>
      </c>
      <c r="AP400" s="80">
        <v>0</v>
      </c>
      <c r="AQ400" s="80"/>
      <c r="AR400" s="80"/>
      <c r="AS400" s="80" t="s">
        <v>2085</v>
      </c>
      <c r="AT400" s="85" t="str">
        <f>HYPERLINK("https://www.youtube.com/channel/UCsWRzD0bdvJVfzr1bMhgNTQ")</f>
        <v>https://www.youtube.com/channel/UCsWRzD0bdvJVfzr1bMhgNTQ</v>
      </c>
      <c r="AU400" s="80" t="str">
        <f>REPLACE(INDEX(GroupVertices[Group],MATCH(Vertices[[#This Row],[Vertex]],GroupVertices[Vertex],0)),1,1,"")</f>
        <v>1</v>
      </c>
      <c r="AV400" s="49">
        <v>2</v>
      </c>
      <c r="AW400" s="50">
        <v>10.526315789473685</v>
      </c>
      <c r="AX400" s="49">
        <v>0</v>
      </c>
      <c r="AY400" s="50">
        <v>0</v>
      </c>
      <c r="AZ400" s="49">
        <v>0</v>
      </c>
      <c r="BA400" s="50">
        <v>0</v>
      </c>
      <c r="BB400" s="49">
        <v>17</v>
      </c>
      <c r="BC400" s="50">
        <v>89.47368421052632</v>
      </c>
      <c r="BD400" s="49">
        <v>19</v>
      </c>
      <c r="BE400" s="49"/>
      <c r="BF400" s="49"/>
      <c r="BG400" s="49"/>
      <c r="BH400" s="49"/>
      <c r="BI400" s="49"/>
      <c r="BJ400" s="49"/>
      <c r="BK400" s="111" t="s">
        <v>3765</v>
      </c>
      <c r="BL400" s="111" t="s">
        <v>3765</v>
      </c>
      <c r="BM400" s="111" t="s">
        <v>4212</v>
      </c>
      <c r="BN400" s="111" t="s">
        <v>4212</v>
      </c>
      <c r="BO400" s="2"/>
      <c r="BP400" s="3"/>
      <c r="BQ400" s="3"/>
      <c r="BR400" s="3"/>
      <c r="BS400" s="3"/>
    </row>
    <row r="401" spans="1:71" ht="15">
      <c r="A401" s="65" t="s">
        <v>735</v>
      </c>
      <c r="B401" s="66"/>
      <c r="C401" s="66"/>
      <c r="D401" s="67">
        <v>150</v>
      </c>
      <c r="E401" s="69"/>
      <c r="F401" s="103" t="str">
        <f>HYPERLINK("https://yt3.ggpht.com/ytc/AKedOLS589OdvKA7Es6IPfxUNKxLn30vzlMOTkjfT55rBw=s88-c-k-c0x00ffffff-no-rj")</f>
        <v>https://yt3.ggpht.com/ytc/AKedOLS589OdvKA7Es6IPfxUNKxLn30vzlMOTkjfT55rBw=s88-c-k-c0x00ffffff-no-rj</v>
      </c>
      <c r="G401" s="66"/>
      <c r="H401" s="70" t="s">
        <v>1802</v>
      </c>
      <c r="I401" s="71"/>
      <c r="J401" s="71" t="s">
        <v>159</v>
      </c>
      <c r="K401" s="70" t="s">
        <v>1802</v>
      </c>
      <c r="L401" s="74">
        <v>1</v>
      </c>
      <c r="M401" s="75">
        <v>5331.95458984375</v>
      </c>
      <c r="N401" s="75">
        <v>335.38336181640625</v>
      </c>
      <c r="O401" s="76"/>
      <c r="P401" s="77"/>
      <c r="Q401" s="77"/>
      <c r="R401" s="89"/>
      <c r="S401" s="49">
        <v>0</v>
      </c>
      <c r="T401" s="49">
        <v>1</v>
      </c>
      <c r="U401" s="50">
        <v>0</v>
      </c>
      <c r="V401" s="50">
        <v>0.478122</v>
      </c>
      <c r="W401" s="50">
        <v>0.03471</v>
      </c>
      <c r="X401" s="50">
        <v>0.001935</v>
      </c>
      <c r="Y401" s="50">
        <v>0</v>
      </c>
      <c r="Z401" s="50">
        <v>0</v>
      </c>
      <c r="AA401" s="72">
        <v>401</v>
      </c>
      <c r="AB401" s="72"/>
      <c r="AC401" s="73"/>
      <c r="AD401" s="80" t="s">
        <v>1802</v>
      </c>
      <c r="AE401" s="80"/>
      <c r="AF401" s="80"/>
      <c r="AG401" s="80"/>
      <c r="AH401" s="80"/>
      <c r="AI401" s="80"/>
      <c r="AJ401" s="87">
        <v>41458.170277777775</v>
      </c>
      <c r="AK401" s="85" t="str">
        <f>HYPERLINK("https://yt3.ggpht.com/ytc/AKedOLS589OdvKA7Es6IPfxUNKxLn30vzlMOTkjfT55rBw=s88-c-k-c0x00ffffff-no-rj")</f>
        <v>https://yt3.ggpht.com/ytc/AKedOLS589OdvKA7Es6IPfxUNKxLn30vzlMOTkjfT55rBw=s88-c-k-c0x00ffffff-no-rj</v>
      </c>
      <c r="AL401" s="80">
        <v>0</v>
      </c>
      <c r="AM401" s="80">
        <v>0</v>
      </c>
      <c r="AN401" s="80">
        <v>1</v>
      </c>
      <c r="AO401" s="80" t="b">
        <v>0</v>
      </c>
      <c r="AP401" s="80">
        <v>0</v>
      </c>
      <c r="AQ401" s="80"/>
      <c r="AR401" s="80"/>
      <c r="AS401" s="80" t="s">
        <v>2085</v>
      </c>
      <c r="AT401" s="85" t="str">
        <f>HYPERLINK("https://www.youtube.com/channel/UCteADJPEuqioxpPwU2sVT9w")</f>
        <v>https://www.youtube.com/channel/UCteADJPEuqioxpPwU2sVT9w</v>
      </c>
      <c r="AU401" s="80" t="str">
        <f>REPLACE(INDEX(GroupVertices[Group],MATCH(Vertices[[#This Row],[Vertex]],GroupVertices[Vertex],0)),1,1,"")</f>
        <v>1</v>
      </c>
      <c r="AV401" s="49">
        <v>0</v>
      </c>
      <c r="AW401" s="50">
        <v>0</v>
      </c>
      <c r="AX401" s="49">
        <v>1</v>
      </c>
      <c r="AY401" s="50">
        <v>14.285714285714286</v>
      </c>
      <c r="AZ401" s="49">
        <v>0</v>
      </c>
      <c r="BA401" s="50">
        <v>0</v>
      </c>
      <c r="BB401" s="49">
        <v>6</v>
      </c>
      <c r="BC401" s="50">
        <v>85.71428571428571</v>
      </c>
      <c r="BD401" s="49">
        <v>7</v>
      </c>
      <c r="BE401" s="49"/>
      <c r="BF401" s="49"/>
      <c r="BG401" s="49"/>
      <c r="BH401" s="49"/>
      <c r="BI401" s="49"/>
      <c r="BJ401" s="49"/>
      <c r="BK401" s="111" t="s">
        <v>3766</v>
      </c>
      <c r="BL401" s="111" t="s">
        <v>3766</v>
      </c>
      <c r="BM401" s="111" t="s">
        <v>4213</v>
      </c>
      <c r="BN401" s="111" t="s">
        <v>4213</v>
      </c>
      <c r="BO401" s="2"/>
      <c r="BP401" s="3"/>
      <c r="BQ401" s="3"/>
      <c r="BR401" s="3"/>
      <c r="BS401" s="3"/>
    </row>
    <row r="402" spans="1:71" ht="15">
      <c r="A402" s="65" t="s">
        <v>736</v>
      </c>
      <c r="B402" s="66"/>
      <c r="C402" s="66"/>
      <c r="D402" s="67">
        <v>150</v>
      </c>
      <c r="E402" s="69"/>
      <c r="F402" s="103" t="str">
        <f>HYPERLINK("https://yt3.ggpht.com/kHunro6n9Tfy5Ws6eQUJFMkLGmlumwsdEDjy-8osrvX-h-rE54IQfjFLUbTRRofiVdh_9mNk=s88-c-k-c0x00ffffff-no-rj")</f>
        <v>https://yt3.ggpht.com/kHunro6n9Tfy5Ws6eQUJFMkLGmlumwsdEDjy-8osrvX-h-rE54IQfjFLUbTRRofiVdh_9mNk=s88-c-k-c0x00ffffff-no-rj</v>
      </c>
      <c r="G402" s="66"/>
      <c r="H402" s="70" t="s">
        <v>1803</v>
      </c>
      <c r="I402" s="71"/>
      <c r="J402" s="71" t="s">
        <v>159</v>
      </c>
      <c r="K402" s="70" t="s">
        <v>1803</v>
      </c>
      <c r="L402" s="74">
        <v>1</v>
      </c>
      <c r="M402" s="75">
        <v>1410.0372314453125</v>
      </c>
      <c r="N402" s="75">
        <v>2593.436767578125</v>
      </c>
      <c r="O402" s="76"/>
      <c r="P402" s="77"/>
      <c r="Q402" s="77"/>
      <c r="R402" s="89"/>
      <c r="S402" s="49">
        <v>0</v>
      </c>
      <c r="T402" s="49">
        <v>1</v>
      </c>
      <c r="U402" s="50">
        <v>0</v>
      </c>
      <c r="V402" s="50">
        <v>0.478122</v>
      </c>
      <c r="W402" s="50">
        <v>0.03471</v>
      </c>
      <c r="X402" s="50">
        <v>0.001935</v>
      </c>
      <c r="Y402" s="50">
        <v>0</v>
      </c>
      <c r="Z402" s="50">
        <v>0</v>
      </c>
      <c r="AA402" s="72">
        <v>402</v>
      </c>
      <c r="AB402" s="72"/>
      <c r="AC402" s="73"/>
      <c r="AD402" s="80" t="s">
        <v>1803</v>
      </c>
      <c r="AE402" s="80"/>
      <c r="AF402" s="80"/>
      <c r="AG402" s="80"/>
      <c r="AH402" s="80"/>
      <c r="AI402" s="80"/>
      <c r="AJ402" s="87">
        <v>40594.81922453704</v>
      </c>
      <c r="AK402" s="85" t="str">
        <f>HYPERLINK("https://yt3.ggpht.com/kHunro6n9Tfy5Ws6eQUJFMkLGmlumwsdEDjy-8osrvX-h-rE54IQfjFLUbTRRofiVdh_9mNk=s88-c-k-c0x00ffffff-no-rj")</f>
        <v>https://yt3.ggpht.com/kHunro6n9Tfy5Ws6eQUJFMkLGmlumwsdEDjy-8osrvX-h-rE54IQfjFLUbTRRofiVdh_9mNk=s88-c-k-c0x00ffffff-no-rj</v>
      </c>
      <c r="AL402" s="80">
        <v>1561</v>
      </c>
      <c r="AM402" s="80">
        <v>0</v>
      </c>
      <c r="AN402" s="80">
        <v>27</v>
      </c>
      <c r="AO402" s="80" t="b">
        <v>0</v>
      </c>
      <c r="AP402" s="80">
        <v>1</v>
      </c>
      <c r="AQ402" s="80"/>
      <c r="AR402" s="80"/>
      <c r="AS402" s="80" t="s">
        <v>2085</v>
      </c>
      <c r="AT402" s="85" t="str">
        <f>HYPERLINK("https://www.youtube.com/channel/UCb4RV6A9q46EVE4854627_Q")</f>
        <v>https://www.youtube.com/channel/UCb4RV6A9q46EVE4854627_Q</v>
      </c>
      <c r="AU402" s="80" t="str">
        <f>REPLACE(INDEX(GroupVertices[Group],MATCH(Vertices[[#This Row],[Vertex]],GroupVertices[Vertex],0)),1,1,"")</f>
        <v>1</v>
      </c>
      <c r="AV402" s="49">
        <v>1</v>
      </c>
      <c r="AW402" s="50">
        <v>100</v>
      </c>
      <c r="AX402" s="49">
        <v>0</v>
      </c>
      <c r="AY402" s="50">
        <v>0</v>
      </c>
      <c r="AZ402" s="49">
        <v>0</v>
      </c>
      <c r="BA402" s="50">
        <v>0</v>
      </c>
      <c r="BB402" s="49">
        <v>0</v>
      </c>
      <c r="BC402" s="50">
        <v>0</v>
      </c>
      <c r="BD402" s="49">
        <v>1</v>
      </c>
      <c r="BE402" s="49"/>
      <c r="BF402" s="49"/>
      <c r="BG402" s="49"/>
      <c r="BH402" s="49"/>
      <c r="BI402" s="49"/>
      <c r="BJ402" s="49"/>
      <c r="BK402" s="111" t="s">
        <v>796</v>
      </c>
      <c r="BL402" s="111" t="s">
        <v>796</v>
      </c>
      <c r="BM402" s="111" t="s">
        <v>1927</v>
      </c>
      <c r="BN402" s="111" t="s">
        <v>1927</v>
      </c>
      <c r="BO402" s="2"/>
      <c r="BP402" s="3"/>
      <c r="BQ402" s="3"/>
      <c r="BR402" s="3"/>
      <c r="BS402" s="3"/>
    </row>
    <row r="403" spans="1:71" ht="15">
      <c r="A403" s="65" t="s">
        <v>737</v>
      </c>
      <c r="B403" s="66"/>
      <c r="C403" s="66"/>
      <c r="D403" s="67">
        <v>150</v>
      </c>
      <c r="E403" s="69"/>
      <c r="F403" s="103" t="str">
        <f>HYPERLINK("https://yt3.ggpht.com/ytc/AKedOLT6n3KQGXcOrbl7Nz8q2-jc74LiZRd9mxNw7oiH2rg=s88-c-k-c0x00ffffff-no-rj")</f>
        <v>https://yt3.ggpht.com/ytc/AKedOLT6n3KQGXcOrbl7Nz8q2-jc74LiZRd9mxNw7oiH2rg=s88-c-k-c0x00ffffff-no-rj</v>
      </c>
      <c r="G403" s="66"/>
      <c r="H403" s="70" t="s">
        <v>1804</v>
      </c>
      <c r="I403" s="71"/>
      <c r="J403" s="71" t="s">
        <v>159</v>
      </c>
      <c r="K403" s="70" t="s">
        <v>1804</v>
      </c>
      <c r="L403" s="74">
        <v>1</v>
      </c>
      <c r="M403" s="75">
        <v>5273.8369140625</v>
      </c>
      <c r="N403" s="75">
        <v>612.49560546875</v>
      </c>
      <c r="O403" s="76"/>
      <c r="P403" s="77"/>
      <c r="Q403" s="77"/>
      <c r="R403" s="89"/>
      <c r="S403" s="49">
        <v>0</v>
      </c>
      <c r="T403" s="49">
        <v>1</v>
      </c>
      <c r="U403" s="50">
        <v>0</v>
      </c>
      <c r="V403" s="50">
        <v>0.478122</v>
      </c>
      <c r="W403" s="50">
        <v>0.03471</v>
      </c>
      <c r="X403" s="50">
        <v>0.001935</v>
      </c>
      <c r="Y403" s="50">
        <v>0</v>
      </c>
      <c r="Z403" s="50">
        <v>0</v>
      </c>
      <c r="AA403" s="72">
        <v>403</v>
      </c>
      <c r="AB403" s="72"/>
      <c r="AC403" s="73"/>
      <c r="AD403" s="80" t="s">
        <v>1804</v>
      </c>
      <c r="AE403" s="80"/>
      <c r="AF403" s="80"/>
      <c r="AG403" s="80"/>
      <c r="AH403" s="80"/>
      <c r="AI403" s="80"/>
      <c r="AJ403" s="87">
        <v>40401.12646990741</v>
      </c>
      <c r="AK403" s="85" t="str">
        <f>HYPERLINK("https://yt3.ggpht.com/ytc/AKedOLT6n3KQGXcOrbl7Nz8q2-jc74LiZRd9mxNw7oiH2rg=s88-c-k-c0x00ffffff-no-rj")</f>
        <v>https://yt3.ggpht.com/ytc/AKedOLT6n3KQGXcOrbl7Nz8q2-jc74LiZRd9mxNw7oiH2rg=s88-c-k-c0x00ffffff-no-rj</v>
      </c>
      <c r="AL403" s="80">
        <v>0</v>
      </c>
      <c r="AM403" s="80">
        <v>0</v>
      </c>
      <c r="AN403" s="80">
        <v>2</v>
      </c>
      <c r="AO403" s="80" t="b">
        <v>0</v>
      </c>
      <c r="AP403" s="80">
        <v>0</v>
      </c>
      <c r="AQ403" s="80"/>
      <c r="AR403" s="80"/>
      <c r="AS403" s="80" t="s">
        <v>2085</v>
      </c>
      <c r="AT403" s="85" t="str">
        <f>HYPERLINK("https://www.youtube.com/channel/UCNTI4xMuiS9JbJapWjUOkVA")</f>
        <v>https://www.youtube.com/channel/UCNTI4xMuiS9JbJapWjUOkVA</v>
      </c>
      <c r="AU403" s="80" t="str">
        <f>REPLACE(INDEX(GroupVertices[Group],MATCH(Vertices[[#This Row],[Vertex]],GroupVertices[Vertex],0)),1,1,"")</f>
        <v>1</v>
      </c>
      <c r="AV403" s="49">
        <v>1</v>
      </c>
      <c r="AW403" s="50">
        <v>100</v>
      </c>
      <c r="AX403" s="49">
        <v>0</v>
      </c>
      <c r="AY403" s="50">
        <v>0</v>
      </c>
      <c r="AZ403" s="49">
        <v>0</v>
      </c>
      <c r="BA403" s="50">
        <v>0</v>
      </c>
      <c r="BB403" s="49">
        <v>0</v>
      </c>
      <c r="BC403" s="50">
        <v>0</v>
      </c>
      <c r="BD403" s="49">
        <v>1</v>
      </c>
      <c r="BE403" s="49"/>
      <c r="BF403" s="49"/>
      <c r="BG403" s="49"/>
      <c r="BH403" s="49"/>
      <c r="BI403" s="49"/>
      <c r="BJ403" s="49"/>
      <c r="BK403" s="111" t="s">
        <v>2178</v>
      </c>
      <c r="BL403" s="111" t="s">
        <v>2178</v>
      </c>
      <c r="BM403" s="111" t="s">
        <v>1927</v>
      </c>
      <c r="BN403" s="111" t="s">
        <v>1927</v>
      </c>
      <c r="BO403" s="2"/>
      <c r="BP403" s="3"/>
      <c r="BQ403" s="3"/>
      <c r="BR403" s="3"/>
      <c r="BS403" s="3"/>
    </row>
    <row r="404" spans="1:71" ht="15">
      <c r="A404" s="65" t="s">
        <v>738</v>
      </c>
      <c r="B404" s="66"/>
      <c r="C404" s="66"/>
      <c r="D404" s="67">
        <v>150</v>
      </c>
      <c r="E404" s="69"/>
      <c r="F404" s="103" t="str">
        <f>HYPERLINK("https://yt3.ggpht.com/ytc/AKedOLRkUDGDF_Xz6KhmIQW2H2oGnuy7OfF0xWc5BvQa9A=s88-c-k-c0x00ffffff-no-rj")</f>
        <v>https://yt3.ggpht.com/ytc/AKedOLRkUDGDF_Xz6KhmIQW2H2oGnuy7OfF0xWc5BvQa9A=s88-c-k-c0x00ffffff-no-rj</v>
      </c>
      <c r="G404" s="66"/>
      <c r="H404" s="70" t="s">
        <v>1805</v>
      </c>
      <c r="I404" s="71"/>
      <c r="J404" s="71" t="s">
        <v>159</v>
      </c>
      <c r="K404" s="70" t="s">
        <v>1805</v>
      </c>
      <c r="L404" s="74">
        <v>1</v>
      </c>
      <c r="M404" s="75">
        <v>7788.72412109375</v>
      </c>
      <c r="N404" s="75">
        <v>6285.8994140625</v>
      </c>
      <c r="O404" s="76"/>
      <c r="P404" s="77"/>
      <c r="Q404" s="77"/>
      <c r="R404" s="89"/>
      <c r="S404" s="49">
        <v>0</v>
      </c>
      <c r="T404" s="49">
        <v>1</v>
      </c>
      <c r="U404" s="50">
        <v>0</v>
      </c>
      <c r="V404" s="50">
        <v>0.478122</v>
      </c>
      <c r="W404" s="50">
        <v>0.03471</v>
      </c>
      <c r="X404" s="50">
        <v>0.001935</v>
      </c>
      <c r="Y404" s="50">
        <v>0</v>
      </c>
      <c r="Z404" s="50">
        <v>0</v>
      </c>
      <c r="AA404" s="72">
        <v>404</v>
      </c>
      <c r="AB404" s="72"/>
      <c r="AC404" s="73"/>
      <c r="AD404" s="80" t="s">
        <v>1805</v>
      </c>
      <c r="AE404" s="80" t="s">
        <v>2039</v>
      </c>
      <c r="AF404" s="80"/>
      <c r="AG404" s="80"/>
      <c r="AH404" s="80"/>
      <c r="AI404" s="80"/>
      <c r="AJ404" s="87">
        <v>41047.75811342592</v>
      </c>
      <c r="AK404" s="85" t="str">
        <f>HYPERLINK("https://yt3.ggpht.com/ytc/AKedOLRkUDGDF_Xz6KhmIQW2H2oGnuy7OfF0xWc5BvQa9A=s88-c-k-c0x00ffffff-no-rj")</f>
        <v>https://yt3.ggpht.com/ytc/AKedOLRkUDGDF_Xz6KhmIQW2H2oGnuy7OfF0xWc5BvQa9A=s88-c-k-c0x00ffffff-no-rj</v>
      </c>
      <c r="AL404" s="80">
        <v>91</v>
      </c>
      <c r="AM404" s="80">
        <v>0</v>
      </c>
      <c r="AN404" s="80">
        <v>2</v>
      </c>
      <c r="AO404" s="80" t="b">
        <v>0</v>
      </c>
      <c r="AP404" s="80">
        <v>16</v>
      </c>
      <c r="AQ404" s="80"/>
      <c r="AR404" s="80"/>
      <c r="AS404" s="80" t="s">
        <v>2085</v>
      </c>
      <c r="AT404" s="85" t="str">
        <f>HYPERLINK("https://www.youtube.com/channel/UC4Rxk3TPz-LBIzfmH75zT6A")</f>
        <v>https://www.youtube.com/channel/UC4Rxk3TPz-LBIzfmH75zT6A</v>
      </c>
      <c r="AU404" s="80" t="str">
        <f>REPLACE(INDEX(GroupVertices[Group],MATCH(Vertices[[#This Row],[Vertex]],GroupVertices[Vertex],0)),1,1,"")</f>
        <v>1</v>
      </c>
      <c r="AV404" s="49">
        <v>1</v>
      </c>
      <c r="AW404" s="50">
        <v>50</v>
      </c>
      <c r="AX404" s="49">
        <v>0</v>
      </c>
      <c r="AY404" s="50">
        <v>0</v>
      </c>
      <c r="AZ404" s="49">
        <v>0</v>
      </c>
      <c r="BA404" s="50">
        <v>0</v>
      </c>
      <c r="BB404" s="49">
        <v>1</v>
      </c>
      <c r="BC404" s="50">
        <v>50</v>
      </c>
      <c r="BD404" s="49">
        <v>2</v>
      </c>
      <c r="BE404" s="49"/>
      <c r="BF404" s="49"/>
      <c r="BG404" s="49"/>
      <c r="BH404" s="49"/>
      <c r="BI404" s="49"/>
      <c r="BJ404" s="49"/>
      <c r="BK404" s="111" t="s">
        <v>2782</v>
      </c>
      <c r="BL404" s="111" t="s">
        <v>2782</v>
      </c>
      <c r="BM404" s="111" t="s">
        <v>1927</v>
      </c>
      <c r="BN404" s="111" t="s">
        <v>1927</v>
      </c>
      <c r="BO404" s="2"/>
      <c r="BP404" s="3"/>
      <c r="BQ404" s="3"/>
      <c r="BR404" s="3"/>
      <c r="BS404" s="3"/>
    </row>
    <row r="405" spans="1:71" ht="15">
      <c r="A405" s="65" t="s">
        <v>739</v>
      </c>
      <c r="B405" s="66"/>
      <c r="C405" s="66"/>
      <c r="D405" s="67">
        <v>150</v>
      </c>
      <c r="E405" s="69"/>
      <c r="F405" s="103" t="str">
        <f>HYPERLINK("https://yt3.ggpht.com/ytc/AKedOLRxMKYNVKpgnLmWeCcMZniW5Yf-hTL-eKHK_BH6aw=s88-c-k-c0x00ffffff-no-rj")</f>
        <v>https://yt3.ggpht.com/ytc/AKedOLRxMKYNVKpgnLmWeCcMZniW5Yf-hTL-eKHK_BH6aw=s88-c-k-c0x00ffffff-no-rj</v>
      </c>
      <c r="G405" s="66"/>
      <c r="H405" s="70" t="s">
        <v>1806</v>
      </c>
      <c r="I405" s="71"/>
      <c r="J405" s="71" t="s">
        <v>159</v>
      </c>
      <c r="K405" s="70" t="s">
        <v>1806</v>
      </c>
      <c r="L405" s="74">
        <v>1</v>
      </c>
      <c r="M405" s="75">
        <v>5319.68896484375</v>
      </c>
      <c r="N405" s="75">
        <v>9772.173828125</v>
      </c>
      <c r="O405" s="76"/>
      <c r="P405" s="77"/>
      <c r="Q405" s="77"/>
      <c r="R405" s="89"/>
      <c r="S405" s="49">
        <v>0</v>
      </c>
      <c r="T405" s="49">
        <v>1</v>
      </c>
      <c r="U405" s="50">
        <v>0</v>
      </c>
      <c r="V405" s="50">
        <v>0.478122</v>
      </c>
      <c r="W405" s="50">
        <v>0.03471</v>
      </c>
      <c r="X405" s="50">
        <v>0.001935</v>
      </c>
      <c r="Y405" s="50">
        <v>0</v>
      </c>
      <c r="Z405" s="50">
        <v>0</v>
      </c>
      <c r="AA405" s="72">
        <v>405</v>
      </c>
      <c r="AB405" s="72"/>
      <c r="AC405" s="73"/>
      <c r="AD405" s="80" t="s">
        <v>1806</v>
      </c>
      <c r="AE405" s="80"/>
      <c r="AF405" s="80"/>
      <c r="AG405" s="80"/>
      <c r="AH405" s="80"/>
      <c r="AI405" s="80"/>
      <c r="AJ405" s="87">
        <v>43842.02186342593</v>
      </c>
      <c r="AK405" s="85" t="str">
        <f>HYPERLINK("https://yt3.ggpht.com/ytc/AKedOLRxMKYNVKpgnLmWeCcMZniW5Yf-hTL-eKHK_BH6aw=s88-c-k-c0x00ffffff-no-rj")</f>
        <v>https://yt3.ggpht.com/ytc/AKedOLRxMKYNVKpgnLmWeCcMZniW5Yf-hTL-eKHK_BH6aw=s88-c-k-c0x00ffffff-no-rj</v>
      </c>
      <c r="AL405" s="80">
        <v>0</v>
      </c>
      <c r="AM405" s="80">
        <v>0</v>
      </c>
      <c r="AN405" s="80">
        <v>0</v>
      </c>
      <c r="AO405" s="80" t="b">
        <v>0</v>
      </c>
      <c r="AP405" s="80">
        <v>0</v>
      </c>
      <c r="AQ405" s="80"/>
      <c r="AR405" s="80"/>
      <c r="AS405" s="80" t="s">
        <v>2085</v>
      </c>
      <c r="AT405" s="85" t="str">
        <f>HYPERLINK("https://www.youtube.com/channel/UC5Mb8CQE6Hbqb-CjsAh5wLw")</f>
        <v>https://www.youtube.com/channel/UC5Mb8CQE6Hbqb-CjsAh5wLw</v>
      </c>
      <c r="AU405" s="80" t="str">
        <f>REPLACE(INDEX(GroupVertices[Group],MATCH(Vertices[[#This Row],[Vertex]],GroupVertices[Vertex],0)),1,1,"")</f>
        <v>1</v>
      </c>
      <c r="AV405" s="49">
        <v>0</v>
      </c>
      <c r="AW405" s="50">
        <v>0</v>
      </c>
      <c r="AX405" s="49">
        <v>0</v>
      </c>
      <c r="AY405" s="50">
        <v>0</v>
      </c>
      <c r="AZ405" s="49">
        <v>0</v>
      </c>
      <c r="BA405" s="50">
        <v>0</v>
      </c>
      <c r="BB405" s="49">
        <v>0</v>
      </c>
      <c r="BC405" s="50">
        <v>0</v>
      </c>
      <c r="BD405" s="49">
        <v>0</v>
      </c>
      <c r="BE405" s="49"/>
      <c r="BF405" s="49"/>
      <c r="BG405" s="49"/>
      <c r="BH405" s="49"/>
      <c r="BI405" s="49"/>
      <c r="BJ405" s="49"/>
      <c r="BK405" s="111" t="s">
        <v>1927</v>
      </c>
      <c r="BL405" s="111" t="s">
        <v>1927</v>
      </c>
      <c r="BM405" s="111" t="s">
        <v>1927</v>
      </c>
      <c r="BN405" s="111" t="s">
        <v>1927</v>
      </c>
      <c r="BO405" s="2"/>
      <c r="BP405" s="3"/>
      <c r="BQ405" s="3"/>
      <c r="BR405" s="3"/>
      <c r="BS405" s="3"/>
    </row>
    <row r="406" spans="1:71" ht="15">
      <c r="A406" s="65" t="s">
        <v>740</v>
      </c>
      <c r="B406" s="66"/>
      <c r="C406" s="66"/>
      <c r="D406" s="67">
        <v>150</v>
      </c>
      <c r="E406" s="69"/>
      <c r="F406" s="103" t="str">
        <f>HYPERLINK("https://yt3.ggpht.com/ytc/AKedOLRXmc1fb5vsoYHMOlSBsR4COSvlO9EwECg5E3qa=s88-c-k-c0x00ffffff-no-rj")</f>
        <v>https://yt3.ggpht.com/ytc/AKedOLRXmc1fb5vsoYHMOlSBsR4COSvlO9EwECg5E3qa=s88-c-k-c0x00ffffff-no-rj</v>
      </c>
      <c r="G406" s="66"/>
      <c r="H406" s="70" t="s">
        <v>1807</v>
      </c>
      <c r="I406" s="71"/>
      <c r="J406" s="71" t="s">
        <v>159</v>
      </c>
      <c r="K406" s="70" t="s">
        <v>1807</v>
      </c>
      <c r="L406" s="74">
        <v>1</v>
      </c>
      <c r="M406" s="75">
        <v>5300.36865234375</v>
      </c>
      <c r="N406" s="75">
        <v>2098.392578125</v>
      </c>
      <c r="O406" s="76"/>
      <c r="P406" s="77"/>
      <c r="Q406" s="77"/>
      <c r="R406" s="89"/>
      <c r="S406" s="49">
        <v>0</v>
      </c>
      <c r="T406" s="49">
        <v>1</v>
      </c>
      <c r="U406" s="50">
        <v>0</v>
      </c>
      <c r="V406" s="50">
        <v>0.478122</v>
      </c>
      <c r="W406" s="50">
        <v>0.03471</v>
      </c>
      <c r="X406" s="50">
        <v>0.001935</v>
      </c>
      <c r="Y406" s="50">
        <v>0</v>
      </c>
      <c r="Z406" s="50">
        <v>0</v>
      </c>
      <c r="AA406" s="72">
        <v>406</v>
      </c>
      <c r="AB406" s="72"/>
      <c r="AC406" s="73"/>
      <c r="AD406" s="80" t="s">
        <v>1807</v>
      </c>
      <c r="AE406" s="80"/>
      <c r="AF406" s="80"/>
      <c r="AG406" s="80"/>
      <c r="AH406" s="80"/>
      <c r="AI406" s="80"/>
      <c r="AJ406" s="87">
        <v>39590.44887731481</v>
      </c>
      <c r="AK406" s="85" t="str">
        <f>HYPERLINK("https://yt3.ggpht.com/ytc/AKedOLRXmc1fb5vsoYHMOlSBsR4COSvlO9EwECg5E3qa=s88-c-k-c0x00ffffff-no-rj")</f>
        <v>https://yt3.ggpht.com/ytc/AKedOLRXmc1fb5vsoYHMOlSBsR4COSvlO9EwECg5E3qa=s88-c-k-c0x00ffffff-no-rj</v>
      </c>
      <c r="AL406" s="80">
        <v>130</v>
      </c>
      <c r="AM406" s="80">
        <v>0</v>
      </c>
      <c r="AN406" s="80">
        <v>2</v>
      </c>
      <c r="AO406" s="80" t="b">
        <v>0</v>
      </c>
      <c r="AP406" s="80">
        <v>6</v>
      </c>
      <c r="AQ406" s="80"/>
      <c r="AR406" s="80"/>
      <c r="AS406" s="80" t="s">
        <v>2085</v>
      </c>
      <c r="AT406" s="85" t="str">
        <f>HYPERLINK("https://www.youtube.com/channel/UCO0p5e6aM71m1xF4ObyN3wA")</f>
        <v>https://www.youtube.com/channel/UCO0p5e6aM71m1xF4ObyN3wA</v>
      </c>
      <c r="AU406" s="80" t="str">
        <f>REPLACE(INDEX(GroupVertices[Group],MATCH(Vertices[[#This Row],[Vertex]],GroupVertices[Vertex],0)),1,1,"")</f>
        <v>1</v>
      </c>
      <c r="AV406" s="49">
        <v>3</v>
      </c>
      <c r="AW406" s="50">
        <v>25</v>
      </c>
      <c r="AX406" s="49">
        <v>1</v>
      </c>
      <c r="AY406" s="50">
        <v>8.333333333333334</v>
      </c>
      <c r="AZ406" s="49">
        <v>0</v>
      </c>
      <c r="BA406" s="50">
        <v>0</v>
      </c>
      <c r="BB406" s="49">
        <v>8</v>
      </c>
      <c r="BC406" s="50">
        <v>66.66666666666667</v>
      </c>
      <c r="BD406" s="49">
        <v>12</v>
      </c>
      <c r="BE406" s="49"/>
      <c r="BF406" s="49"/>
      <c r="BG406" s="49"/>
      <c r="BH406" s="49"/>
      <c r="BI406" s="49"/>
      <c r="BJ406" s="49"/>
      <c r="BK406" s="111" t="s">
        <v>3767</v>
      </c>
      <c r="BL406" s="111" t="s">
        <v>3767</v>
      </c>
      <c r="BM406" s="111" t="s">
        <v>4214</v>
      </c>
      <c r="BN406" s="111" t="s">
        <v>4214</v>
      </c>
      <c r="BO406" s="2"/>
      <c r="BP406" s="3"/>
      <c r="BQ406" s="3"/>
      <c r="BR406" s="3"/>
      <c r="BS406" s="3"/>
    </row>
    <row r="407" spans="1:71" ht="15">
      <c r="A407" s="65" t="s">
        <v>741</v>
      </c>
      <c r="B407" s="66"/>
      <c r="C407" s="66"/>
      <c r="D407" s="67">
        <v>150</v>
      </c>
      <c r="E407" s="69"/>
      <c r="F407" s="103" t="str">
        <f>HYPERLINK("https://yt3.ggpht.com/ytc/AKedOLT2FhB7DZ_hLEeNc3RvkzcjNqLhEtjrN2MBfJhGfg=s88-c-k-c0x00ffffff-no-rj")</f>
        <v>https://yt3.ggpht.com/ytc/AKedOLT2FhB7DZ_hLEeNc3RvkzcjNqLhEtjrN2MBfJhGfg=s88-c-k-c0x00ffffff-no-rj</v>
      </c>
      <c r="G407" s="66"/>
      <c r="H407" s="70" t="s">
        <v>1808</v>
      </c>
      <c r="I407" s="71"/>
      <c r="J407" s="71" t="s">
        <v>159</v>
      </c>
      <c r="K407" s="70" t="s">
        <v>1808</v>
      </c>
      <c r="L407" s="74">
        <v>1</v>
      </c>
      <c r="M407" s="75">
        <v>5293.85498046875</v>
      </c>
      <c r="N407" s="75">
        <v>1641.6456298828125</v>
      </c>
      <c r="O407" s="76"/>
      <c r="P407" s="77"/>
      <c r="Q407" s="77"/>
      <c r="R407" s="89"/>
      <c r="S407" s="49">
        <v>0</v>
      </c>
      <c r="T407" s="49">
        <v>1</v>
      </c>
      <c r="U407" s="50">
        <v>0</v>
      </c>
      <c r="V407" s="50">
        <v>0.478122</v>
      </c>
      <c r="W407" s="50">
        <v>0.03471</v>
      </c>
      <c r="X407" s="50">
        <v>0.001935</v>
      </c>
      <c r="Y407" s="50">
        <v>0</v>
      </c>
      <c r="Z407" s="50">
        <v>0</v>
      </c>
      <c r="AA407" s="72">
        <v>407</v>
      </c>
      <c r="AB407" s="72"/>
      <c r="AC407" s="73"/>
      <c r="AD407" s="80" t="s">
        <v>1808</v>
      </c>
      <c r="AE407" s="80"/>
      <c r="AF407" s="80"/>
      <c r="AG407" s="80"/>
      <c r="AH407" s="80"/>
      <c r="AI407" s="80"/>
      <c r="AJ407" s="87">
        <v>43118.335497685184</v>
      </c>
      <c r="AK407" s="85" t="str">
        <f>HYPERLINK("https://yt3.ggpht.com/ytc/AKedOLT2FhB7DZ_hLEeNc3RvkzcjNqLhEtjrN2MBfJhGfg=s88-c-k-c0x00ffffff-no-rj")</f>
        <v>https://yt3.ggpht.com/ytc/AKedOLT2FhB7DZ_hLEeNc3RvkzcjNqLhEtjrN2MBfJhGfg=s88-c-k-c0x00ffffff-no-rj</v>
      </c>
      <c r="AL407" s="80">
        <v>69</v>
      </c>
      <c r="AM407" s="80">
        <v>0</v>
      </c>
      <c r="AN407" s="80">
        <v>10</v>
      </c>
      <c r="AO407" s="80" t="b">
        <v>0</v>
      </c>
      <c r="AP407" s="80">
        <v>2</v>
      </c>
      <c r="AQ407" s="80"/>
      <c r="AR407" s="80"/>
      <c r="AS407" s="80" t="s">
        <v>2085</v>
      </c>
      <c r="AT407" s="85" t="str">
        <f>HYPERLINK("https://www.youtube.com/channel/UCNHAVAWLKzMRnAlgvEt53kQ")</f>
        <v>https://www.youtube.com/channel/UCNHAVAWLKzMRnAlgvEt53kQ</v>
      </c>
      <c r="AU407" s="80" t="str">
        <f>REPLACE(INDEX(GroupVertices[Group],MATCH(Vertices[[#This Row],[Vertex]],GroupVertices[Vertex],0)),1,1,"")</f>
        <v>1</v>
      </c>
      <c r="AV407" s="49">
        <v>1</v>
      </c>
      <c r="AW407" s="50">
        <v>14.285714285714286</v>
      </c>
      <c r="AX407" s="49">
        <v>0</v>
      </c>
      <c r="AY407" s="50">
        <v>0</v>
      </c>
      <c r="AZ407" s="49">
        <v>0</v>
      </c>
      <c r="BA407" s="50">
        <v>0</v>
      </c>
      <c r="BB407" s="49">
        <v>6</v>
      </c>
      <c r="BC407" s="50">
        <v>85.71428571428571</v>
      </c>
      <c r="BD407" s="49">
        <v>7</v>
      </c>
      <c r="BE407" s="49"/>
      <c r="BF407" s="49"/>
      <c r="BG407" s="49"/>
      <c r="BH407" s="49"/>
      <c r="BI407" s="49"/>
      <c r="BJ407" s="49"/>
      <c r="BK407" s="111" t="s">
        <v>3504</v>
      </c>
      <c r="BL407" s="111" t="s">
        <v>3504</v>
      </c>
      <c r="BM407" s="111" t="s">
        <v>3954</v>
      </c>
      <c r="BN407" s="111" t="s">
        <v>3954</v>
      </c>
      <c r="BO407" s="2"/>
      <c r="BP407" s="3"/>
      <c r="BQ407" s="3"/>
      <c r="BR407" s="3"/>
      <c r="BS407" s="3"/>
    </row>
    <row r="408" spans="1:71" ht="15">
      <c r="A408" s="65" t="s">
        <v>742</v>
      </c>
      <c r="B408" s="66"/>
      <c r="C408" s="66"/>
      <c r="D408" s="67">
        <v>150</v>
      </c>
      <c r="E408" s="69"/>
      <c r="F408" s="103" t="str">
        <f>HYPERLINK("https://yt3.ggpht.com/ytc/AKedOLTuJuD7IHCgWCwbASdsfwOWmM6Pnk1_jlpAPQ=s88-c-k-c0x00ffffff-no-rj")</f>
        <v>https://yt3.ggpht.com/ytc/AKedOLTuJuD7IHCgWCwbASdsfwOWmM6Pnk1_jlpAPQ=s88-c-k-c0x00ffffff-no-rj</v>
      </c>
      <c r="G408" s="66"/>
      <c r="H408" s="70" t="s">
        <v>1809</v>
      </c>
      <c r="I408" s="71"/>
      <c r="J408" s="71" t="s">
        <v>159</v>
      </c>
      <c r="K408" s="70" t="s">
        <v>1809</v>
      </c>
      <c r="L408" s="74">
        <v>1</v>
      </c>
      <c r="M408" s="75">
        <v>1565.083251953125</v>
      </c>
      <c r="N408" s="75">
        <v>7301.2265625</v>
      </c>
      <c r="O408" s="76"/>
      <c r="P408" s="77"/>
      <c r="Q408" s="77"/>
      <c r="R408" s="89"/>
      <c r="S408" s="49">
        <v>0</v>
      </c>
      <c r="T408" s="49">
        <v>1</v>
      </c>
      <c r="U408" s="50">
        <v>0</v>
      </c>
      <c r="V408" s="50">
        <v>0.478122</v>
      </c>
      <c r="W408" s="50">
        <v>0.03471</v>
      </c>
      <c r="X408" s="50">
        <v>0.001935</v>
      </c>
      <c r="Y408" s="50">
        <v>0</v>
      </c>
      <c r="Z408" s="50">
        <v>0</v>
      </c>
      <c r="AA408" s="72">
        <v>408</v>
      </c>
      <c r="AB408" s="72"/>
      <c r="AC408" s="73"/>
      <c r="AD408" s="80" t="s">
        <v>1809</v>
      </c>
      <c r="AE408" s="80"/>
      <c r="AF408" s="80"/>
      <c r="AG408" s="80"/>
      <c r="AH408" s="80"/>
      <c r="AI408" s="80"/>
      <c r="AJ408" s="87">
        <v>43038.72518518518</v>
      </c>
      <c r="AK408" s="85" t="str">
        <f>HYPERLINK("https://yt3.ggpht.com/ytc/AKedOLTuJuD7IHCgWCwbASdsfwOWmM6Pnk1_jlpAPQ=s88-c-k-c0x00ffffff-no-rj")</f>
        <v>https://yt3.ggpht.com/ytc/AKedOLTuJuD7IHCgWCwbASdsfwOWmM6Pnk1_jlpAPQ=s88-c-k-c0x00ffffff-no-rj</v>
      </c>
      <c r="AL408" s="80">
        <v>0</v>
      </c>
      <c r="AM408" s="80">
        <v>0</v>
      </c>
      <c r="AN408" s="80">
        <v>0</v>
      </c>
      <c r="AO408" s="80" t="b">
        <v>0</v>
      </c>
      <c r="AP408" s="80">
        <v>0</v>
      </c>
      <c r="AQ408" s="80"/>
      <c r="AR408" s="80"/>
      <c r="AS408" s="80" t="s">
        <v>2085</v>
      </c>
      <c r="AT408" s="85" t="str">
        <f>HYPERLINK("https://www.youtube.com/channel/UCGfQTQX1BvX8-IyeCahPtBg")</f>
        <v>https://www.youtube.com/channel/UCGfQTQX1BvX8-IyeCahPtBg</v>
      </c>
      <c r="AU408" s="80" t="str">
        <f>REPLACE(INDEX(GroupVertices[Group],MATCH(Vertices[[#This Row],[Vertex]],GroupVertices[Vertex],0)),1,1,"")</f>
        <v>1</v>
      </c>
      <c r="AV408" s="49">
        <v>0</v>
      </c>
      <c r="AW408" s="50">
        <v>0</v>
      </c>
      <c r="AX408" s="49">
        <v>1</v>
      </c>
      <c r="AY408" s="50">
        <v>4.166666666666667</v>
      </c>
      <c r="AZ408" s="49">
        <v>0</v>
      </c>
      <c r="BA408" s="50">
        <v>0</v>
      </c>
      <c r="BB408" s="49">
        <v>23</v>
      </c>
      <c r="BC408" s="50">
        <v>95.83333333333333</v>
      </c>
      <c r="BD408" s="49">
        <v>24</v>
      </c>
      <c r="BE408" s="49"/>
      <c r="BF408" s="49"/>
      <c r="BG408" s="49"/>
      <c r="BH408" s="49"/>
      <c r="BI408" s="49"/>
      <c r="BJ408" s="49"/>
      <c r="BK408" s="111" t="s">
        <v>3768</v>
      </c>
      <c r="BL408" s="111" t="s">
        <v>3768</v>
      </c>
      <c r="BM408" s="111" t="s">
        <v>4215</v>
      </c>
      <c r="BN408" s="111" t="s">
        <v>4215</v>
      </c>
      <c r="BO408" s="2"/>
      <c r="BP408" s="3"/>
      <c r="BQ408" s="3"/>
      <c r="BR408" s="3"/>
      <c r="BS408" s="3"/>
    </row>
    <row r="409" spans="1:71" ht="15">
      <c r="A409" s="65" t="s">
        <v>743</v>
      </c>
      <c r="B409" s="66"/>
      <c r="C409" s="66"/>
      <c r="D409" s="67">
        <v>150</v>
      </c>
      <c r="E409" s="69"/>
      <c r="F409" s="103" t="str">
        <f>HYPERLINK("https://yt3.ggpht.com/ytc/AKedOLR9zEO-EXfeHB8DBSNgb2_-zhW3Omh5-HYMXw=s88-c-k-c0x00ffffff-no-rj")</f>
        <v>https://yt3.ggpht.com/ytc/AKedOLR9zEO-EXfeHB8DBSNgb2_-zhW3Omh5-HYMXw=s88-c-k-c0x00ffffff-no-rj</v>
      </c>
      <c r="G409" s="66"/>
      <c r="H409" s="70" t="s">
        <v>1810</v>
      </c>
      <c r="I409" s="71"/>
      <c r="J409" s="71" t="s">
        <v>159</v>
      </c>
      <c r="K409" s="70" t="s">
        <v>1810</v>
      </c>
      <c r="L409" s="74">
        <v>1</v>
      </c>
      <c r="M409" s="75">
        <v>3049.86083984375</v>
      </c>
      <c r="N409" s="75">
        <v>9748.6357421875</v>
      </c>
      <c r="O409" s="76"/>
      <c r="P409" s="77"/>
      <c r="Q409" s="77"/>
      <c r="R409" s="89"/>
      <c r="S409" s="49">
        <v>0</v>
      </c>
      <c r="T409" s="49">
        <v>1</v>
      </c>
      <c r="U409" s="50">
        <v>0</v>
      </c>
      <c r="V409" s="50">
        <v>0.478122</v>
      </c>
      <c r="W409" s="50">
        <v>0.03471</v>
      </c>
      <c r="X409" s="50">
        <v>0.001935</v>
      </c>
      <c r="Y409" s="50">
        <v>0</v>
      </c>
      <c r="Z409" s="50">
        <v>0</v>
      </c>
      <c r="AA409" s="72">
        <v>409</v>
      </c>
      <c r="AB409" s="72"/>
      <c r="AC409" s="73"/>
      <c r="AD409" s="80" t="s">
        <v>1810</v>
      </c>
      <c r="AE409" s="80"/>
      <c r="AF409" s="80"/>
      <c r="AG409" s="80"/>
      <c r="AH409" s="80"/>
      <c r="AI409" s="80"/>
      <c r="AJ409" s="87">
        <v>40890.5343287037</v>
      </c>
      <c r="AK409" s="85" t="str">
        <f>HYPERLINK("https://yt3.ggpht.com/ytc/AKedOLR9zEO-EXfeHB8DBSNgb2_-zhW3Omh5-HYMXw=s88-c-k-c0x00ffffff-no-rj")</f>
        <v>https://yt3.ggpht.com/ytc/AKedOLR9zEO-EXfeHB8DBSNgb2_-zhW3Omh5-HYMXw=s88-c-k-c0x00ffffff-no-rj</v>
      </c>
      <c r="AL409" s="80">
        <v>9716</v>
      </c>
      <c r="AM409" s="80">
        <v>0</v>
      </c>
      <c r="AN409" s="80">
        <v>10</v>
      </c>
      <c r="AO409" s="80" t="b">
        <v>0</v>
      </c>
      <c r="AP409" s="80">
        <v>25</v>
      </c>
      <c r="AQ409" s="80"/>
      <c r="AR409" s="80"/>
      <c r="AS409" s="80" t="s">
        <v>2085</v>
      </c>
      <c r="AT409" s="85" t="str">
        <f>HYPERLINK("https://www.youtube.com/channel/UCN36iUXww9jexWYqBgaHoUg")</f>
        <v>https://www.youtube.com/channel/UCN36iUXww9jexWYqBgaHoUg</v>
      </c>
      <c r="AU409" s="80" t="str">
        <f>REPLACE(INDEX(GroupVertices[Group],MATCH(Vertices[[#This Row],[Vertex]],GroupVertices[Vertex],0)),1,1,"")</f>
        <v>1</v>
      </c>
      <c r="AV409" s="49">
        <v>1</v>
      </c>
      <c r="AW409" s="50">
        <v>5.555555555555555</v>
      </c>
      <c r="AX409" s="49">
        <v>1</v>
      </c>
      <c r="AY409" s="50">
        <v>5.555555555555555</v>
      </c>
      <c r="AZ409" s="49">
        <v>0</v>
      </c>
      <c r="BA409" s="50">
        <v>0</v>
      </c>
      <c r="BB409" s="49">
        <v>16</v>
      </c>
      <c r="BC409" s="50">
        <v>88.88888888888889</v>
      </c>
      <c r="BD409" s="49">
        <v>18</v>
      </c>
      <c r="BE409" s="49"/>
      <c r="BF409" s="49"/>
      <c r="BG409" s="49"/>
      <c r="BH409" s="49"/>
      <c r="BI409" s="49"/>
      <c r="BJ409" s="49"/>
      <c r="BK409" s="111" t="s">
        <v>3769</v>
      </c>
      <c r="BL409" s="111" t="s">
        <v>3769</v>
      </c>
      <c r="BM409" s="111" t="s">
        <v>4216</v>
      </c>
      <c r="BN409" s="111" t="s">
        <v>4216</v>
      </c>
      <c r="BO409" s="2"/>
      <c r="BP409" s="3"/>
      <c r="BQ409" s="3"/>
      <c r="BR409" s="3"/>
      <c r="BS409" s="3"/>
    </row>
    <row r="410" spans="1:71" ht="15">
      <c r="A410" s="65" t="s">
        <v>744</v>
      </c>
      <c r="B410" s="66"/>
      <c r="C410" s="66"/>
      <c r="D410" s="67">
        <v>150</v>
      </c>
      <c r="E410" s="69"/>
      <c r="F410" s="103" t="str">
        <f>HYPERLINK("https://yt3.ggpht.com/ytc/AKedOLTNsiOnCD4IblSg9amcQ34jL-QpY3UjxRaD5aJ2tA=s88-c-k-c0x00ffffff-no-rj")</f>
        <v>https://yt3.ggpht.com/ytc/AKedOLTNsiOnCD4IblSg9amcQ34jL-QpY3UjxRaD5aJ2tA=s88-c-k-c0x00ffffff-no-rj</v>
      </c>
      <c r="G410" s="66"/>
      <c r="H410" s="70" t="s">
        <v>1811</v>
      </c>
      <c r="I410" s="71"/>
      <c r="J410" s="71" t="s">
        <v>159</v>
      </c>
      <c r="K410" s="70" t="s">
        <v>1811</v>
      </c>
      <c r="L410" s="74">
        <v>1</v>
      </c>
      <c r="M410" s="75">
        <v>6130.04931640625</v>
      </c>
      <c r="N410" s="75">
        <v>4039.158203125</v>
      </c>
      <c r="O410" s="76"/>
      <c r="P410" s="77"/>
      <c r="Q410" s="77"/>
      <c r="R410" s="89"/>
      <c r="S410" s="49">
        <v>0</v>
      </c>
      <c r="T410" s="49">
        <v>1</v>
      </c>
      <c r="U410" s="50">
        <v>0</v>
      </c>
      <c r="V410" s="50">
        <v>0.478122</v>
      </c>
      <c r="W410" s="50">
        <v>0.03471</v>
      </c>
      <c r="X410" s="50">
        <v>0.001935</v>
      </c>
      <c r="Y410" s="50">
        <v>0</v>
      </c>
      <c r="Z410" s="50">
        <v>0</v>
      </c>
      <c r="AA410" s="72">
        <v>410</v>
      </c>
      <c r="AB410" s="72"/>
      <c r="AC410" s="73"/>
      <c r="AD410" s="80" t="s">
        <v>1811</v>
      </c>
      <c r="AE410" s="80"/>
      <c r="AF410" s="80"/>
      <c r="AG410" s="80"/>
      <c r="AH410" s="80"/>
      <c r="AI410" s="80"/>
      <c r="AJ410" s="87">
        <v>41172.280185185184</v>
      </c>
      <c r="AK410" s="85" t="str">
        <f>HYPERLINK("https://yt3.ggpht.com/ytc/AKedOLTNsiOnCD4IblSg9amcQ34jL-QpY3UjxRaD5aJ2tA=s88-c-k-c0x00ffffff-no-rj")</f>
        <v>https://yt3.ggpht.com/ytc/AKedOLTNsiOnCD4IblSg9amcQ34jL-QpY3UjxRaD5aJ2tA=s88-c-k-c0x00ffffff-no-rj</v>
      </c>
      <c r="AL410" s="80">
        <v>210</v>
      </c>
      <c r="AM410" s="80">
        <v>0</v>
      </c>
      <c r="AN410" s="80">
        <v>1</v>
      </c>
      <c r="AO410" s="80" t="b">
        <v>0</v>
      </c>
      <c r="AP410" s="80">
        <v>7</v>
      </c>
      <c r="AQ410" s="80"/>
      <c r="AR410" s="80"/>
      <c r="AS410" s="80" t="s">
        <v>2085</v>
      </c>
      <c r="AT410" s="85" t="str">
        <f>HYPERLINK("https://www.youtube.com/channel/UCeCxGyTDldOY5LhiL42uT8A")</f>
        <v>https://www.youtube.com/channel/UCeCxGyTDldOY5LhiL42uT8A</v>
      </c>
      <c r="AU410" s="80" t="str">
        <f>REPLACE(INDEX(GroupVertices[Group],MATCH(Vertices[[#This Row],[Vertex]],GroupVertices[Vertex],0)),1,1,"")</f>
        <v>1</v>
      </c>
      <c r="AV410" s="49">
        <v>0</v>
      </c>
      <c r="AW410" s="50">
        <v>0</v>
      </c>
      <c r="AX410" s="49">
        <v>4</v>
      </c>
      <c r="AY410" s="50">
        <v>20</v>
      </c>
      <c r="AZ410" s="49">
        <v>0</v>
      </c>
      <c r="BA410" s="50">
        <v>0</v>
      </c>
      <c r="BB410" s="49">
        <v>16</v>
      </c>
      <c r="BC410" s="50">
        <v>80</v>
      </c>
      <c r="BD410" s="49">
        <v>20</v>
      </c>
      <c r="BE410" s="49"/>
      <c r="BF410" s="49"/>
      <c r="BG410" s="49"/>
      <c r="BH410" s="49"/>
      <c r="BI410" s="49"/>
      <c r="BJ410" s="49"/>
      <c r="BK410" s="111" t="s">
        <v>3770</v>
      </c>
      <c r="BL410" s="111" t="s">
        <v>3770</v>
      </c>
      <c r="BM410" s="111" t="s">
        <v>4217</v>
      </c>
      <c r="BN410" s="111" t="s">
        <v>4217</v>
      </c>
      <c r="BO410" s="2"/>
      <c r="BP410" s="3"/>
      <c r="BQ410" s="3"/>
      <c r="BR410" s="3"/>
      <c r="BS410" s="3"/>
    </row>
    <row r="411" spans="1:71" ht="15">
      <c r="A411" s="65" t="s">
        <v>745</v>
      </c>
      <c r="B411" s="66"/>
      <c r="C411" s="66"/>
      <c r="D411" s="67">
        <v>150</v>
      </c>
      <c r="E411" s="69"/>
      <c r="F411" s="103" t="str">
        <f>HYPERLINK("https://yt3.ggpht.com/ytc/AKedOLSfCDxc83x6wFe-N3ST-1bbg94XBqgAWZYL3A=s88-c-k-c0x00ffffff-no-rj")</f>
        <v>https://yt3.ggpht.com/ytc/AKedOLSfCDxc83x6wFe-N3ST-1bbg94XBqgAWZYL3A=s88-c-k-c0x00ffffff-no-rj</v>
      </c>
      <c r="G411" s="66"/>
      <c r="H411" s="70" t="s">
        <v>1812</v>
      </c>
      <c r="I411" s="71"/>
      <c r="J411" s="71" t="s">
        <v>159</v>
      </c>
      <c r="K411" s="70" t="s">
        <v>1812</v>
      </c>
      <c r="L411" s="74">
        <v>1</v>
      </c>
      <c r="M411" s="75">
        <v>2453.137939453125</v>
      </c>
      <c r="N411" s="75">
        <v>781.2643432617188</v>
      </c>
      <c r="O411" s="76"/>
      <c r="P411" s="77"/>
      <c r="Q411" s="77"/>
      <c r="R411" s="89"/>
      <c r="S411" s="49">
        <v>0</v>
      </c>
      <c r="T411" s="49">
        <v>1</v>
      </c>
      <c r="U411" s="50">
        <v>0</v>
      </c>
      <c r="V411" s="50">
        <v>0.478122</v>
      </c>
      <c r="W411" s="50">
        <v>0.03471</v>
      </c>
      <c r="X411" s="50">
        <v>0.001935</v>
      </c>
      <c r="Y411" s="50">
        <v>0</v>
      </c>
      <c r="Z411" s="50">
        <v>0</v>
      </c>
      <c r="AA411" s="72">
        <v>411</v>
      </c>
      <c r="AB411" s="72"/>
      <c r="AC411" s="73"/>
      <c r="AD411" s="80" t="s">
        <v>1812</v>
      </c>
      <c r="AE411" s="80"/>
      <c r="AF411" s="80"/>
      <c r="AG411" s="80"/>
      <c r="AH411" s="80"/>
      <c r="AI411" s="80"/>
      <c r="AJ411" s="87">
        <v>42109.71587962963</v>
      </c>
      <c r="AK411" s="85" t="str">
        <f>HYPERLINK("https://yt3.ggpht.com/ytc/AKedOLSfCDxc83x6wFe-N3ST-1bbg94XBqgAWZYL3A=s88-c-k-c0x00ffffff-no-rj")</f>
        <v>https://yt3.ggpht.com/ytc/AKedOLSfCDxc83x6wFe-N3ST-1bbg94XBqgAWZYL3A=s88-c-k-c0x00ffffff-no-rj</v>
      </c>
      <c r="AL411" s="80">
        <v>0</v>
      </c>
      <c r="AM411" s="80">
        <v>0</v>
      </c>
      <c r="AN411" s="80">
        <v>1</v>
      </c>
      <c r="AO411" s="80" t="b">
        <v>0</v>
      </c>
      <c r="AP411" s="80">
        <v>0</v>
      </c>
      <c r="AQ411" s="80"/>
      <c r="AR411" s="80"/>
      <c r="AS411" s="80" t="s">
        <v>2085</v>
      </c>
      <c r="AT411" s="85" t="str">
        <f>HYPERLINK("https://www.youtube.com/channel/UCdPSS_W6YNaDo19-3iVE7Og")</f>
        <v>https://www.youtube.com/channel/UCdPSS_W6YNaDo19-3iVE7Og</v>
      </c>
      <c r="AU411" s="80" t="str">
        <f>REPLACE(INDEX(GroupVertices[Group],MATCH(Vertices[[#This Row],[Vertex]],GroupVertices[Vertex],0)),1,1,"")</f>
        <v>1</v>
      </c>
      <c r="AV411" s="49">
        <v>0</v>
      </c>
      <c r="AW411" s="50">
        <v>0</v>
      </c>
      <c r="AX411" s="49">
        <v>5</v>
      </c>
      <c r="AY411" s="50">
        <v>5.05050505050505</v>
      </c>
      <c r="AZ411" s="49">
        <v>0</v>
      </c>
      <c r="BA411" s="50">
        <v>0</v>
      </c>
      <c r="BB411" s="49">
        <v>94</v>
      </c>
      <c r="BC411" s="50">
        <v>94.94949494949495</v>
      </c>
      <c r="BD411" s="49">
        <v>99</v>
      </c>
      <c r="BE411" s="49"/>
      <c r="BF411" s="49"/>
      <c r="BG411" s="49"/>
      <c r="BH411" s="49"/>
      <c r="BI411" s="49"/>
      <c r="BJ411" s="49"/>
      <c r="BK411" s="111" t="s">
        <v>3771</v>
      </c>
      <c r="BL411" s="111" t="s">
        <v>3771</v>
      </c>
      <c r="BM411" s="111" t="s">
        <v>4218</v>
      </c>
      <c r="BN411" s="111" t="s">
        <v>4218</v>
      </c>
      <c r="BO411" s="2"/>
      <c r="BP411" s="3"/>
      <c r="BQ411" s="3"/>
      <c r="BR411" s="3"/>
      <c r="BS411" s="3"/>
    </row>
    <row r="412" spans="1:71" ht="15">
      <c r="A412" s="65" t="s">
        <v>746</v>
      </c>
      <c r="B412" s="66"/>
      <c r="C412" s="66"/>
      <c r="D412" s="67">
        <v>150</v>
      </c>
      <c r="E412" s="69"/>
      <c r="F412" s="103" t="str">
        <f>HYPERLINK("https://yt3.ggpht.com/6w1gZuflJzB432lkvWzZ6-U4VFB3ZUCKUGswNLl-1o9ijcIAWJmJT-Vs3NjDNeD5hkuLjbFS=s88-c-k-c0x00ffffff-no-rj")</f>
        <v>https://yt3.ggpht.com/6w1gZuflJzB432lkvWzZ6-U4VFB3ZUCKUGswNLl-1o9ijcIAWJmJT-Vs3NjDNeD5hkuLjbFS=s88-c-k-c0x00ffffff-no-rj</v>
      </c>
      <c r="G412" s="66"/>
      <c r="H412" s="70" t="s">
        <v>1813</v>
      </c>
      <c r="I412" s="71"/>
      <c r="J412" s="71" t="s">
        <v>159</v>
      </c>
      <c r="K412" s="70" t="s">
        <v>1813</v>
      </c>
      <c r="L412" s="74">
        <v>1</v>
      </c>
      <c r="M412" s="75">
        <v>7921.583984375</v>
      </c>
      <c r="N412" s="75">
        <v>6167.501953125</v>
      </c>
      <c r="O412" s="76"/>
      <c r="P412" s="77"/>
      <c r="Q412" s="77"/>
      <c r="R412" s="89"/>
      <c r="S412" s="49">
        <v>0</v>
      </c>
      <c r="T412" s="49">
        <v>1</v>
      </c>
      <c r="U412" s="50">
        <v>0</v>
      </c>
      <c r="V412" s="50">
        <v>0.478122</v>
      </c>
      <c r="W412" s="50">
        <v>0.03471</v>
      </c>
      <c r="X412" s="50">
        <v>0.001935</v>
      </c>
      <c r="Y412" s="50">
        <v>0</v>
      </c>
      <c r="Z412" s="50">
        <v>0</v>
      </c>
      <c r="AA412" s="72">
        <v>412</v>
      </c>
      <c r="AB412" s="72"/>
      <c r="AC412" s="73"/>
      <c r="AD412" s="80" t="s">
        <v>1813</v>
      </c>
      <c r="AE412" s="80"/>
      <c r="AF412" s="80"/>
      <c r="AG412" s="80"/>
      <c r="AH412" s="80"/>
      <c r="AI412" s="80"/>
      <c r="AJ412" s="87">
        <v>44190.95328703704</v>
      </c>
      <c r="AK412" s="85" t="str">
        <f>HYPERLINK("https://yt3.ggpht.com/6w1gZuflJzB432lkvWzZ6-U4VFB3ZUCKUGswNLl-1o9ijcIAWJmJT-Vs3NjDNeD5hkuLjbFS=s88-c-k-c0x00ffffff-no-rj")</f>
        <v>https://yt3.ggpht.com/6w1gZuflJzB432lkvWzZ6-U4VFB3ZUCKUGswNLl-1o9ijcIAWJmJT-Vs3NjDNeD5hkuLjbFS=s88-c-k-c0x00ffffff-no-rj</v>
      </c>
      <c r="AL412" s="80">
        <v>387</v>
      </c>
      <c r="AM412" s="80">
        <v>0</v>
      </c>
      <c r="AN412" s="80">
        <v>16</v>
      </c>
      <c r="AO412" s="80" t="b">
        <v>0</v>
      </c>
      <c r="AP412" s="80">
        <v>9</v>
      </c>
      <c r="AQ412" s="80"/>
      <c r="AR412" s="80"/>
      <c r="AS412" s="80" t="s">
        <v>2085</v>
      </c>
      <c r="AT412" s="85" t="str">
        <f>HYPERLINK("https://www.youtube.com/channel/UCuA3G-mWkyY3NsZ7bgy4Xyw")</f>
        <v>https://www.youtube.com/channel/UCuA3G-mWkyY3NsZ7bgy4Xyw</v>
      </c>
      <c r="AU412" s="80" t="str">
        <f>REPLACE(INDEX(GroupVertices[Group],MATCH(Vertices[[#This Row],[Vertex]],GroupVertices[Vertex],0)),1,1,"")</f>
        <v>1</v>
      </c>
      <c r="AV412" s="49">
        <v>0</v>
      </c>
      <c r="AW412" s="50">
        <v>0</v>
      </c>
      <c r="AX412" s="49">
        <v>0</v>
      </c>
      <c r="AY412" s="50">
        <v>0</v>
      </c>
      <c r="AZ412" s="49">
        <v>0</v>
      </c>
      <c r="BA412" s="50">
        <v>0</v>
      </c>
      <c r="BB412" s="49">
        <v>2</v>
      </c>
      <c r="BC412" s="50">
        <v>100</v>
      </c>
      <c r="BD412" s="49">
        <v>2</v>
      </c>
      <c r="BE412" s="49"/>
      <c r="BF412" s="49"/>
      <c r="BG412" s="49"/>
      <c r="BH412" s="49"/>
      <c r="BI412" s="49"/>
      <c r="BJ412" s="49"/>
      <c r="BK412" s="111" t="s">
        <v>3772</v>
      </c>
      <c r="BL412" s="111" t="s">
        <v>3772</v>
      </c>
      <c r="BM412" s="111" t="s">
        <v>4219</v>
      </c>
      <c r="BN412" s="111" t="s">
        <v>4219</v>
      </c>
      <c r="BO412" s="2"/>
      <c r="BP412" s="3"/>
      <c r="BQ412" s="3"/>
      <c r="BR412" s="3"/>
      <c r="BS412" s="3"/>
    </row>
    <row r="413" spans="1:71" ht="15">
      <c r="A413" s="65" t="s">
        <v>747</v>
      </c>
      <c r="B413" s="66"/>
      <c r="C413" s="66"/>
      <c r="D413" s="67">
        <v>150</v>
      </c>
      <c r="E413" s="69"/>
      <c r="F413" s="103" t="str">
        <f>HYPERLINK("https://yt3.ggpht.com/ytc/AKedOLQDkQORBjI2Tx0ZZUhy-s9hkMbY7T1QaBYry2r5KKY=s88-c-k-c0x00ffffff-no-rj")</f>
        <v>https://yt3.ggpht.com/ytc/AKedOLQDkQORBjI2Tx0ZZUhy-s9hkMbY7T1QaBYry2r5KKY=s88-c-k-c0x00ffffff-no-rj</v>
      </c>
      <c r="G413" s="66"/>
      <c r="H413" s="70" t="s">
        <v>1814</v>
      </c>
      <c r="I413" s="71"/>
      <c r="J413" s="71" t="s">
        <v>159</v>
      </c>
      <c r="K413" s="70" t="s">
        <v>1814</v>
      </c>
      <c r="L413" s="74">
        <v>1</v>
      </c>
      <c r="M413" s="75">
        <v>1813.588134765625</v>
      </c>
      <c r="N413" s="75">
        <v>7587.90283203125</v>
      </c>
      <c r="O413" s="76"/>
      <c r="P413" s="77"/>
      <c r="Q413" s="77"/>
      <c r="R413" s="89"/>
      <c r="S413" s="49">
        <v>0</v>
      </c>
      <c r="T413" s="49">
        <v>1</v>
      </c>
      <c r="U413" s="50">
        <v>0</v>
      </c>
      <c r="V413" s="50">
        <v>0.478122</v>
      </c>
      <c r="W413" s="50">
        <v>0.03471</v>
      </c>
      <c r="X413" s="50">
        <v>0.001935</v>
      </c>
      <c r="Y413" s="50">
        <v>0</v>
      </c>
      <c r="Z413" s="50">
        <v>0</v>
      </c>
      <c r="AA413" s="72">
        <v>413</v>
      </c>
      <c r="AB413" s="72"/>
      <c r="AC413" s="73"/>
      <c r="AD413" s="80" t="s">
        <v>1814</v>
      </c>
      <c r="AE413" s="80"/>
      <c r="AF413" s="80"/>
      <c r="AG413" s="80"/>
      <c r="AH413" s="80"/>
      <c r="AI413" s="80"/>
      <c r="AJ413" s="87">
        <v>41345.27908564815</v>
      </c>
      <c r="AK413" s="85" t="str">
        <f>HYPERLINK("https://yt3.ggpht.com/ytc/AKedOLQDkQORBjI2Tx0ZZUhy-s9hkMbY7T1QaBYry2r5KKY=s88-c-k-c0x00ffffff-no-rj")</f>
        <v>https://yt3.ggpht.com/ytc/AKedOLQDkQORBjI2Tx0ZZUhy-s9hkMbY7T1QaBYry2r5KKY=s88-c-k-c0x00ffffff-no-rj</v>
      </c>
      <c r="AL413" s="80">
        <v>0</v>
      </c>
      <c r="AM413" s="80">
        <v>0</v>
      </c>
      <c r="AN413" s="80">
        <v>8</v>
      </c>
      <c r="AO413" s="80" t="b">
        <v>0</v>
      </c>
      <c r="AP413" s="80">
        <v>0</v>
      </c>
      <c r="AQ413" s="80"/>
      <c r="AR413" s="80"/>
      <c r="AS413" s="80" t="s">
        <v>2085</v>
      </c>
      <c r="AT413" s="85" t="str">
        <f>HYPERLINK("https://www.youtube.com/channel/UC7X7qkzqQNmra-HB0KrMQXA")</f>
        <v>https://www.youtube.com/channel/UC7X7qkzqQNmra-HB0KrMQXA</v>
      </c>
      <c r="AU413" s="80" t="str">
        <f>REPLACE(INDEX(GroupVertices[Group],MATCH(Vertices[[#This Row],[Vertex]],GroupVertices[Vertex],0)),1,1,"")</f>
        <v>1</v>
      </c>
      <c r="AV413" s="49">
        <v>2</v>
      </c>
      <c r="AW413" s="50">
        <v>5.882352941176471</v>
      </c>
      <c r="AX413" s="49">
        <v>2</v>
      </c>
      <c r="AY413" s="50">
        <v>5.882352941176471</v>
      </c>
      <c r="AZ413" s="49">
        <v>0</v>
      </c>
      <c r="BA413" s="50">
        <v>0</v>
      </c>
      <c r="BB413" s="49">
        <v>30</v>
      </c>
      <c r="BC413" s="50">
        <v>88.23529411764706</v>
      </c>
      <c r="BD413" s="49">
        <v>34</v>
      </c>
      <c r="BE413" s="49"/>
      <c r="BF413" s="49"/>
      <c r="BG413" s="49"/>
      <c r="BH413" s="49"/>
      <c r="BI413" s="49"/>
      <c r="BJ413" s="49"/>
      <c r="BK413" s="111" t="s">
        <v>3773</v>
      </c>
      <c r="BL413" s="111" t="s">
        <v>3773</v>
      </c>
      <c r="BM413" s="111" t="s">
        <v>4220</v>
      </c>
      <c r="BN413" s="111" t="s">
        <v>4220</v>
      </c>
      <c r="BO413" s="2"/>
      <c r="BP413" s="3"/>
      <c r="BQ413" s="3"/>
      <c r="BR413" s="3"/>
      <c r="BS413" s="3"/>
    </row>
    <row r="414" spans="1:71" ht="15">
      <c r="A414" s="65" t="s">
        <v>748</v>
      </c>
      <c r="B414" s="66"/>
      <c r="C414" s="66"/>
      <c r="D414" s="67">
        <v>150</v>
      </c>
      <c r="E414" s="69"/>
      <c r="F414" s="103" t="str">
        <f>HYPERLINK("https://yt3.ggpht.com/ytc/AKedOLQmf3bLLsBExLyU29_rIlL0WL1Q0U29PH2zDm5ZIQ=s88-c-k-c0x00ffffff-no-rj")</f>
        <v>https://yt3.ggpht.com/ytc/AKedOLQmf3bLLsBExLyU29_rIlL0WL1Q0U29PH2zDm5ZIQ=s88-c-k-c0x00ffffff-no-rj</v>
      </c>
      <c r="G414" s="66"/>
      <c r="H414" s="70" t="s">
        <v>1815</v>
      </c>
      <c r="I414" s="71"/>
      <c r="J414" s="71" t="s">
        <v>159</v>
      </c>
      <c r="K414" s="70" t="s">
        <v>1815</v>
      </c>
      <c r="L414" s="74">
        <v>1</v>
      </c>
      <c r="M414" s="75">
        <v>879.3275756835938</v>
      </c>
      <c r="N414" s="75">
        <v>4279.8017578125</v>
      </c>
      <c r="O414" s="76"/>
      <c r="P414" s="77"/>
      <c r="Q414" s="77"/>
      <c r="R414" s="89"/>
      <c r="S414" s="49">
        <v>0</v>
      </c>
      <c r="T414" s="49">
        <v>1</v>
      </c>
      <c r="U414" s="50">
        <v>0</v>
      </c>
      <c r="V414" s="50">
        <v>0.478122</v>
      </c>
      <c r="W414" s="50">
        <v>0.03471</v>
      </c>
      <c r="X414" s="50">
        <v>0.001935</v>
      </c>
      <c r="Y414" s="50">
        <v>0</v>
      </c>
      <c r="Z414" s="50">
        <v>0</v>
      </c>
      <c r="AA414" s="72">
        <v>414</v>
      </c>
      <c r="AB414" s="72"/>
      <c r="AC414" s="73"/>
      <c r="AD414" s="80" t="s">
        <v>1815</v>
      </c>
      <c r="AE414" s="80"/>
      <c r="AF414" s="80"/>
      <c r="AG414" s="80"/>
      <c r="AH414" s="80"/>
      <c r="AI414" s="80"/>
      <c r="AJ414" s="87">
        <v>41708.90170138889</v>
      </c>
      <c r="AK414" s="85" t="str">
        <f>HYPERLINK("https://yt3.ggpht.com/ytc/AKedOLQmf3bLLsBExLyU29_rIlL0WL1Q0U29PH2zDm5ZIQ=s88-c-k-c0x00ffffff-no-rj")</f>
        <v>https://yt3.ggpht.com/ytc/AKedOLQmf3bLLsBExLyU29_rIlL0WL1Q0U29PH2zDm5ZIQ=s88-c-k-c0x00ffffff-no-rj</v>
      </c>
      <c r="AL414" s="80">
        <v>0</v>
      </c>
      <c r="AM414" s="80">
        <v>0</v>
      </c>
      <c r="AN414" s="80">
        <v>0</v>
      </c>
      <c r="AO414" s="80" t="b">
        <v>0</v>
      </c>
      <c r="AP414" s="80">
        <v>0</v>
      </c>
      <c r="AQ414" s="80"/>
      <c r="AR414" s="80"/>
      <c r="AS414" s="80" t="s">
        <v>2085</v>
      </c>
      <c r="AT414" s="85" t="str">
        <f>HYPERLINK("https://www.youtube.com/channel/UCwPCR2Yp2n12JPO8lNKPX2w")</f>
        <v>https://www.youtube.com/channel/UCwPCR2Yp2n12JPO8lNKPX2w</v>
      </c>
      <c r="AU414" s="80" t="str">
        <f>REPLACE(INDEX(GroupVertices[Group],MATCH(Vertices[[#This Row],[Vertex]],GroupVertices[Vertex],0)),1,1,"")</f>
        <v>1</v>
      </c>
      <c r="AV414" s="49">
        <v>5</v>
      </c>
      <c r="AW414" s="50">
        <v>13.513513513513514</v>
      </c>
      <c r="AX414" s="49">
        <v>0</v>
      </c>
      <c r="AY414" s="50">
        <v>0</v>
      </c>
      <c r="AZ414" s="49">
        <v>0</v>
      </c>
      <c r="BA414" s="50">
        <v>0</v>
      </c>
      <c r="BB414" s="49">
        <v>32</v>
      </c>
      <c r="BC414" s="50">
        <v>86.48648648648648</v>
      </c>
      <c r="BD414" s="49">
        <v>37</v>
      </c>
      <c r="BE414" s="49"/>
      <c r="BF414" s="49"/>
      <c r="BG414" s="49"/>
      <c r="BH414" s="49"/>
      <c r="BI414" s="49"/>
      <c r="BJ414" s="49"/>
      <c r="BK414" s="111" t="s">
        <v>3774</v>
      </c>
      <c r="BL414" s="111" t="s">
        <v>3774</v>
      </c>
      <c r="BM414" s="111" t="s">
        <v>4221</v>
      </c>
      <c r="BN414" s="111" t="s">
        <v>4221</v>
      </c>
      <c r="BO414" s="2"/>
      <c r="BP414" s="3"/>
      <c r="BQ414" s="3"/>
      <c r="BR414" s="3"/>
      <c r="BS414" s="3"/>
    </row>
    <row r="415" spans="1:71" ht="15">
      <c r="A415" s="65" t="s">
        <v>749</v>
      </c>
      <c r="B415" s="66"/>
      <c r="C415" s="66"/>
      <c r="D415" s="67">
        <v>150</v>
      </c>
      <c r="E415" s="69"/>
      <c r="F415" s="103" t="str">
        <f>HYPERLINK("https://yt3.ggpht.com/ytc/AKedOLS0QV63uHXWqrPNw2YqsD0kyaNNr0tPQM-VEg=s88-c-k-c0x00ffffff-no-rj")</f>
        <v>https://yt3.ggpht.com/ytc/AKedOLS0QV63uHXWqrPNw2YqsD0kyaNNr0tPQM-VEg=s88-c-k-c0x00ffffff-no-rj</v>
      </c>
      <c r="G415" s="66"/>
      <c r="H415" s="70" t="s">
        <v>1816</v>
      </c>
      <c r="I415" s="71"/>
      <c r="J415" s="71" t="s">
        <v>159</v>
      </c>
      <c r="K415" s="70" t="s">
        <v>1816</v>
      </c>
      <c r="L415" s="74">
        <v>1</v>
      </c>
      <c r="M415" s="75">
        <v>2138.53466796875</v>
      </c>
      <c r="N415" s="75">
        <v>8669.2568359375</v>
      </c>
      <c r="O415" s="76"/>
      <c r="P415" s="77"/>
      <c r="Q415" s="77"/>
      <c r="R415" s="89"/>
      <c r="S415" s="49">
        <v>0</v>
      </c>
      <c r="T415" s="49">
        <v>1</v>
      </c>
      <c r="U415" s="50">
        <v>0</v>
      </c>
      <c r="V415" s="50">
        <v>0.478122</v>
      </c>
      <c r="W415" s="50">
        <v>0.03471</v>
      </c>
      <c r="X415" s="50">
        <v>0.001935</v>
      </c>
      <c r="Y415" s="50">
        <v>0</v>
      </c>
      <c r="Z415" s="50">
        <v>0</v>
      </c>
      <c r="AA415" s="72">
        <v>415</v>
      </c>
      <c r="AB415" s="72"/>
      <c r="AC415" s="73"/>
      <c r="AD415" s="80" t="s">
        <v>1816</v>
      </c>
      <c r="AE415" s="80"/>
      <c r="AF415" s="80"/>
      <c r="AG415" s="80"/>
      <c r="AH415" s="80"/>
      <c r="AI415" s="80"/>
      <c r="AJ415" s="87">
        <v>40159.227997685186</v>
      </c>
      <c r="AK415" s="85" t="str">
        <f>HYPERLINK("https://yt3.ggpht.com/ytc/AKedOLS0QV63uHXWqrPNw2YqsD0kyaNNr0tPQM-VEg=s88-c-k-c0x00ffffff-no-rj")</f>
        <v>https://yt3.ggpht.com/ytc/AKedOLS0QV63uHXWqrPNw2YqsD0kyaNNr0tPQM-VEg=s88-c-k-c0x00ffffff-no-rj</v>
      </c>
      <c r="AL415" s="80">
        <v>2610</v>
      </c>
      <c r="AM415" s="80">
        <v>0</v>
      </c>
      <c r="AN415" s="80">
        <v>1</v>
      </c>
      <c r="AO415" s="80" t="b">
        <v>0</v>
      </c>
      <c r="AP415" s="80">
        <v>2</v>
      </c>
      <c r="AQ415" s="80"/>
      <c r="AR415" s="80"/>
      <c r="AS415" s="80" t="s">
        <v>2085</v>
      </c>
      <c r="AT415" s="85" t="str">
        <f>HYPERLINK("https://www.youtube.com/channel/UCPpFfdMH_Os5UBrLJPfL50w")</f>
        <v>https://www.youtube.com/channel/UCPpFfdMH_Os5UBrLJPfL50w</v>
      </c>
      <c r="AU415" s="80" t="str">
        <f>REPLACE(INDEX(GroupVertices[Group],MATCH(Vertices[[#This Row],[Vertex]],GroupVertices[Vertex],0)),1,1,"")</f>
        <v>1</v>
      </c>
      <c r="AV415" s="49">
        <v>2</v>
      </c>
      <c r="AW415" s="50">
        <v>5.2631578947368425</v>
      </c>
      <c r="AX415" s="49">
        <v>3</v>
      </c>
      <c r="AY415" s="50">
        <v>7.894736842105263</v>
      </c>
      <c r="AZ415" s="49">
        <v>0</v>
      </c>
      <c r="BA415" s="50">
        <v>0</v>
      </c>
      <c r="BB415" s="49">
        <v>33</v>
      </c>
      <c r="BC415" s="50">
        <v>86.84210526315789</v>
      </c>
      <c r="BD415" s="49">
        <v>38</v>
      </c>
      <c r="BE415" s="49"/>
      <c r="BF415" s="49"/>
      <c r="BG415" s="49"/>
      <c r="BH415" s="49"/>
      <c r="BI415" s="49"/>
      <c r="BJ415" s="49"/>
      <c r="BK415" s="111" t="s">
        <v>3775</v>
      </c>
      <c r="BL415" s="111" t="s">
        <v>3775</v>
      </c>
      <c r="BM415" s="111" t="s">
        <v>4222</v>
      </c>
      <c r="BN415" s="111" t="s">
        <v>4222</v>
      </c>
      <c r="BO415" s="2"/>
      <c r="BP415" s="3"/>
      <c r="BQ415" s="3"/>
      <c r="BR415" s="3"/>
      <c r="BS415" s="3"/>
    </row>
    <row r="416" spans="1:71" ht="15">
      <c r="A416" s="65" t="s">
        <v>750</v>
      </c>
      <c r="B416" s="66"/>
      <c r="C416" s="66"/>
      <c r="D416" s="67">
        <v>150</v>
      </c>
      <c r="E416" s="69"/>
      <c r="F416" s="103" t="str">
        <f>HYPERLINK("https://yt3.ggpht.com/ytc/AKedOLRTix1dk6pXuqejU_glmqzqA0QrRwngEg25onGlTz4=s88-c-k-c0x00ffffff-no-rj")</f>
        <v>https://yt3.ggpht.com/ytc/AKedOLRTix1dk6pXuqejU_glmqzqA0QrRwngEg25onGlTz4=s88-c-k-c0x00ffffff-no-rj</v>
      </c>
      <c r="G416" s="66"/>
      <c r="H416" s="70" t="s">
        <v>1817</v>
      </c>
      <c r="I416" s="71"/>
      <c r="J416" s="71" t="s">
        <v>159</v>
      </c>
      <c r="K416" s="70" t="s">
        <v>1817</v>
      </c>
      <c r="L416" s="74">
        <v>1</v>
      </c>
      <c r="M416" s="75">
        <v>2410.438720703125</v>
      </c>
      <c r="N416" s="75">
        <v>4964.58203125</v>
      </c>
      <c r="O416" s="76"/>
      <c r="P416" s="77"/>
      <c r="Q416" s="77"/>
      <c r="R416" s="89"/>
      <c r="S416" s="49">
        <v>0</v>
      </c>
      <c r="T416" s="49">
        <v>1</v>
      </c>
      <c r="U416" s="50">
        <v>0</v>
      </c>
      <c r="V416" s="50">
        <v>0.478122</v>
      </c>
      <c r="W416" s="50">
        <v>0.03471</v>
      </c>
      <c r="X416" s="50">
        <v>0.001935</v>
      </c>
      <c r="Y416" s="50">
        <v>0</v>
      </c>
      <c r="Z416" s="50">
        <v>0</v>
      </c>
      <c r="AA416" s="72">
        <v>416</v>
      </c>
      <c r="AB416" s="72"/>
      <c r="AC416" s="73"/>
      <c r="AD416" s="80" t="s">
        <v>1817</v>
      </c>
      <c r="AE416" s="80"/>
      <c r="AF416" s="80"/>
      <c r="AG416" s="80"/>
      <c r="AH416" s="80"/>
      <c r="AI416" s="80"/>
      <c r="AJ416" s="87">
        <v>39345.981527777774</v>
      </c>
      <c r="AK416" s="85" t="str">
        <f>HYPERLINK("https://yt3.ggpht.com/ytc/AKedOLRTix1dk6pXuqejU_glmqzqA0QrRwngEg25onGlTz4=s88-c-k-c0x00ffffff-no-rj")</f>
        <v>https://yt3.ggpht.com/ytc/AKedOLRTix1dk6pXuqejU_glmqzqA0QrRwngEg25onGlTz4=s88-c-k-c0x00ffffff-no-rj</v>
      </c>
      <c r="AL416" s="80">
        <v>137</v>
      </c>
      <c r="AM416" s="80">
        <v>0</v>
      </c>
      <c r="AN416" s="80">
        <v>0</v>
      </c>
      <c r="AO416" s="80" t="b">
        <v>0</v>
      </c>
      <c r="AP416" s="80">
        <v>6</v>
      </c>
      <c r="AQ416" s="80"/>
      <c r="AR416" s="80"/>
      <c r="AS416" s="80" t="s">
        <v>2085</v>
      </c>
      <c r="AT416" s="85" t="str">
        <f>HYPERLINK("https://www.youtube.com/channel/UCpfYPqoVlTEwB0O3zBgPvuQ")</f>
        <v>https://www.youtube.com/channel/UCpfYPqoVlTEwB0O3zBgPvuQ</v>
      </c>
      <c r="AU416" s="80" t="str">
        <f>REPLACE(INDEX(GroupVertices[Group],MATCH(Vertices[[#This Row],[Vertex]],GroupVertices[Vertex],0)),1,1,"")</f>
        <v>1</v>
      </c>
      <c r="AV416" s="49">
        <v>0</v>
      </c>
      <c r="AW416" s="50">
        <v>0</v>
      </c>
      <c r="AX416" s="49">
        <v>1</v>
      </c>
      <c r="AY416" s="50">
        <v>5</v>
      </c>
      <c r="AZ416" s="49">
        <v>0</v>
      </c>
      <c r="BA416" s="50">
        <v>0</v>
      </c>
      <c r="BB416" s="49">
        <v>19</v>
      </c>
      <c r="BC416" s="50">
        <v>95</v>
      </c>
      <c r="BD416" s="49">
        <v>20</v>
      </c>
      <c r="BE416" s="49"/>
      <c r="BF416" s="49"/>
      <c r="BG416" s="49"/>
      <c r="BH416" s="49"/>
      <c r="BI416" s="49"/>
      <c r="BJ416" s="49"/>
      <c r="BK416" s="111" t="s">
        <v>3776</v>
      </c>
      <c r="BL416" s="111" t="s">
        <v>3776</v>
      </c>
      <c r="BM416" s="111" t="s">
        <v>4223</v>
      </c>
      <c r="BN416" s="111" t="s">
        <v>4223</v>
      </c>
      <c r="BO416" s="2"/>
      <c r="BP416" s="3"/>
      <c r="BQ416" s="3"/>
      <c r="BR416" s="3"/>
      <c r="BS416" s="3"/>
    </row>
    <row r="417" spans="1:71" ht="15">
      <c r="A417" s="65" t="s">
        <v>751</v>
      </c>
      <c r="B417" s="66"/>
      <c r="C417" s="66"/>
      <c r="D417" s="67">
        <v>150</v>
      </c>
      <c r="E417" s="69"/>
      <c r="F417" s="103" t="str">
        <f>HYPERLINK("https://yt3.ggpht.com/cPONEMKt91_Ckkk568upijkKrNz5F-91WX_oH6jmoieIffodHDXg1ggfD82mr9pYljXwyuIQ4g=s88-c-k-c0x00ffffff-no-rj")</f>
        <v>https://yt3.ggpht.com/cPONEMKt91_Ckkk568upijkKrNz5F-91WX_oH6jmoieIffodHDXg1ggfD82mr9pYljXwyuIQ4g=s88-c-k-c0x00ffffff-no-rj</v>
      </c>
      <c r="G417" s="66"/>
      <c r="H417" s="70" t="s">
        <v>1818</v>
      </c>
      <c r="I417" s="71"/>
      <c r="J417" s="71" t="s">
        <v>159</v>
      </c>
      <c r="K417" s="70" t="s">
        <v>1818</v>
      </c>
      <c r="L417" s="74">
        <v>1</v>
      </c>
      <c r="M417" s="75">
        <v>4651.5224609375</v>
      </c>
      <c r="N417" s="75">
        <v>9844.02734375</v>
      </c>
      <c r="O417" s="76"/>
      <c r="P417" s="77"/>
      <c r="Q417" s="77"/>
      <c r="R417" s="89"/>
      <c r="S417" s="49">
        <v>0</v>
      </c>
      <c r="T417" s="49">
        <v>1</v>
      </c>
      <c r="U417" s="50">
        <v>0</v>
      </c>
      <c r="V417" s="50">
        <v>0.478122</v>
      </c>
      <c r="W417" s="50">
        <v>0.03471</v>
      </c>
      <c r="X417" s="50">
        <v>0.001935</v>
      </c>
      <c r="Y417" s="50">
        <v>0</v>
      </c>
      <c r="Z417" s="50">
        <v>0</v>
      </c>
      <c r="AA417" s="72">
        <v>417</v>
      </c>
      <c r="AB417" s="72"/>
      <c r="AC417" s="73"/>
      <c r="AD417" s="80" t="s">
        <v>1818</v>
      </c>
      <c r="AE417" s="80" t="s">
        <v>2040</v>
      </c>
      <c r="AF417" s="80"/>
      <c r="AG417" s="80"/>
      <c r="AH417" s="80"/>
      <c r="AI417" s="80"/>
      <c r="AJ417" s="87">
        <v>41228.70930555555</v>
      </c>
      <c r="AK417" s="85" t="str">
        <f>HYPERLINK("https://yt3.ggpht.com/cPONEMKt91_Ckkk568upijkKrNz5F-91WX_oH6jmoieIffodHDXg1ggfD82mr9pYljXwyuIQ4g=s88-c-k-c0x00ffffff-no-rj")</f>
        <v>https://yt3.ggpht.com/cPONEMKt91_Ckkk568upijkKrNz5F-91WX_oH6jmoieIffodHDXg1ggfD82mr9pYljXwyuIQ4g=s88-c-k-c0x00ffffff-no-rj</v>
      </c>
      <c r="AL417" s="80">
        <v>70</v>
      </c>
      <c r="AM417" s="80">
        <v>0</v>
      </c>
      <c r="AN417" s="80">
        <v>2</v>
      </c>
      <c r="AO417" s="80" t="b">
        <v>0</v>
      </c>
      <c r="AP417" s="80">
        <v>7</v>
      </c>
      <c r="AQ417" s="80"/>
      <c r="AR417" s="80"/>
      <c r="AS417" s="80" t="s">
        <v>2085</v>
      </c>
      <c r="AT417" s="85" t="str">
        <f>HYPERLINK("https://www.youtube.com/channel/UCuLu-c3l1tEUguLA5EnzGbQ")</f>
        <v>https://www.youtube.com/channel/UCuLu-c3l1tEUguLA5EnzGbQ</v>
      </c>
      <c r="AU417" s="80" t="str">
        <f>REPLACE(INDEX(GroupVertices[Group],MATCH(Vertices[[#This Row],[Vertex]],GroupVertices[Vertex],0)),1,1,"")</f>
        <v>1</v>
      </c>
      <c r="AV417" s="49">
        <v>0</v>
      </c>
      <c r="AW417" s="50">
        <v>0</v>
      </c>
      <c r="AX417" s="49">
        <v>0</v>
      </c>
      <c r="AY417" s="50">
        <v>0</v>
      </c>
      <c r="AZ417" s="49">
        <v>0</v>
      </c>
      <c r="BA417" s="50">
        <v>0</v>
      </c>
      <c r="BB417" s="49">
        <v>17</v>
      </c>
      <c r="BC417" s="50">
        <v>100</v>
      </c>
      <c r="BD417" s="49">
        <v>17</v>
      </c>
      <c r="BE417" s="49"/>
      <c r="BF417" s="49"/>
      <c r="BG417" s="49"/>
      <c r="BH417" s="49"/>
      <c r="BI417" s="49"/>
      <c r="BJ417" s="49"/>
      <c r="BK417" s="111" t="s">
        <v>3777</v>
      </c>
      <c r="BL417" s="111" t="s">
        <v>3777</v>
      </c>
      <c r="BM417" s="111" t="s">
        <v>4224</v>
      </c>
      <c r="BN417" s="111" t="s">
        <v>4224</v>
      </c>
      <c r="BO417" s="2"/>
      <c r="BP417" s="3"/>
      <c r="BQ417" s="3"/>
      <c r="BR417" s="3"/>
      <c r="BS417" s="3"/>
    </row>
    <row r="418" spans="1:71" ht="15">
      <c r="A418" s="65" t="s">
        <v>752</v>
      </c>
      <c r="B418" s="66"/>
      <c r="C418" s="66"/>
      <c r="D418" s="67">
        <v>150</v>
      </c>
      <c r="E418" s="69"/>
      <c r="F418" s="103" t="str">
        <f>HYPERLINK("https://yt3.ggpht.com/ytc/AKedOLTURNbu_ZUSYPgkAQRWi-UUUezTrJAp4IlogyW8=s88-c-k-c0x00ffffff-no-rj")</f>
        <v>https://yt3.ggpht.com/ytc/AKedOLTURNbu_ZUSYPgkAQRWi-UUUezTrJAp4IlogyW8=s88-c-k-c0x00ffffff-no-rj</v>
      </c>
      <c r="G418" s="66"/>
      <c r="H418" s="70" t="s">
        <v>1819</v>
      </c>
      <c r="I418" s="71"/>
      <c r="J418" s="71" t="s">
        <v>159</v>
      </c>
      <c r="K418" s="70" t="s">
        <v>1819</v>
      </c>
      <c r="L418" s="74">
        <v>1</v>
      </c>
      <c r="M418" s="75">
        <v>5517.0849609375</v>
      </c>
      <c r="N418" s="75">
        <v>4289.58251953125</v>
      </c>
      <c r="O418" s="76"/>
      <c r="P418" s="77"/>
      <c r="Q418" s="77"/>
      <c r="R418" s="89"/>
      <c r="S418" s="49">
        <v>0</v>
      </c>
      <c r="T418" s="49">
        <v>1</v>
      </c>
      <c r="U418" s="50">
        <v>0</v>
      </c>
      <c r="V418" s="50">
        <v>0.478122</v>
      </c>
      <c r="W418" s="50">
        <v>0.03471</v>
      </c>
      <c r="X418" s="50">
        <v>0.001935</v>
      </c>
      <c r="Y418" s="50">
        <v>0</v>
      </c>
      <c r="Z418" s="50">
        <v>0</v>
      </c>
      <c r="AA418" s="72">
        <v>418</v>
      </c>
      <c r="AB418" s="72"/>
      <c r="AC418" s="73"/>
      <c r="AD418" s="80" t="s">
        <v>1819</v>
      </c>
      <c r="AE418" s="80"/>
      <c r="AF418" s="80"/>
      <c r="AG418" s="80"/>
      <c r="AH418" s="80"/>
      <c r="AI418" s="80"/>
      <c r="AJ418" s="87">
        <v>44120.98447916667</v>
      </c>
      <c r="AK418" s="85" t="str">
        <f>HYPERLINK("https://yt3.ggpht.com/ytc/AKedOLTURNbu_ZUSYPgkAQRWi-UUUezTrJAp4IlogyW8=s88-c-k-c0x00ffffff-no-rj")</f>
        <v>https://yt3.ggpht.com/ytc/AKedOLTURNbu_ZUSYPgkAQRWi-UUUezTrJAp4IlogyW8=s88-c-k-c0x00ffffff-no-rj</v>
      </c>
      <c r="AL418" s="80">
        <v>622</v>
      </c>
      <c r="AM418" s="80">
        <v>0</v>
      </c>
      <c r="AN418" s="80">
        <v>3</v>
      </c>
      <c r="AO418" s="80" t="b">
        <v>0</v>
      </c>
      <c r="AP418" s="80">
        <v>11</v>
      </c>
      <c r="AQ418" s="80"/>
      <c r="AR418" s="80"/>
      <c r="AS418" s="80" t="s">
        <v>2085</v>
      </c>
      <c r="AT418" s="85" t="str">
        <f>HYPERLINK("https://www.youtube.com/channel/UCstLkHpFmLnMF1gg8R1Cwgw")</f>
        <v>https://www.youtube.com/channel/UCstLkHpFmLnMF1gg8R1Cwgw</v>
      </c>
      <c r="AU418" s="80" t="str">
        <f>REPLACE(INDEX(GroupVertices[Group],MATCH(Vertices[[#This Row],[Vertex]],GroupVertices[Vertex],0)),1,1,"")</f>
        <v>1</v>
      </c>
      <c r="AV418" s="49">
        <v>0</v>
      </c>
      <c r="AW418" s="50">
        <v>0</v>
      </c>
      <c r="AX418" s="49">
        <v>0</v>
      </c>
      <c r="AY418" s="50">
        <v>0</v>
      </c>
      <c r="AZ418" s="49">
        <v>0</v>
      </c>
      <c r="BA418" s="50">
        <v>0</v>
      </c>
      <c r="BB418" s="49">
        <v>6</v>
      </c>
      <c r="BC418" s="50">
        <v>100</v>
      </c>
      <c r="BD418" s="49">
        <v>6</v>
      </c>
      <c r="BE418" s="49"/>
      <c r="BF418" s="49"/>
      <c r="BG418" s="49"/>
      <c r="BH418" s="49"/>
      <c r="BI418" s="49"/>
      <c r="BJ418" s="49"/>
      <c r="BK418" s="111" t="s">
        <v>3778</v>
      </c>
      <c r="BL418" s="111" t="s">
        <v>3778</v>
      </c>
      <c r="BM418" s="111" t="s">
        <v>4225</v>
      </c>
      <c r="BN418" s="111" t="s">
        <v>4225</v>
      </c>
      <c r="BO418" s="2"/>
      <c r="BP418" s="3"/>
      <c r="BQ418" s="3"/>
      <c r="BR418" s="3"/>
      <c r="BS418" s="3"/>
    </row>
    <row r="419" spans="1:71" ht="15">
      <c r="A419" s="65" t="s">
        <v>753</v>
      </c>
      <c r="B419" s="66"/>
      <c r="C419" s="66"/>
      <c r="D419" s="67">
        <v>150</v>
      </c>
      <c r="E419" s="69"/>
      <c r="F419" s="103" t="str">
        <f>HYPERLINK("https://yt3.ggpht.com/ytc/AKedOLSVo6uITLpl-TVDhXhw5vzLqGEU0hX3uQPAmeNm=s88-c-k-c0x00ffffff-no-rj")</f>
        <v>https://yt3.ggpht.com/ytc/AKedOLSVo6uITLpl-TVDhXhw5vzLqGEU0hX3uQPAmeNm=s88-c-k-c0x00ffffff-no-rj</v>
      </c>
      <c r="G419" s="66"/>
      <c r="H419" s="70" t="s">
        <v>1820</v>
      </c>
      <c r="I419" s="71"/>
      <c r="J419" s="71" t="s">
        <v>159</v>
      </c>
      <c r="K419" s="70" t="s">
        <v>1820</v>
      </c>
      <c r="L419" s="74">
        <v>1</v>
      </c>
      <c r="M419" s="75">
        <v>2648.327880859375</v>
      </c>
      <c r="N419" s="75">
        <v>617.4443969726562</v>
      </c>
      <c r="O419" s="76"/>
      <c r="P419" s="77"/>
      <c r="Q419" s="77"/>
      <c r="R419" s="89"/>
      <c r="S419" s="49">
        <v>0</v>
      </c>
      <c r="T419" s="49">
        <v>1</v>
      </c>
      <c r="U419" s="50">
        <v>0</v>
      </c>
      <c r="V419" s="50">
        <v>0.478122</v>
      </c>
      <c r="W419" s="50">
        <v>0.03471</v>
      </c>
      <c r="X419" s="50">
        <v>0.001935</v>
      </c>
      <c r="Y419" s="50">
        <v>0</v>
      </c>
      <c r="Z419" s="50">
        <v>0</v>
      </c>
      <c r="AA419" s="72">
        <v>419</v>
      </c>
      <c r="AB419" s="72"/>
      <c r="AC419" s="73"/>
      <c r="AD419" s="80" t="s">
        <v>1820</v>
      </c>
      <c r="AE419" s="80" t="s">
        <v>2041</v>
      </c>
      <c r="AF419" s="80"/>
      <c r="AG419" s="80"/>
      <c r="AH419" s="80"/>
      <c r="AI419" s="80"/>
      <c r="AJ419" s="87">
        <v>41491.835439814815</v>
      </c>
      <c r="AK419" s="85" t="str">
        <f>HYPERLINK("https://yt3.ggpht.com/ytc/AKedOLSVo6uITLpl-TVDhXhw5vzLqGEU0hX3uQPAmeNm=s88-c-k-c0x00ffffff-no-rj")</f>
        <v>https://yt3.ggpht.com/ytc/AKedOLSVo6uITLpl-TVDhXhw5vzLqGEU0hX3uQPAmeNm=s88-c-k-c0x00ffffff-no-rj</v>
      </c>
      <c r="AL419" s="80">
        <v>1351</v>
      </c>
      <c r="AM419" s="80">
        <v>0</v>
      </c>
      <c r="AN419" s="80">
        <v>15</v>
      </c>
      <c r="AO419" s="80" t="b">
        <v>0</v>
      </c>
      <c r="AP419" s="80">
        <v>39</v>
      </c>
      <c r="AQ419" s="80"/>
      <c r="AR419" s="80"/>
      <c r="AS419" s="80" t="s">
        <v>2085</v>
      </c>
      <c r="AT419" s="85" t="str">
        <f>HYPERLINK("https://www.youtube.com/channel/UCDIE4nObtn_nqJ6AnSAOijg")</f>
        <v>https://www.youtube.com/channel/UCDIE4nObtn_nqJ6AnSAOijg</v>
      </c>
      <c r="AU419" s="80" t="str">
        <f>REPLACE(INDEX(GroupVertices[Group],MATCH(Vertices[[#This Row],[Vertex]],GroupVertices[Vertex],0)),1,1,"")</f>
        <v>1</v>
      </c>
      <c r="AV419" s="49">
        <v>10</v>
      </c>
      <c r="AW419" s="50">
        <v>4.3478260869565215</v>
      </c>
      <c r="AX419" s="49">
        <v>13</v>
      </c>
      <c r="AY419" s="50">
        <v>5.6521739130434785</v>
      </c>
      <c r="AZ419" s="49">
        <v>0</v>
      </c>
      <c r="BA419" s="50">
        <v>0</v>
      </c>
      <c r="BB419" s="49">
        <v>207</v>
      </c>
      <c r="BC419" s="50">
        <v>90</v>
      </c>
      <c r="BD419" s="49">
        <v>230</v>
      </c>
      <c r="BE419" s="49"/>
      <c r="BF419" s="49"/>
      <c r="BG419" s="49"/>
      <c r="BH419" s="49"/>
      <c r="BI419" s="49"/>
      <c r="BJ419" s="49"/>
      <c r="BK419" s="111" t="s">
        <v>3779</v>
      </c>
      <c r="BL419" s="111" t="s">
        <v>3779</v>
      </c>
      <c r="BM419" s="111" t="s">
        <v>4226</v>
      </c>
      <c r="BN419" s="111" t="s">
        <v>4226</v>
      </c>
      <c r="BO419" s="2"/>
      <c r="BP419" s="3"/>
      <c r="BQ419" s="3"/>
      <c r="BR419" s="3"/>
      <c r="BS419" s="3"/>
    </row>
    <row r="420" spans="1:71" ht="15">
      <c r="A420" s="65" t="s">
        <v>754</v>
      </c>
      <c r="B420" s="66"/>
      <c r="C420" s="66"/>
      <c r="D420" s="67">
        <v>150</v>
      </c>
      <c r="E420" s="69"/>
      <c r="F420" s="103" t="str">
        <f>HYPERLINK("https://yt3.ggpht.com/ytc/AKedOLQsjOICxjqTeLbXOvl7jrtamHKAa6h8dj_NXWTT=s88-c-k-c0x00ffffff-no-rj")</f>
        <v>https://yt3.ggpht.com/ytc/AKedOLQsjOICxjqTeLbXOvl7jrtamHKAa6h8dj_NXWTT=s88-c-k-c0x00ffffff-no-rj</v>
      </c>
      <c r="G420" s="66"/>
      <c r="H420" s="70" t="s">
        <v>1821</v>
      </c>
      <c r="I420" s="71"/>
      <c r="J420" s="71" t="s">
        <v>159</v>
      </c>
      <c r="K420" s="70" t="s">
        <v>1821</v>
      </c>
      <c r="L420" s="74">
        <v>1</v>
      </c>
      <c r="M420" s="75">
        <v>267.6801452636719</v>
      </c>
      <c r="N420" s="75">
        <v>3475.277587890625</v>
      </c>
      <c r="O420" s="76"/>
      <c r="P420" s="77"/>
      <c r="Q420" s="77"/>
      <c r="R420" s="89"/>
      <c r="S420" s="49">
        <v>0</v>
      </c>
      <c r="T420" s="49">
        <v>1</v>
      </c>
      <c r="U420" s="50">
        <v>0</v>
      </c>
      <c r="V420" s="50">
        <v>0.478122</v>
      </c>
      <c r="W420" s="50">
        <v>0.03471</v>
      </c>
      <c r="X420" s="50">
        <v>0.001935</v>
      </c>
      <c r="Y420" s="50">
        <v>0</v>
      </c>
      <c r="Z420" s="50">
        <v>0</v>
      </c>
      <c r="AA420" s="72">
        <v>420</v>
      </c>
      <c r="AB420" s="72"/>
      <c r="AC420" s="73"/>
      <c r="AD420" s="80" t="s">
        <v>1821</v>
      </c>
      <c r="AE420" s="80"/>
      <c r="AF420" s="80"/>
      <c r="AG420" s="80"/>
      <c r="AH420" s="80"/>
      <c r="AI420" s="80"/>
      <c r="AJ420" s="87">
        <v>43414.85157407408</v>
      </c>
      <c r="AK420" s="85" t="str">
        <f>HYPERLINK("https://yt3.ggpht.com/ytc/AKedOLQsjOICxjqTeLbXOvl7jrtamHKAa6h8dj_NXWTT=s88-c-k-c0x00ffffff-no-rj")</f>
        <v>https://yt3.ggpht.com/ytc/AKedOLQsjOICxjqTeLbXOvl7jrtamHKAa6h8dj_NXWTT=s88-c-k-c0x00ffffff-no-rj</v>
      </c>
      <c r="AL420" s="80">
        <v>0</v>
      </c>
      <c r="AM420" s="80">
        <v>0</v>
      </c>
      <c r="AN420" s="80">
        <v>19</v>
      </c>
      <c r="AO420" s="80" t="b">
        <v>0</v>
      </c>
      <c r="AP420" s="80">
        <v>0</v>
      </c>
      <c r="AQ420" s="80"/>
      <c r="AR420" s="80"/>
      <c r="AS420" s="80" t="s">
        <v>2085</v>
      </c>
      <c r="AT420" s="85" t="str">
        <f>HYPERLINK("https://www.youtube.com/channel/UCpd5AQ6E9NR3G4EfHRyaB9w")</f>
        <v>https://www.youtube.com/channel/UCpd5AQ6E9NR3G4EfHRyaB9w</v>
      </c>
      <c r="AU420" s="80" t="str">
        <f>REPLACE(INDEX(GroupVertices[Group],MATCH(Vertices[[#This Row],[Vertex]],GroupVertices[Vertex],0)),1,1,"")</f>
        <v>1</v>
      </c>
      <c r="AV420" s="49">
        <v>0</v>
      </c>
      <c r="AW420" s="50">
        <v>0</v>
      </c>
      <c r="AX420" s="49">
        <v>1</v>
      </c>
      <c r="AY420" s="50">
        <v>100</v>
      </c>
      <c r="AZ420" s="49">
        <v>0</v>
      </c>
      <c r="BA420" s="50">
        <v>0</v>
      </c>
      <c r="BB420" s="49">
        <v>0</v>
      </c>
      <c r="BC420" s="50">
        <v>0</v>
      </c>
      <c r="BD420" s="49">
        <v>1</v>
      </c>
      <c r="BE420" s="49"/>
      <c r="BF420" s="49"/>
      <c r="BG420" s="49"/>
      <c r="BH420" s="49"/>
      <c r="BI420" s="49"/>
      <c r="BJ420" s="49"/>
      <c r="BK420" s="111" t="s">
        <v>2366</v>
      </c>
      <c r="BL420" s="111" t="s">
        <v>2366</v>
      </c>
      <c r="BM420" s="111" t="s">
        <v>1927</v>
      </c>
      <c r="BN420" s="111" t="s">
        <v>1927</v>
      </c>
      <c r="BO420" s="2"/>
      <c r="BP420" s="3"/>
      <c r="BQ420" s="3"/>
      <c r="BR420" s="3"/>
      <c r="BS420" s="3"/>
    </row>
    <row r="421" spans="1:71" ht="15">
      <c r="A421" s="65" t="s">
        <v>755</v>
      </c>
      <c r="B421" s="66"/>
      <c r="C421" s="66"/>
      <c r="D421" s="67">
        <v>150</v>
      </c>
      <c r="E421" s="69"/>
      <c r="F421" s="103" t="str">
        <f>HYPERLINK("https://yt3.ggpht.com/ytc/AKedOLRX8lMbpz3-5jtpHbJrN2H4I5VtmEq9jMRc=s88-c-k-c0x00ffffff-no-rj")</f>
        <v>https://yt3.ggpht.com/ytc/AKedOLRX8lMbpz3-5jtpHbJrN2H4I5VtmEq9jMRc=s88-c-k-c0x00ffffff-no-rj</v>
      </c>
      <c r="G421" s="66"/>
      <c r="H421" s="70" t="s">
        <v>1822</v>
      </c>
      <c r="I421" s="71"/>
      <c r="J421" s="71" t="s">
        <v>159</v>
      </c>
      <c r="K421" s="70" t="s">
        <v>1822</v>
      </c>
      <c r="L421" s="74">
        <v>1</v>
      </c>
      <c r="M421" s="75">
        <v>7265.8076171875</v>
      </c>
      <c r="N421" s="75">
        <v>5146.2529296875</v>
      </c>
      <c r="O421" s="76"/>
      <c r="P421" s="77"/>
      <c r="Q421" s="77"/>
      <c r="R421" s="89"/>
      <c r="S421" s="49">
        <v>0</v>
      </c>
      <c r="T421" s="49">
        <v>1</v>
      </c>
      <c r="U421" s="50">
        <v>0</v>
      </c>
      <c r="V421" s="50">
        <v>0.478122</v>
      </c>
      <c r="W421" s="50">
        <v>0.03471</v>
      </c>
      <c r="X421" s="50">
        <v>0.001935</v>
      </c>
      <c r="Y421" s="50">
        <v>0</v>
      </c>
      <c r="Z421" s="50">
        <v>0</v>
      </c>
      <c r="AA421" s="72">
        <v>421</v>
      </c>
      <c r="AB421" s="72"/>
      <c r="AC421" s="73"/>
      <c r="AD421" s="80" t="s">
        <v>1822</v>
      </c>
      <c r="AE421" s="80"/>
      <c r="AF421" s="80"/>
      <c r="AG421" s="80"/>
      <c r="AH421" s="80"/>
      <c r="AI421" s="80"/>
      <c r="AJ421" s="87">
        <v>42291.87902777778</v>
      </c>
      <c r="AK421" s="85" t="str">
        <f>HYPERLINK("https://yt3.ggpht.com/ytc/AKedOLRX8lMbpz3-5jtpHbJrN2H4I5VtmEq9jMRc=s88-c-k-c0x00ffffff-no-rj")</f>
        <v>https://yt3.ggpht.com/ytc/AKedOLRX8lMbpz3-5jtpHbJrN2H4I5VtmEq9jMRc=s88-c-k-c0x00ffffff-no-rj</v>
      </c>
      <c r="AL421" s="80">
        <v>0</v>
      </c>
      <c r="AM421" s="80">
        <v>0</v>
      </c>
      <c r="AN421" s="80">
        <v>2</v>
      </c>
      <c r="AO421" s="80" t="b">
        <v>0</v>
      </c>
      <c r="AP421" s="80">
        <v>0</v>
      </c>
      <c r="AQ421" s="80"/>
      <c r="AR421" s="80"/>
      <c r="AS421" s="80" t="s">
        <v>2085</v>
      </c>
      <c r="AT421" s="85" t="str">
        <f>HYPERLINK("https://www.youtube.com/channel/UCwkW3Xy5eamGPKnyIdSyEMg")</f>
        <v>https://www.youtube.com/channel/UCwkW3Xy5eamGPKnyIdSyEMg</v>
      </c>
      <c r="AU421" s="80" t="str">
        <f>REPLACE(INDEX(GroupVertices[Group],MATCH(Vertices[[#This Row],[Vertex]],GroupVertices[Vertex],0)),1,1,"")</f>
        <v>1</v>
      </c>
      <c r="AV421" s="49">
        <v>6</v>
      </c>
      <c r="AW421" s="50">
        <v>6.451612903225806</v>
      </c>
      <c r="AX421" s="49">
        <v>0</v>
      </c>
      <c r="AY421" s="50">
        <v>0</v>
      </c>
      <c r="AZ421" s="49">
        <v>0</v>
      </c>
      <c r="BA421" s="50">
        <v>0</v>
      </c>
      <c r="BB421" s="49">
        <v>87</v>
      </c>
      <c r="BC421" s="50">
        <v>93.54838709677419</v>
      </c>
      <c r="BD421" s="49">
        <v>93</v>
      </c>
      <c r="BE421" s="49"/>
      <c r="BF421" s="49"/>
      <c r="BG421" s="49"/>
      <c r="BH421" s="49"/>
      <c r="BI421" s="49"/>
      <c r="BJ421" s="49"/>
      <c r="BK421" s="111" t="s">
        <v>3780</v>
      </c>
      <c r="BL421" s="111" t="s">
        <v>3780</v>
      </c>
      <c r="BM421" s="111" t="s">
        <v>4227</v>
      </c>
      <c r="BN421" s="111" t="s">
        <v>4227</v>
      </c>
      <c r="BO421" s="2"/>
      <c r="BP421" s="3"/>
      <c r="BQ421" s="3"/>
      <c r="BR421" s="3"/>
      <c r="BS421" s="3"/>
    </row>
    <row r="422" spans="1:71" ht="15">
      <c r="A422" s="65" t="s">
        <v>756</v>
      </c>
      <c r="B422" s="66"/>
      <c r="C422" s="66"/>
      <c r="D422" s="67">
        <v>150</v>
      </c>
      <c r="E422" s="69"/>
      <c r="F422" s="103" t="str">
        <f>HYPERLINK("https://yt3.ggpht.com/ytc/AKedOLSNDKWRmHD0kjNso9MG91m_sCVtlwbrEQFFjiL4_w=s88-c-k-c0x00ffffff-no-rj")</f>
        <v>https://yt3.ggpht.com/ytc/AKedOLSNDKWRmHD0kjNso9MG91m_sCVtlwbrEQFFjiL4_w=s88-c-k-c0x00ffffff-no-rj</v>
      </c>
      <c r="G422" s="66"/>
      <c r="H422" s="70" t="s">
        <v>1823</v>
      </c>
      <c r="I422" s="71"/>
      <c r="J422" s="71" t="s">
        <v>159</v>
      </c>
      <c r="K422" s="70" t="s">
        <v>1823</v>
      </c>
      <c r="L422" s="74">
        <v>1</v>
      </c>
      <c r="M422" s="75">
        <v>1664.4310302734375</v>
      </c>
      <c r="N422" s="75">
        <v>1605.2103271484375</v>
      </c>
      <c r="O422" s="76"/>
      <c r="P422" s="77"/>
      <c r="Q422" s="77"/>
      <c r="R422" s="89"/>
      <c r="S422" s="49">
        <v>0</v>
      </c>
      <c r="T422" s="49">
        <v>1</v>
      </c>
      <c r="U422" s="50">
        <v>0</v>
      </c>
      <c r="V422" s="50">
        <v>0.478122</v>
      </c>
      <c r="W422" s="50">
        <v>0.03471</v>
      </c>
      <c r="X422" s="50">
        <v>0.001935</v>
      </c>
      <c r="Y422" s="50">
        <v>0</v>
      </c>
      <c r="Z422" s="50">
        <v>0</v>
      </c>
      <c r="AA422" s="72">
        <v>422</v>
      </c>
      <c r="AB422" s="72"/>
      <c r="AC422" s="73"/>
      <c r="AD422" s="80" t="s">
        <v>1823</v>
      </c>
      <c r="AE422" s="80"/>
      <c r="AF422" s="80"/>
      <c r="AG422" s="80"/>
      <c r="AH422" s="80"/>
      <c r="AI422" s="80"/>
      <c r="AJ422" s="87">
        <v>39149.36025462963</v>
      </c>
      <c r="AK422" s="85" t="str">
        <f>HYPERLINK("https://yt3.ggpht.com/ytc/AKedOLSNDKWRmHD0kjNso9MG91m_sCVtlwbrEQFFjiL4_w=s88-c-k-c0x00ffffff-no-rj")</f>
        <v>https://yt3.ggpht.com/ytc/AKedOLSNDKWRmHD0kjNso9MG91m_sCVtlwbrEQFFjiL4_w=s88-c-k-c0x00ffffff-no-rj</v>
      </c>
      <c r="AL422" s="80">
        <v>0</v>
      </c>
      <c r="AM422" s="80">
        <v>0</v>
      </c>
      <c r="AN422" s="80">
        <v>0</v>
      </c>
      <c r="AO422" s="80" t="b">
        <v>1</v>
      </c>
      <c r="AP422" s="80">
        <v>0</v>
      </c>
      <c r="AQ422" s="80"/>
      <c r="AR422" s="80"/>
      <c r="AS422" s="80" t="s">
        <v>2085</v>
      </c>
      <c r="AT422" s="85" t="str">
        <f>HYPERLINK("https://www.youtube.com/channel/UCRcd6UqY4rydW00AIWLX8SA")</f>
        <v>https://www.youtube.com/channel/UCRcd6UqY4rydW00AIWLX8SA</v>
      </c>
      <c r="AU422" s="80" t="str">
        <f>REPLACE(INDEX(GroupVertices[Group],MATCH(Vertices[[#This Row],[Vertex]],GroupVertices[Vertex],0)),1,1,"")</f>
        <v>1</v>
      </c>
      <c r="AV422" s="49">
        <v>1</v>
      </c>
      <c r="AW422" s="50">
        <v>7.142857142857143</v>
      </c>
      <c r="AX422" s="49">
        <v>0</v>
      </c>
      <c r="AY422" s="50">
        <v>0</v>
      </c>
      <c r="AZ422" s="49">
        <v>0</v>
      </c>
      <c r="BA422" s="50">
        <v>0</v>
      </c>
      <c r="BB422" s="49">
        <v>13</v>
      </c>
      <c r="BC422" s="50">
        <v>92.85714285714286</v>
      </c>
      <c r="BD422" s="49">
        <v>14</v>
      </c>
      <c r="BE422" s="49"/>
      <c r="BF422" s="49"/>
      <c r="BG422" s="49"/>
      <c r="BH422" s="49"/>
      <c r="BI422" s="49"/>
      <c r="BJ422" s="49"/>
      <c r="BK422" s="111" t="s">
        <v>3781</v>
      </c>
      <c r="BL422" s="111" t="s">
        <v>3781</v>
      </c>
      <c r="BM422" s="111" t="s">
        <v>4228</v>
      </c>
      <c r="BN422" s="111" t="s">
        <v>4228</v>
      </c>
      <c r="BO422" s="2"/>
      <c r="BP422" s="3"/>
      <c r="BQ422" s="3"/>
      <c r="BR422" s="3"/>
      <c r="BS422" s="3"/>
    </row>
    <row r="423" spans="1:71" ht="15">
      <c r="A423" s="65" t="s">
        <v>757</v>
      </c>
      <c r="B423" s="66"/>
      <c r="C423" s="66"/>
      <c r="D423" s="67">
        <v>150</v>
      </c>
      <c r="E423" s="69"/>
      <c r="F423" s="103" t="str">
        <f>HYPERLINK("https://yt3.ggpht.com/JN8-oDHfRcYsa7JUnwYfkLtRazQ4sP46OARUPzIvBwew00pfY2h9X3z747nm-5R_AOiUadIr=s88-c-k-c0x00ffffff-no-rj")</f>
        <v>https://yt3.ggpht.com/JN8-oDHfRcYsa7JUnwYfkLtRazQ4sP46OARUPzIvBwew00pfY2h9X3z747nm-5R_AOiUadIr=s88-c-k-c0x00ffffff-no-rj</v>
      </c>
      <c r="G423" s="66"/>
      <c r="H423" s="70" t="s">
        <v>1824</v>
      </c>
      <c r="I423" s="71"/>
      <c r="J423" s="71" t="s">
        <v>159</v>
      </c>
      <c r="K423" s="70" t="s">
        <v>1824</v>
      </c>
      <c r="L423" s="74">
        <v>1</v>
      </c>
      <c r="M423" s="75">
        <v>8171.53759765625</v>
      </c>
      <c r="N423" s="75">
        <v>3950.529296875</v>
      </c>
      <c r="O423" s="76"/>
      <c r="P423" s="77"/>
      <c r="Q423" s="77"/>
      <c r="R423" s="89"/>
      <c r="S423" s="49">
        <v>0</v>
      </c>
      <c r="T423" s="49">
        <v>1</v>
      </c>
      <c r="U423" s="50">
        <v>0</v>
      </c>
      <c r="V423" s="50">
        <v>0.478122</v>
      </c>
      <c r="W423" s="50">
        <v>0.03471</v>
      </c>
      <c r="X423" s="50">
        <v>0.001935</v>
      </c>
      <c r="Y423" s="50">
        <v>0</v>
      </c>
      <c r="Z423" s="50">
        <v>0</v>
      </c>
      <c r="AA423" s="72">
        <v>423</v>
      </c>
      <c r="AB423" s="72"/>
      <c r="AC423" s="73"/>
      <c r="AD423" s="80" t="s">
        <v>1824</v>
      </c>
      <c r="AE423" s="80" t="s">
        <v>2042</v>
      </c>
      <c r="AF423" s="80"/>
      <c r="AG423" s="80"/>
      <c r="AH423" s="80"/>
      <c r="AI423" s="80"/>
      <c r="AJ423" s="87">
        <v>41583.935520833336</v>
      </c>
      <c r="AK423" s="85" t="str">
        <f>HYPERLINK("https://yt3.ggpht.com/JN8-oDHfRcYsa7JUnwYfkLtRazQ4sP46OARUPzIvBwew00pfY2h9X3z747nm-5R_AOiUadIr=s88-c-k-c0x00ffffff-no-rj")</f>
        <v>https://yt3.ggpht.com/JN8-oDHfRcYsa7JUnwYfkLtRazQ4sP46OARUPzIvBwew00pfY2h9X3z747nm-5R_AOiUadIr=s88-c-k-c0x00ffffff-no-rj</v>
      </c>
      <c r="AL423" s="80">
        <v>0</v>
      </c>
      <c r="AM423" s="80">
        <v>0</v>
      </c>
      <c r="AN423" s="80">
        <v>0</v>
      </c>
      <c r="AO423" s="80" t="b">
        <v>0</v>
      </c>
      <c r="AP423" s="80">
        <v>0</v>
      </c>
      <c r="AQ423" s="80"/>
      <c r="AR423" s="80"/>
      <c r="AS423" s="80" t="s">
        <v>2085</v>
      </c>
      <c r="AT423" s="85" t="str">
        <f>HYPERLINK("https://www.youtube.com/channel/UCX0bE8mKUvuaeANFHT3oTzg")</f>
        <v>https://www.youtube.com/channel/UCX0bE8mKUvuaeANFHT3oTzg</v>
      </c>
      <c r="AU423" s="80" t="str">
        <f>REPLACE(INDEX(GroupVertices[Group],MATCH(Vertices[[#This Row],[Vertex]],GroupVertices[Vertex],0)),1,1,"")</f>
        <v>1</v>
      </c>
      <c r="AV423" s="49">
        <v>0</v>
      </c>
      <c r="AW423" s="50">
        <v>0</v>
      </c>
      <c r="AX423" s="49">
        <v>1</v>
      </c>
      <c r="AY423" s="50">
        <v>2.127659574468085</v>
      </c>
      <c r="AZ423" s="49">
        <v>0</v>
      </c>
      <c r="BA423" s="50">
        <v>0</v>
      </c>
      <c r="BB423" s="49">
        <v>46</v>
      </c>
      <c r="BC423" s="50">
        <v>97.87234042553192</v>
      </c>
      <c r="BD423" s="49">
        <v>47</v>
      </c>
      <c r="BE423" s="49"/>
      <c r="BF423" s="49"/>
      <c r="BG423" s="49"/>
      <c r="BH423" s="49"/>
      <c r="BI423" s="49"/>
      <c r="BJ423" s="49"/>
      <c r="BK423" s="111" t="s">
        <v>3782</v>
      </c>
      <c r="BL423" s="111" t="s">
        <v>3782</v>
      </c>
      <c r="BM423" s="111" t="s">
        <v>4229</v>
      </c>
      <c r="BN423" s="111" t="s">
        <v>4229</v>
      </c>
      <c r="BO423" s="2"/>
      <c r="BP423" s="3"/>
      <c r="BQ423" s="3"/>
      <c r="BR423" s="3"/>
      <c r="BS423" s="3"/>
    </row>
    <row r="424" spans="1:71" ht="15">
      <c r="A424" s="65" t="s">
        <v>758</v>
      </c>
      <c r="B424" s="66"/>
      <c r="C424" s="66"/>
      <c r="D424" s="67">
        <v>150</v>
      </c>
      <c r="E424" s="69"/>
      <c r="F424" s="103" t="str">
        <f>HYPERLINK("https://yt3.ggpht.com/Lvim9HC2Ipwg4fIUq-qY4lp3QnnhJRfnRrI3ZeUmWXzLN_qwkMegbYkaX2qQOktbyqgV1NjZcZ0=s88-c-k-c0x00ffffff-no-rj")</f>
        <v>https://yt3.ggpht.com/Lvim9HC2Ipwg4fIUq-qY4lp3QnnhJRfnRrI3ZeUmWXzLN_qwkMegbYkaX2qQOktbyqgV1NjZcZ0=s88-c-k-c0x00ffffff-no-rj</v>
      </c>
      <c r="G424" s="66"/>
      <c r="H424" s="70" t="s">
        <v>1825</v>
      </c>
      <c r="I424" s="71"/>
      <c r="J424" s="71" t="s">
        <v>159</v>
      </c>
      <c r="K424" s="70" t="s">
        <v>1825</v>
      </c>
      <c r="L424" s="74">
        <v>1</v>
      </c>
      <c r="M424" s="75">
        <v>507.7923278808594</v>
      </c>
      <c r="N424" s="75">
        <v>6691.88330078125</v>
      </c>
      <c r="O424" s="76"/>
      <c r="P424" s="77"/>
      <c r="Q424" s="77"/>
      <c r="R424" s="89"/>
      <c r="S424" s="49">
        <v>0</v>
      </c>
      <c r="T424" s="49">
        <v>1</v>
      </c>
      <c r="U424" s="50">
        <v>0</v>
      </c>
      <c r="V424" s="50">
        <v>0.478122</v>
      </c>
      <c r="W424" s="50">
        <v>0.03471</v>
      </c>
      <c r="X424" s="50">
        <v>0.001935</v>
      </c>
      <c r="Y424" s="50">
        <v>0</v>
      </c>
      <c r="Z424" s="50">
        <v>0</v>
      </c>
      <c r="AA424" s="72">
        <v>424</v>
      </c>
      <c r="AB424" s="72"/>
      <c r="AC424" s="73"/>
      <c r="AD424" s="80" t="s">
        <v>1825</v>
      </c>
      <c r="AE424" s="80" t="s">
        <v>2043</v>
      </c>
      <c r="AF424" s="80"/>
      <c r="AG424" s="80"/>
      <c r="AH424" s="80"/>
      <c r="AI424" s="80"/>
      <c r="AJ424" s="87">
        <v>41669.61048611111</v>
      </c>
      <c r="AK424" s="85" t="str">
        <f>HYPERLINK("https://yt3.ggpht.com/Lvim9HC2Ipwg4fIUq-qY4lp3QnnhJRfnRrI3ZeUmWXzLN_qwkMegbYkaX2qQOktbyqgV1NjZcZ0=s88-c-k-c0x00ffffff-no-rj")</f>
        <v>https://yt3.ggpht.com/Lvim9HC2Ipwg4fIUq-qY4lp3QnnhJRfnRrI3ZeUmWXzLN_qwkMegbYkaX2qQOktbyqgV1NjZcZ0=s88-c-k-c0x00ffffff-no-rj</v>
      </c>
      <c r="AL424" s="80">
        <v>0</v>
      </c>
      <c r="AM424" s="80">
        <v>0</v>
      </c>
      <c r="AN424" s="80">
        <v>3</v>
      </c>
      <c r="AO424" s="80" t="b">
        <v>0</v>
      </c>
      <c r="AP424" s="80">
        <v>0</v>
      </c>
      <c r="AQ424" s="80"/>
      <c r="AR424" s="80"/>
      <c r="AS424" s="80" t="s">
        <v>2085</v>
      </c>
      <c r="AT424" s="85" t="str">
        <f>HYPERLINK("https://www.youtube.com/channel/UC5-EFY8q_zKzSqK_ENoEI7g")</f>
        <v>https://www.youtube.com/channel/UC5-EFY8q_zKzSqK_ENoEI7g</v>
      </c>
      <c r="AU424" s="80" t="str">
        <f>REPLACE(INDEX(GroupVertices[Group],MATCH(Vertices[[#This Row],[Vertex]],GroupVertices[Vertex],0)),1,1,"")</f>
        <v>1</v>
      </c>
      <c r="AV424" s="49">
        <v>2</v>
      </c>
      <c r="AW424" s="50">
        <v>6.896551724137931</v>
      </c>
      <c r="AX424" s="49">
        <v>0</v>
      </c>
      <c r="AY424" s="50">
        <v>0</v>
      </c>
      <c r="AZ424" s="49">
        <v>0</v>
      </c>
      <c r="BA424" s="50">
        <v>0</v>
      </c>
      <c r="BB424" s="49">
        <v>27</v>
      </c>
      <c r="BC424" s="50">
        <v>93.10344827586206</v>
      </c>
      <c r="BD424" s="49">
        <v>29</v>
      </c>
      <c r="BE424" s="49"/>
      <c r="BF424" s="49"/>
      <c r="BG424" s="49"/>
      <c r="BH424" s="49"/>
      <c r="BI424" s="49"/>
      <c r="BJ424" s="49"/>
      <c r="BK424" s="111" t="s">
        <v>3783</v>
      </c>
      <c r="BL424" s="111" t="s">
        <v>3783</v>
      </c>
      <c r="BM424" s="111" t="s">
        <v>4230</v>
      </c>
      <c r="BN424" s="111" t="s">
        <v>4230</v>
      </c>
      <c r="BO424" s="2"/>
      <c r="BP424" s="3"/>
      <c r="BQ424" s="3"/>
      <c r="BR424" s="3"/>
      <c r="BS424" s="3"/>
    </row>
    <row r="425" spans="1:71" ht="15">
      <c r="A425" s="65" t="s">
        <v>759</v>
      </c>
      <c r="B425" s="66"/>
      <c r="C425" s="66"/>
      <c r="D425" s="67">
        <v>150</v>
      </c>
      <c r="E425" s="69"/>
      <c r="F425" s="103" t="str">
        <f>HYPERLINK("https://yt3.ggpht.com/ytc/AKedOLRNisP3EpP0TaeHlsg5SkcQ6KZUAikYU1tmhtX8=s88-c-k-c0x00ffffff-no-rj")</f>
        <v>https://yt3.ggpht.com/ytc/AKedOLRNisP3EpP0TaeHlsg5SkcQ6KZUAikYU1tmhtX8=s88-c-k-c0x00ffffff-no-rj</v>
      </c>
      <c r="G425" s="66"/>
      <c r="H425" s="70" t="s">
        <v>1826</v>
      </c>
      <c r="I425" s="71"/>
      <c r="J425" s="71" t="s">
        <v>159</v>
      </c>
      <c r="K425" s="70" t="s">
        <v>1826</v>
      </c>
      <c r="L425" s="74">
        <v>1</v>
      </c>
      <c r="M425" s="75">
        <v>6525.28515625</v>
      </c>
      <c r="N425" s="75">
        <v>8549.5224609375</v>
      </c>
      <c r="O425" s="76"/>
      <c r="P425" s="77"/>
      <c r="Q425" s="77"/>
      <c r="R425" s="89"/>
      <c r="S425" s="49">
        <v>0</v>
      </c>
      <c r="T425" s="49">
        <v>1</v>
      </c>
      <c r="U425" s="50">
        <v>0</v>
      </c>
      <c r="V425" s="50">
        <v>0.478122</v>
      </c>
      <c r="W425" s="50">
        <v>0.03471</v>
      </c>
      <c r="X425" s="50">
        <v>0.001935</v>
      </c>
      <c r="Y425" s="50">
        <v>0</v>
      </c>
      <c r="Z425" s="50">
        <v>0</v>
      </c>
      <c r="AA425" s="72">
        <v>425</v>
      </c>
      <c r="AB425" s="72"/>
      <c r="AC425" s="73"/>
      <c r="AD425" s="80" t="s">
        <v>1826</v>
      </c>
      <c r="AE425" s="80"/>
      <c r="AF425" s="80"/>
      <c r="AG425" s="80"/>
      <c r="AH425" s="80"/>
      <c r="AI425" s="80"/>
      <c r="AJ425" s="87">
        <v>43476.03969907408</v>
      </c>
      <c r="AK425" s="85" t="str">
        <f>HYPERLINK("https://yt3.ggpht.com/ytc/AKedOLRNisP3EpP0TaeHlsg5SkcQ6KZUAikYU1tmhtX8=s88-c-k-c0x00ffffff-no-rj")</f>
        <v>https://yt3.ggpht.com/ytc/AKedOLRNisP3EpP0TaeHlsg5SkcQ6KZUAikYU1tmhtX8=s88-c-k-c0x00ffffff-no-rj</v>
      </c>
      <c r="AL425" s="80">
        <v>0</v>
      </c>
      <c r="AM425" s="80">
        <v>0</v>
      </c>
      <c r="AN425" s="80">
        <v>0</v>
      </c>
      <c r="AO425" s="80" t="b">
        <v>0</v>
      </c>
      <c r="AP425" s="80">
        <v>0</v>
      </c>
      <c r="AQ425" s="80"/>
      <c r="AR425" s="80"/>
      <c r="AS425" s="80" t="s">
        <v>2085</v>
      </c>
      <c r="AT425" s="85" t="str">
        <f>HYPERLINK("https://www.youtube.com/channel/UC1yYSZzrlCEPm3mH74t3H6g")</f>
        <v>https://www.youtube.com/channel/UC1yYSZzrlCEPm3mH74t3H6g</v>
      </c>
      <c r="AU425" s="80" t="str">
        <f>REPLACE(INDEX(GroupVertices[Group],MATCH(Vertices[[#This Row],[Vertex]],GroupVertices[Vertex],0)),1,1,"")</f>
        <v>1</v>
      </c>
      <c r="AV425" s="49">
        <v>0</v>
      </c>
      <c r="AW425" s="50">
        <v>0</v>
      </c>
      <c r="AX425" s="49">
        <v>0</v>
      </c>
      <c r="AY425" s="50">
        <v>0</v>
      </c>
      <c r="AZ425" s="49">
        <v>0</v>
      </c>
      <c r="BA425" s="50">
        <v>0</v>
      </c>
      <c r="BB425" s="49">
        <v>0</v>
      </c>
      <c r="BC425" s="50">
        <v>0</v>
      </c>
      <c r="BD425" s="49">
        <v>0</v>
      </c>
      <c r="BE425" s="49"/>
      <c r="BF425" s="49"/>
      <c r="BG425" s="49"/>
      <c r="BH425" s="49"/>
      <c r="BI425" s="49"/>
      <c r="BJ425" s="49"/>
      <c r="BK425" s="111" t="s">
        <v>1927</v>
      </c>
      <c r="BL425" s="111" t="s">
        <v>1927</v>
      </c>
      <c r="BM425" s="111" t="s">
        <v>1927</v>
      </c>
      <c r="BN425" s="111" t="s">
        <v>1927</v>
      </c>
      <c r="BO425" s="2"/>
      <c r="BP425" s="3"/>
      <c r="BQ425" s="3"/>
      <c r="BR425" s="3"/>
      <c r="BS425" s="3"/>
    </row>
    <row r="426" spans="1:71" ht="15">
      <c r="A426" s="65" t="s">
        <v>760</v>
      </c>
      <c r="B426" s="66"/>
      <c r="C426" s="66"/>
      <c r="D426" s="67">
        <v>150</v>
      </c>
      <c r="E426" s="69"/>
      <c r="F426" s="103" t="str">
        <f>HYPERLINK("https://yt3.ggpht.com/ytc/AKedOLRz_-BFCsWJb6_w60JdKud5WEtbL9negb5x-w=s88-c-k-c0x00ffffff-no-rj")</f>
        <v>https://yt3.ggpht.com/ytc/AKedOLRz_-BFCsWJb6_w60JdKud5WEtbL9negb5x-w=s88-c-k-c0x00ffffff-no-rj</v>
      </c>
      <c r="G426" s="66"/>
      <c r="H426" s="70" t="s">
        <v>1827</v>
      </c>
      <c r="I426" s="71"/>
      <c r="J426" s="71" t="s">
        <v>159</v>
      </c>
      <c r="K426" s="70" t="s">
        <v>1827</v>
      </c>
      <c r="L426" s="74">
        <v>1</v>
      </c>
      <c r="M426" s="75">
        <v>9181.671875</v>
      </c>
      <c r="N426" s="75">
        <v>676.4029541015625</v>
      </c>
      <c r="O426" s="76"/>
      <c r="P426" s="77"/>
      <c r="Q426" s="77"/>
      <c r="R426" s="89"/>
      <c r="S426" s="49">
        <v>0</v>
      </c>
      <c r="T426" s="49">
        <v>1</v>
      </c>
      <c r="U426" s="50">
        <v>0</v>
      </c>
      <c r="V426" s="50">
        <v>0.324168</v>
      </c>
      <c r="W426" s="50">
        <v>0.00175</v>
      </c>
      <c r="X426" s="50">
        <v>0.002011</v>
      </c>
      <c r="Y426" s="50">
        <v>0</v>
      </c>
      <c r="Z426" s="50">
        <v>0</v>
      </c>
      <c r="AA426" s="72">
        <v>426</v>
      </c>
      <c r="AB426" s="72"/>
      <c r="AC426" s="73"/>
      <c r="AD426" s="80" t="s">
        <v>1827</v>
      </c>
      <c r="AE426" s="80"/>
      <c r="AF426" s="80"/>
      <c r="AG426" s="80"/>
      <c r="AH426" s="80"/>
      <c r="AI426" s="80"/>
      <c r="AJ426" s="87">
        <v>42020.00472222222</v>
      </c>
      <c r="AK426" s="85" t="str">
        <f>HYPERLINK("https://yt3.ggpht.com/ytc/AKedOLRz_-BFCsWJb6_w60JdKud5WEtbL9negb5x-w=s88-c-k-c0x00ffffff-no-rj")</f>
        <v>https://yt3.ggpht.com/ytc/AKedOLRz_-BFCsWJb6_w60JdKud5WEtbL9negb5x-w=s88-c-k-c0x00ffffff-no-rj</v>
      </c>
      <c r="AL426" s="80">
        <v>0</v>
      </c>
      <c r="AM426" s="80">
        <v>0</v>
      </c>
      <c r="AN426" s="80">
        <v>1</v>
      </c>
      <c r="AO426" s="80" t="b">
        <v>0</v>
      </c>
      <c r="AP426" s="80">
        <v>0</v>
      </c>
      <c r="AQ426" s="80"/>
      <c r="AR426" s="80"/>
      <c r="AS426" s="80" t="s">
        <v>2085</v>
      </c>
      <c r="AT426" s="85" t="str">
        <f>HYPERLINK("https://www.youtube.com/channel/UCeByvlHB4vBprM5D_4oAt3A")</f>
        <v>https://www.youtube.com/channel/UCeByvlHB4vBprM5D_4oAt3A</v>
      </c>
      <c r="AU426" s="80" t="str">
        <f>REPLACE(INDEX(GroupVertices[Group],MATCH(Vertices[[#This Row],[Vertex]],GroupVertices[Vertex],0)),1,1,"")</f>
        <v>14</v>
      </c>
      <c r="AV426" s="49">
        <v>1</v>
      </c>
      <c r="AW426" s="50">
        <v>1.7543859649122806</v>
      </c>
      <c r="AX426" s="49">
        <v>1</v>
      </c>
      <c r="AY426" s="50">
        <v>1.7543859649122806</v>
      </c>
      <c r="AZ426" s="49">
        <v>0</v>
      </c>
      <c r="BA426" s="50">
        <v>0</v>
      </c>
      <c r="BB426" s="49">
        <v>55</v>
      </c>
      <c r="BC426" s="50">
        <v>96.49122807017544</v>
      </c>
      <c r="BD426" s="49">
        <v>57</v>
      </c>
      <c r="BE426" s="49"/>
      <c r="BF426" s="49"/>
      <c r="BG426" s="49"/>
      <c r="BH426" s="49"/>
      <c r="BI426" s="49"/>
      <c r="BJ426" s="49"/>
      <c r="BK426" s="111" t="s">
        <v>3784</v>
      </c>
      <c r="BL426" s="111" t="s">
        <v>3784</v>
      </c>
      <c r="BM426" s="111" t="s">
        <v>4231</v>
      </c>
      <c r="BN426" s="111" t="s">
        <v>4231</v>
      </c>
      <c r="BO426" s="2"/>
      <c r="BP426" s="3"/>
      <c r="BQ426" s="3"/>
      <c r="BR426" s="3"/>
      <c r="BS426" s="3"/>
    </row>
    <row r="427" spans="1:71" ht="15">
      <c r="A427" s="65" t="s">
        <v>761</v>
      </c>
      <c r="B427" s="66"/>
      <c r="C427" s="66"/>
      <c r="D427" s="67">
        <v>257.08850056369783</v>
      </c>
      <c r="E427" s="69"/>
      <c r="F427" s="103" t="str">
        <f>HYPERLINK("https://yt3.ggpht.com/ytc/AKedOLR9KfDGQuUIjXdM1DR4ahXf2OM43wgAfmigsjPHN6Y=s88-c-k-c0x00ffffff-no-rj")</f>
        <v>https://yt3.ggpht.com/ytc/AKedOLR9KfDGQuUIjXdM1DR4ahXf2OM43wgAfmigsjPHN6Y=s88-c-k-c0x00ffffff-no-rj</v>
      </c>
      <c r="G427" s="66"/>
      <c r="H427" s="70" t="s">
        <v>1828</v>
      </c>
      <c r="I427" s="71"/>
      <c r="J427" s="71" t="s">
        <v>75</v>
      </c>
      <c r="K427" s="70" t="s">
        <v>1828</v>
      </c>
      <c r="L427" s="74">
        <v>45.70324163334509</v>
      </c>
      <c r="M427" s="75">
        <v>9181.671875</v>
      </c>
      <c r="N427" s="75">
        <v>323.4970703125</v>
      </c>
      <c r="O427" s="76"/>
      <c r="P427" s="77"/>
      <c r="Q427" s="77"/>
      <c r="R427" s="89"/>
      <c r="S427" s="49">
        <v>2</v>
      </c>
      <c r="T427" s="49">
        <v>2</v>
      </c>
      <c r="U427" s="50">
        <v>894</v>
      </c>
      <c r="V427" s="50">
        <v>0.479144</v>
      </c>
      <c r="W427" s="50">
        <v>0.036545</v>
      </c>
      <c r="X427" s="50">
        <v>0.002354</v>
      </c>
      <c r="Y427" s="50">
        <v>0</v>
      </c>
      <c r="Z427" s="50">
        <v>0</v>
      </c>
      <c r="AA427" s="72">
        <v>427</v>
      </c>
      <c r="AB427" s="72"/>
      <c r="AC427" s="73"/>
      <c r="AD427" s="80" t="s">
        <v>1828</v>
      </c>
      <c r="AE427" s="80"/>
      <c r="AF427" s="80"/>
      <c r="AG427" s="80"/>
      <c r="AH427" s="80"/>
      <c r="AI427" s="80" t="s">
        <v>2082</v>
      </c>
      <c r="AJ427" s="87">
        <v>39104.39863425926</v>
      </c>
      <c r="AK427" s="85" t="str">
        <f>HYPERLINK("https://yt3.ggpht.com/ytc/AKedOLR9KfDGQuUIjXdM1DR4ahXf2OM43wgAfmigsjPHN6Y=s88-c-k-c0x00ffffff-no-rj")</f>
        <v>https://yt3.ggpht.com/ytc/AKedOLR9KfDGQuUIjXdM1DR4ahXf2OM43wgAfmigsjPHN6Y=s88-c-k-c0x00ffffff-no-rj</v>
      </c>
      <c r="AL427" s="80">
        <v>26002</v>
      </c>
      <c r="AM427" s="80">
        <v>0</v>
      </c>
      <c r="AN427" s="80">
        <v>28</v>
      </c>
      <c r="AO427" s="80" t="b">
        <v>0</v>
      </c>
      <c r="AP427" s="80">
        <v>80</v>
      </c>
      <c r="AQ427" s="80"/>
      <c r="AR427" s="80"/>
      <c r="AS427" s="80" t="s">
        <v>2085</v>
      </c>
      <c r="AT427" s="85" t="str">
        <f>HYPERLINK("https://www.youtube.com/channel/UCjt77vzlNNBTd3CoLx-gyOg")</f>
        <v>https://www.youtube.com/channel/UCjt77vzlNNBTd3CoLx-gyOg</v>
      </c>
      <c r="AU427" s="80" t="str">
        <f>REPLACE(INDEX(GroupVertices[Group],MATCH(Vertices[[#This Row],[Vertex]],GroupVertices[Vertex],0)),1,1,"")</f>
        <v>14</v>
      </c>
      <c r="AV427" s="49">
        <v>3</v>
      </c>
      <c r="AW427" s="50">
        <v>2.830188679245283</v>
      </c>
      <c r="AX427" s="49">
        <v>2</v>
      </c>
      <c r="AY427" s="50">
        <v>1.8867924528301887</v>
      </c>
      <c r="AZ427" s="49">
        <v>0</v>
      </c>
      <c r="BA427" s="50">
        <v>0</v>
      </c>
      <c r="BB427" s="49">
        <v>101</v>
      </c>
      <c r="BC427" s="50">
        <v>95.28301886792453</v>
      </c>
      <c r="BD427" s="49">
        <v>106</v>
      </c>
      <c r="BE427" s="49"/>
      <c r="BF427" s="49"/>
      <c r="BG427" s="49"/>
      <c r="BH427" s="49"/>
      <c r="BI427" s="49"/>
      <c r="BJ427" s="49"/>
      <c r="BK427" s="111" t="s">
        <v>3785</v>
      </c>
      <c r="BL427" s="111" t="s">
        <v>3849</v>
      </c>
      <c r="BM427" s="111" t="s">
        <v>4232</v>
      </c>
      <c r="BN427" s="111" t="s">
        <v>4232</v>
      </c>
      <c r="BO427" s="2"/>
      <c r="BP427" s="3"/>
      <c r="BQ427" s="3"/>
      <c r="BR427" s="3"/>
      <c r="BS427" s="3"/>
    </row>
    <row r="428" spans="1:71" ht="15">
      <c r="A428" s="65" t="s">
        <v>762</v>
      </c>
      <c r="B428" s="66"/>
      <c r="C428" s="66"/>
      <c r="D428" s="67">
        <v>150</v>
      </c>
      <c r="E428" s="69"/>
      <c r="F428" s="103" t="str">
        <f>HYPERLINK("https://yt3.ggpht.com/ytc/AKedOLQxKbY9skcQbZzgi6-lZ2rT5yUoVE47Jw3IQwS13g=s88-c-k-c0x00ffffff-no-rj")</f>
        <v>https://yt3.ggpht.com/ytc/AKedOLQxKbY9skcQbZzgi6-lZ2rT5yUoVE47Jw3IQwS13g=s88-c-k-c0x00ffffff-no-rj</v>
      </c>
      <c r="G428" s="66"/>
      <c r="H428" s="70" t="s">
        <v>1829</v>
      </c>
      <c r="I428" s="71"/>
      <c r="J428" s="71" t="s">
        <v>159</v>
      </c>
      <c r="K428" s="70" t="s">
        <v>1829</v>
      </c>
      <c r="L428" s="74">
        <v>1</v>
      </c>
      <c r="M428" s="75">
        <v>7424.78173828125</v>
      </c>
      <c r="N428" s="75">
        <v>2346.22705078125</v>
      </c>
      <c r="O428" s="76"/>
      <c r="P428" s="77"/>
      <c r="Q428" s="77"/>
      <c r="R428" s="89"/>
      <c r="S428" s="49">
        <v>0</v>
      </c>
      <c r="T428" s="49">
        <v>1</v>
      </c>
      <c r="U428" s="50">
        <v>0</v>
      </c>
      <c r="V428" s="50">
        <v>0.478122</v>
      </c>
      <c r="W428" s="50">
        <v>0.03471</v>
      </c>
      <c r="X428" s="50">
        <v>0.001935</v>
      </c>
      <c r="Y428" s="50">
        <v>0</v>
      </c>
      <c r="Z428" s="50">
        <v>0</v>
      </c>
      <c r="AA428" s="72">
        <v>428</v>
      </c>
      <c r="AB428" s="72"/>
      <c r="AC428" s="73"/>
      <c r="AD428" s="80" t="s">
        <v>1829</v>
      </c>
      <c r="AE428" s="80"/>
      <c r="AF428" s="80"/>
      <c r="AG428" s="80"/>
      <c r="AH428" s="80"/>
      <c r="AI428" s="80" t="s">
        <v>2083</v>
      </c>
      <c r="AJ428" s="87">
        <v>39341.70211805555</v>
      </c>
      <c r="AK428" s="85" t="str">
        <f>HYPERLINK("https://yt3.ggpht.com/ytc/AKedOLQxKbY9skcQbZzgi6-lZ2rT5yUoVE47Jw3IQwS13g=s88-c-k-c0x00ffffff-no-rj")</f>
        <v>https://yt3.ggpht.com/ytc/AKedOLQxKbY9skcQbZzgi6-lZ2rT5yUoVE47Jw3IQwS13g=s88-c-k-c0x00ffffff-no-rj</v>
      </c>
      <c r="AL428" s="80">
        <v>5103</v>
      </c>
      <c r="AM428" s="80">
        <v>0</v>
      </c>
      <c r="AN428" s="80">
        <v>7</v>
      </c>
      <c r="AO428" s="80" t="b">
        <v>0</v>
      </c>
      <c r="AP428" s="80">
        <v>164</v>
      </c>
      <c r="AQ428" s="80"/>
      <c r="AR428" s="80"/>
      <c r="AS428" s="80" t="s">
        <v>2085</v>
      </c>
      <c r="AT428" s="85" t="str">
        <f>HYPERLINK("https://www.youtube.com/channel/UCH4RfcM_vm4NN8BjeBgXCrg")</f>
        <v>https://www.youtube.com/channel/UCH4RfcM_vm4NN8BjeBgXCrg</v>
      </c>
      <c r="AU428" s="80" t="str">
        <f>REPLACE(INDEX(GroupVertices[Group],MATCH(Vertices[[#This Row],[Vertex]],GroupVertices[Vertex],0)),1,1,"")</f>
        <v>1</v>
      </c>
      <c r="AV428" s="49">
        <v>1</v>
      </c>
      <c r="AW428" s="50">
        <v>3.4482758620689653</v>
      </c>
      <c r="AX428" s="49">
        <v>1</v>
      </c>
      <c r="AY428" s="50">
        <v>3.4482758620689653</v>
      </c>
      <c r="AZ428" s="49">
        <v>0</v>
      </c>
      <c r="BA428" s="50">
        <v>0</v>
      </c>
      <c r="BB428" s="49">
        <v>27</v>
      </c>
      <c r="BC428" s="50">
        <v>93.10344827586206</v>
      </c>
      <c r="BD428" s="49">
        <v>29</v>
      </c>
      <c r="BE428" s="49" t="s">
        <v>3236</v>
      </c>
      <c r="BF428" s="49" t="s">
        <v>3236</v>
      </c>
      <c r="BG428" s="49" t="s">
        <v>1922</v>
      </c>
      <c r="BH428" s="49" t="s">
        <v>1922</v>
      </c>
      <c r="BI428" s="49"/>
      <c r="BJ428" s="49"/>
      <c r="BK428" s="111" t="s">
        <v>3786</v>
      </c>
      <c r="BL428" s="111" t="s">
        <v>3786</v>
      </c>
      <c r="BM428" s="111" t="s">
        <v>4233</v>
      </c>
      <c r="BN428" s="111" t="s">
        <v>4233</v>
      </c>
      <c r="BO428" s="2"/>
      <c r="BP428" s="3"/>
      <c r="BQ428" s="3"/>
      <c r="BR428" s="3"/>
      <c r="BS428" s="3"/>
    </row>
    <row r="429" spans="1:71" ht="15">
      <c r="A429" s="65" t="s">
        <v>763</v>
      </c>
      <c r="B429" s="66"/>
      <c r="C429" s="66"/>
      <c r="D429" s="67">
        <v>150</v>
      </c>
      <c r="E429" s="69"/>
      <c r="F429" s="103" t="str">
        <f>HYPERLINK("https://yt3.ggpht.com/ytc/AKedOLRESnIc2LNEsb3Tf8b4-GbEgYJ4pFStZbmC=s88-c-k-c0x00ffffff-no-rj")</f>
        <v>https://yt3.ggpht.com/ytc/AKedOLRESnIc2LNEsb3Tf8b4-GbEgYJ4pFStZbmC=s88-c-k-c0x00ffffff-no-rj</v>
      </c>
      <c r="G429" s="66"/>
      <c r="H429" s="70" t="s">
        <v>1830</v>
      </c>
      <c r="I429" s="71"/>
      <c r="J429" s="71" t="s">
        <v>159</v>
      </c>
      <c r="K429" s="70" t="s">
        <v>1830</v>
      </c>
      <c r="L429" s="74">
        <v>1</v>
      </c>
      <c r="M429" s="75">
        <v>7691.91455078125</v>
      </c>
      <c r="N429" s="75">
        <v>2870.259521484375</v>
      </c>
      <c r="O429" s="76"/>
      <c r="P429" s="77"/>
      <c r="Q429" s="77"/>
      <c r="R429" s="89"/>
      <c r="S429" s="49">
        <v>0</v>
      </c>
      <c r="T429" s="49">
        <v>1</v>
      </c>
      <c r="U429" s="50">
        <v>0</v>
      </c>
      <c r="V429" s="50">
        <v>0.478122</v>
      </c>
      <c r="W429" s="50">
        <v>0.03471</v>
      </c>
      <c r="X429" s="50">
        <v>0.001935</v>
      </c>
      <c r="Y429" s="50">
        <v>0</v>
      </c>
      <c r="Z429" s="50">
        <v>0</v>
      </c>
      <c r="AA429" s="72">
        <v>429</v>
      </c>
      <c r="AB429" s="72"/>
      <c r="AC429" s="73"/>
      <c r="AD429" s="80" t="s">
        <v>1830</v>
      </c>
      <c r="AE429" s="80" t="s">
        <v>2044</v>
      </c>
      <c r="AF429" s="80"/>
      <c r="AG429" s="80"/>
      <c r="AH429" s="80"/>
      <c r="AI429" s="80"/>
      <c r="AJ429" s="87">
        <v>40185.52290509259</v>
      </c>
      <c r="AK429" s="85" t="str">
        <f>HYPERLINK("https://yt3.ggpht.com/ytc/AKedOLRESnIc2LNEsb3Tf8b4-GbEgYJ4pFStZbmC=s88-c-k-c0x00ffffff-no-rj")</f>
        <v>https://yt3.ggpht.com/ytc/AKedOLRESnIc2LNEsb3Tf8b4-GbEgYJ4pFStZbmC=s88-c-k-c0x00ffffff-no-rj</v>
      </c>
      <c r="AL429" s="80">
        <v>10883</v>
      </c>
      <c r="AM429" s="80">
        <v>0</v>
      </c>
      <c r="AN429" s="80">
        <v>12</v>
      </c>
      <c r="AO429" s="80" t="b">
        <v>0</v>
      </c>
      <c r="AP429" s="80">
        <v>8</v>
      </c>
      <c r="AQ429" s="80"/>
      <c r="AR429" s="80"/>
      <c r="AS429" s="80" t="s">
        <v>2085</v>
      </c>
      <c r="AT429" s="85" t="str">
        <f>HYPERLINK("https://www.youtube.com/channel/UCWIyHlLDLM7SLBKwmVcRK9w")</f>
        <v>https://www.youtube.com/channel/UCWIyHlLDLM7SLBKwmVcRK9w</v>
      </c>
      <c r="AU429" s="80" t="str">
        <f>REPLACE(INDEX(GroupVertices[Group],MATCH(Vertices[[#This Row],[Vertex]],GroupVertices[Vertex],0)),1,1,"")</f>
        <v>1</v>
      </c>
      <c r="AV429" s="49">
        <v>0</v>
      </c>
      <c r="AW429" s="50">
        <v>0</v>
      </c>
      <c r="AX429" s="49">
        <v>0</v>
      </c>
      <c r="AY429" s="50">
        <v>0</v>
      </c>
      <c r="AZ429" s="49">
        <v>0</v>
      </c>
      <c r="BA429" s="50">
        <v>0</v>
      </c>
      <c r="BB429" s="49">
        <v>4</v>
      </c>
      <c r="BC429" s="50">
        <v>100</v>
      </c>
      <c r="BD429" s="49">
        <v>4</v>
      </c>
      <c r="BE429" s="49"/>
      <c r="BF429" s="49"/>
      <c r="BG429" s="49"/>
      <c r="BH429" s="49"/>
      <c r="BI429" s="49"/>
      <c r="BJ429" s="49"/>
      <c r="BK429" s="111" t="s">
        <v>3787</v>
      </c>
      <c r="BL429" s="111" t="s">
        <v>3787</v>
      </c>
      <c r="BM429" s="111" t="s">
        <v>4234</v>
      </c>
      <c r="BN429" s="111" t="s">
        <v>4234</v>
      </c>
      <c r="BO429" s="2"/>
      <c r="BP429" s="3"/>
      <c r="BQ429" s="3"/>
      <c r="BR429" s="3"/>
      <c r="BS429" s="3"/>
    </row>
    <row r="430" spans="1:71" ht="15">
      <c r="A430" s="65" t="s">
        <v>764</v>
      </c>
      <c r="B430" s="66"/>
      <c r="C430" s="66"/>
      <c r="D430" s="67">
        <v>150</v>
      </c>
      <c r="E430" s="69"/>
      <c r="F430" s="103" t="str">
        <f>HYPERLINK("https://yt3.ggpht.com/ytc/AKedOLTkrvYHPHqK1XQoN2fiSISFkThdaZNPoZ4GfqYg=s88-c-k-c0x00ffffff-no-rj")</f>
        <v>https://yt3.ggpht.com/ytc/AKedOLTkrvYHPHqK1XQoN2fiSISFkThdaZNPoZ4GfqYg=s88-c-k-c0x00ffffff-no-rj</v>
      </c>
      <c r="G430" s="66"/>
      <c r="H430" s="70" t="s">
        <v>1831</v>
      </c>
      <c r="I430" s="71"/>
      <c r="J430" s="71" t="s">
        <v>159</v>
      </c>
      <c r="K430" s="70" t="s">
        <v>1831</v>
      </c>
      <c r="L430" s="74">
        <v>1</v>
      </c>
      <c r="M430" s="75">
        <v>1902.138671875</v>
      </c>
      <c r="N430" s="75">
        <v>3024.07666015625</v>
      </c>
      <c r="O430" s="76"/>
      <c r="P430" s="77"/>
      <c r="Q430" s="77"/>
      <c r="R430" s="89"/>
      <c r="S430" s="49">
        <v>0</v>
      </c>
      <c r="T430" s="49">
        <v>1</v>
      </c>
      <c r="U430" s="50">
        <v>0</v>
      </c>
      <c r="V430" s="50">
        <v>0.478122</v>
      </c>
      <c r="W430" s="50">
        <v>0.03471</v>
      </c>
      <c r="X430" s="50">
        <v>0.001935</v>
      </c>
      <c r="Y430" s="50">
        <v>0</v>
      </c>
      <c r="Z430" s="50">
        <v>0</v>
      </c>
      <c r="AA430" s="72">
        <v>430</v>
      </c>
      <c r="AB430" s="72"/>
      <c r="AC430" s="73"/>
      <c r="AD430" s="80" t="s">
        <v>1831</v>
      </c>
      <c r="AE430" s="80"/>
      <c r="AF430" s="80"/>
      <c r="AG430" s="80"/>
      <c r="AH430" s="80"/>
      <c r="AI430" s="80"/>
      <c r="AJ430" s="87">
        <v>41548.93342592593</v>
      </c>
      <c r="AK430" s="85" t="str">
        <f>HYPERLINK("https://yt3.ggpht.com/ytc/AKedOLTkrvYHPHqK1XQoN2fiSISFkThdaZNPoZ4GfqYg=s88-c-k-c0x00ffffff-no-rj")</f>
        <v>https://yt3.ggpht.com/ytc/AKedOLTkrvYHPHqK1XQoN2fiSISFkThdaZNPoZ4GfqYg=s88-c-k-c0x00ffffff-no-rj</v>
      </c>
      <c r="AL430" s="80">
        <v>400061</v>
      </c>
      <c r="AM430" s="80">
        <v>0</v>
      </c>
      <c r="AN430" s="80">
        <v>852</v>
      </c>
      <c r="AO430" s="80" t="b">
        <v>0</v>
      </c>
      <c r="AP430" s="80">
        <v>10</v>
      </c>
      <c r="AQ430" s="80"/>
      <c r="AR430" s="80"/>
      <c r="AS430" s="80" t="s">
        <v>2085</v>
      </c>
      <c r="AT430" s="85" t="str">
        <f>HYPERLINK("https://www.youtube.com/channel/UC66x2x2MlwIWi_wI4429K8g")</f>
        <v>https://www.youtube.com/channel/UC66x2x2MlwIWi_wI4429K8g</v>
      </c>
      <c r="AU430" s="80" t="str">
        <f>REPLACE(INDEX(GroupVertices[Group],MATCH(Vertices[[#This Row],[Vertex]],GroupVertices[Vertex],0)),1,1,"")</f>
        <v>1</v>
      </c>
      <c r="AV430" s="49">
        <v>0</v>
      </c>
      <c r="AW430" s="50">
        <v>0</v>
      </c>
      <c r="AX430" s="49">
        <v>1</v>
      </c>
      <c r="AY430" s="50">
        <v>11.11111111111111</v>
      </c>
      <c r="AZ430" s="49">
        <v>0</v>
      </c>
      <c r="BA430" s="50">
        <v>0</v>
      </c>
      <c r="BB430" s="49">
        <v>8</v>
      </c>
      <c r="BC430" s="50">
        <v>88.88888888888889</v>
      </c>
      <c r="BD430" s="49">
        <v>9</v>
      </c>
      <c r="BE430" s="49"/>
      <c r="BF430" s="49"/>
      <c r="BG430" s="49"/>
      <c r="BH430" s="49"/>
      <c r="BI430" s="49"/>
      <c r="BJ430" s="49"/>
      <c r="BK430" s="111" t="s">
        <v>3788</v>
      </c>
      <c r="BL430" s="111" t="s">
        <v>3788</v>
      </c>
      <c r="BM430" s="111" t="s">
        <v>4235</v>
      </c>
      <c r="BN430" s="111" t="s">
        <v>4235</v>
      </c>
      <c r="BO430" s="2"/>
      <c r="BP430" s="3"/>
      <c r="BQ430" s="3"/>
      <c r="BR430" s="3"/>
      <c r="BS430" s="3"/>
    </row>
    <row r="431" spans="1:71" ht="15">
      <c r="A431" s="65" t="s">
        <v>765</v>
      </c>
      <c r="B431" s="66"/>
      <c r="C431" s="66"/>
      <c r="D431" s="67">
        <v>150</v>
      </c>
      <c r="E431" s="69"/>
      <c r="F431" s="103" t="str">
        <f>HYPERLINK("https://yt3.ggpht.com/ytc/AKedOLTFWdCBr-ubT7wKnMu3sFIUS8g8VCOgtBI_Ox85=s88-c-k-c0x00ffffff-no-rj")</f>
        <v>https://yt3.ggpht.com/ytc/AKedOLTFWdCBr-ubT7wKnMu3sFIUS8g8VCOgtBI_Ox85=s88-c-k-c0x00ffffff-no-rj</v>
      </c>
      <c r="G431" s="66"/>
      <c r="H431" s="70" t="s">
        <v>1832</v>
      </c>
      <c r="I431" s="71"/>
      <c r="J431" s="71" t="s">
        <v>159</v>
      </c>
      <c r="K431" s="70" t="s">
        <v>1832</v>
      </c>
      <c r="L431" s="74">
        <v>1</v>
      </c>
      <c r="M431" s="75">
        <v>1844.0069580078125</v>
      </c>
      <c r="N431" s="75">
        <v>1311.8714599609375</v>
      </c>
      <c r="O431" s="76"/>
      <c r="P431" s="77"/>
      <c r="Q431" s="77"/>
      <c r="R431" s="89"/>
      <c r="S431" s="49">
        <v>0</v>
      </c>
      <c r="T431" s="49">
        <v>1</v>
      </c>
      <c r="U431" s="50">
        <v>0</v>
      </c>
      <c r="V431" s="50">
        <v>0.478122</v>
      </c>
      <c r="W431" s="50">
        <v>0.03471</v>
      </c>
      <c r="X431" s="50">
        <v>0.001935</v>
      </c>
      <c r="Y431" s="50">
        <v>0</v>
      </c>
      <c r="Z431" s="50">
        <v>0</v>
      </c>
      <c r="AA431" s="72">
        <v>431</v>
      </c>
      <c r="AB431" s="72"/>
      <c r="AC431" s="73"/>
      <c r="AD431" s="80" t="s">
        <v>1832</v>
      </c>
      <c r="AE431" s="80" t="s">
        <v>2045</v>
      </c>
      <c r="AF431" s="80"/>
      <c r="AG431" s="80"/>
      <c r="AH431" s="80"/>
      <c r="AI431" s="80"/>
      <c r="AJ431" s="87">
        <v>41587.02087962963</v>
      </c>
      <c r="AK431" s="85" t="str">
        <f>HYPERLINK("https://yt3.ggpht.com/ytc/AKedOLTFWdCBr-ubT7wKnMu3sFIUS8g8VCOgtBI_Ox85=s88-c-k-c0x00ffffff-no-rj")</f>
        <v>https://yt3.ggpht.com/ytc/AKedOLTFWdCBr-ubT7wKnMu3sFIUS8g8VCOgtBI_Ox85=s88-c-k-c0x00ffffff-no-rj</v>
      </c>
      <c r="AL431" s="80">
        <v>32789</v>
      </c>
      <c r="AM431" s="80">
        <v>0</v>
      </c>
      <c r="AN431" s="80">
        <v>182</v>
      </c>
      <c r="AO431" s="80" t="b">
        <v>0</v>
      </c>
      <c r="AP431" s="80">
        <v>111</v>
      </c>
      <c r="AQ431" s="80"/>
      <c r="AR431" s="80"/>
      <c r="AS431" s="80" t="s">
        <v>2085</v>
      </c>
      <c r="AT431" s="85" t="str">
        <f>HYPERLINK("https://www.youtube.com/channel/UCHA9J_ssmzA2G3eSrDCZ3MQ")</f>
        <v>https://www.youtube.com/channel/UCHA9J_ssmzA2G3eSrDCZ3MQ</v>
      </c>
      <c r="AU431" s="80" t="str">
        <f>REPLACE(INDEX(GroupVertices[Group],MATCH(Vertices[[#This Row],[Vertex]],GroupVertices[Vertex],0)),1,1,"")</f>
        <v>1</v>
      </c>
      <c r="AV431" s="49">
        <v>2</v>
      </c>
      <c r="AW431" s="50">
        <v>28.571428571428573</v>
      </c>
      <c r="AX431" s="49">
        <v>0</v>
      </c>
      <c r="AY431" s="50">
        <v>0</v>
      </c>
      <c r="AZ431" s="49">
        <v>0</v>
      </c>
      <c r="BA431" s="50">
        <v>0</v>
      </c>
      <c r="BB431" s="49">
        <v>5</v>
      </c>
      <c r="BC431" s="50">
        <v>71.42857142857143</v>
      </c>
      <c r="BD431" s="49">
        <v>7</v>
      </c>
      <c r="BE431" s="49"/>
      <c r="BF431" s="49"/>
      <c r="BG431" s="49"/>
      <c r="BH431" s="49"/>
      <c r="BI431" s="49"/>
      <c r="BJ431" s="49"/>
      <c r="BK431" s="111" t="s">
        <v>3789</v>
      </c>
      <c r="BL431" s="111" t="s">
        <v>3789</v>
      </c>
      <c r="BM431" s="111" t="s">
        <v>4236</v>
      </c>
      <c r="BN431" s="111" t="s">
        <v>4236</v>
      </c>
      <c r="BO431" s="2"/>
      <c r="BP431" s="3"/>
      <c r="BQ431" s="3"/>
      <c r="BR431" s="3"/>
      <c r="BS431" s="3"/>
    </row>
    <row r="432" spans="1:71" ht="15">
      <c r="A432" s="65" t="s">
        <v>766</v>
      </c>
      <c r="B432" s="66"/>
      <c r="C432" s="66"/>
      <c r="D432" s="67">
        <v>150</v>
      </c>
      <c r="E432" s="69"/>
      <c r="F432" s="103" t="str">
        <f>HYPERLINK("https://yt3.ggpht.com/ytc/AKedOLS2CaU1W6sAUfyNmoUlJVfPcr4kLzAXG-5ND9ecrg=s88-c-k-c0x00ffffff-no-rj")</f>
        <v>https://yt3.ggpht.com/ytc/AKedOLS2CaU1W6sAUfyNmoUlJVfPcr4kLzAXG-5ND9ecrg=s88-c-k-c0x00ffffff-no-rj</v>
      </c>
      <c r="G432" s="66"/>
      <c r="H432" s="70" t="s">
        <v>1833</v>
      </c>
      <c r="I432" s="71"/>
      <c r="J432" s="71" t="s">
        <v>159</v>
      </c>
      <c r="K432" s="70" t="s">
        <v>1833</v>
      </c>
      <c r="L432" s="74">
        <v>1</v>
      </c>
      <c r="M432" s="75">
        <v>3601.988037109375</v>
      </c>
      <c r="N432" s="75">
        <v>2274.524169921875</v>
      </c>
      <c r="O432" s="76"/>
      <c r="P432" s="77"/>
      <c r="Q432" s="77"/>
      <c r="R432" s="89"/>
      <c r="S432" s="49">
        <v>0</v>
      </c>
      <c r="T432" s="49">
        <v>1</v>
      </c>
      <c r="U432" s="50">
        <v>0</v>
      </c>
      <c r="V432" s="50">
        <v>0.478122</v>
      </c>
      <c r="W432" s="50">
        <v>0.03471</v>
      </c>
      <c r="X432" s="50">
        <v>0.001935</v>
      </c>
      <c r="Y432" s="50">
        <v>0</v>
      </c>
      <c r="Z432" s="50">
        <v>0</v>
      </c>
      <c r="AA432" s="72">
        <v>432</v>
      </c>
      <c r="AB432" s="72"/>
      <c r="AC432" s="73"/>
      <c r="AD432" s="80" t="s">
        <v>1833</v>
      </c>
      <c r="AE432" s="80" t="s">
        <v>2046</v>
      </c>
      <c r="AF432" s="80"/>
      <c r="AG432" s="80"/>
      <c r="AH432" s="80"/>
      <c r="AI432" s="80"/>
      <c r="AJ432" s="87">
        <v>41244.065358796295</v>
      </c>
      <c r="AK432" s="85" t="str">
        <f>HYPERLINK("https://yt3.ggpht.com/ytc/AKedOLS2CaU1W6sAUfyNmoUlJVfPcr4kLzAXG-5ND9ecrg=s88-c-k-c0x00ffffff-no-rj")</f>
        <v>https://yt3.ggpht.com/ytc/AKedOLS2CaU1W6sAUfyNmoUlJVfPcr4kLzAXG-5ND9ecrg=s88-c-k-c0x00ffffff-no-rj</v>
      </c>
      <c r="AL432" s="80">
        <v>4361</v>
      </c>
      <c r="AM432" s="80">
        <v>0</v>
      </c>
      <c r="AN432" s="80">
        <v>43</v>
      </c>
      <c r="AO432" s="80" t="b">
        <v>0</v>
      </c>
      <c r="AP432" s="80">
        <v>8</v>
      </c>
      <c r="AQ432" s="80"/>
      <c r="AR432" s="80"/>
      <c r="AS432" s="80" t="s">
        <v>2085</v>
      </c>
      <c r="AT432" s="85" t="str">
        <f>HYPERLINK("https://www.youtube.com/channel/UCPVkkumCndZboahNYXKfMiA")</f>
        <v>https://www.youtube.com/channel/UCPVkkumCndZboahNYXKfMiA</v>
      </c>
      <c r="AU432" s="80" t="str">
        <f>REPLACE(INDEX(GroupVertices[Group],MATCH(Vertices[[#This Row],[Vertex]],GroupVertices[Vertex],0)),1,1,"")</f>
        <v>1</v>
      </c>
      <c r="AV432" s="49">
        <v>0</v>
      </c>
      <c r="AW432" s="50">
        <v>0</v>
      </c>
      <c r="AX432" s="49">
        <v>0</v>
      </c>
      <c r="AY432" s="50">
        <v>0</v>
      </c>
      <c r="AZ432" s="49">
        <v>0</v>
      </c>
      <c r="BA432" s="50">
        <v>0</v>
      </c>
      <c r="BB432" s="49">
        <v>18</v>
      </c>
      <c r="BC432" s="50">
        <v>100</v>
      </c>
      <c r="BD432" s="49">
        <v>18</v>
      </c>
      <c r="BE432" s="49" t="s">
        <v>3235</v>
      </c>
      <c r="BF432" s="49" t="s">
        <v>3235</v>
      </c>
      <c r="BG432" s="49" t="s">
        <v>1922</v>
      </c>
      <c r="BH432" s="49" t="s">
        <v>1922</v>
      </c>
      <c r="BI432" s="49"/>
      <c r="BJ432" s="49"/>
      <c r="BK432" s="111" t="s">
        <v>3790</v>
      </c>
      <c r="BL432" s="111" t="s">
        <v>3790</v>
      </c>
      <c r="BM432" s="111" t="s">
        <v>4237</v>
      </c>
      <c r="BN432" s="111" t="s">
        <v>4237</v>
      </c>
      <c r="BO432" s="2"/>
      <c r="BP432" s="3"/>
      <c r="BQ432" s="3"/>
      <c r="BR432" s="3"/>
      <c r="BS432" s="3"/>
    </row>
    <row r="433" spans="1:71" ht="15">
      <c r="A433" s="65" t="s">
        <v>767</v>
      </c>
      <c r="B433" s="66"/>
      <c r="C433" s="66"/>
      <c r="D433" s="67">
        <v>150</v>
      </c>
      <c r="E433" s="69"/>
      <c r="F433" s="103" t="str">
        <f>HYPERLINK("https://yt3.ggpht.com/QudwovszyCWpfQmI2-MuISc8YAM8xxTlDxz4CGt1hgu8JU-yfZVI9UYjKRQqKcTN9P1xEyoSIDQ=s88-c-k-c0x00ffffff-no-rj")</f>
        <v>https://yt3.ggpht.com/QudwovszyCWpfQmI2-MuISc8YAM8xxTlDxz4CGt1hgu8JU-yfZVI9UYjKRQqKcTN9P1xEyoSIDQ=s88-c-k-c0x00ffffff-no-rj</v>
      </c>
      <c r="G433" s="66"/>
      <c r="H433" s="70" t="s">
        <v>1834</v>
      </c>
      <c r="I433" s="71"/>
      <c r="J433" s="71" t="s">
        <v>159</v>
      </c>
      <c r="K433" s="70" t="s">
        <v>1834</v>
      </c>
      <c r="L433" s="74">
        <v>1</v>
      </c>
      <c r="M433" s="75">
        <v>115.95690155029297</v>
      </c>
      <c r="N433" s="75">
        <v>4751.79931640625</v>
      </c>
      <c r="O433" s="76"/>
      <c r="P433" s="77"/>
      <c r="Q433" s="77"/>
      <c r="R433" s="89"/>
      <c r="S433" s="49">
        <v>0</v>
      </c>
      <c r="T433" s="49">
        <v>1</v>
      </c>
      <c r="U433" s="50">
        <v>0</v>
      </c>
      <c r="V433" s="50">
        <v>0.478122</v>
      </c>
      <c r="W433" s="50">
        <v>0.03471</v>
      </c>
      <c r="X433" s="50">
        <v>0.001935</v>
      </c>
      <c r="Y433" s="50">
        <v>0</v>
      </c>
      <c r="Z433" s="50">
        <v>0</v>
      </c>
      <c r="AA433" s="72">
        <v>433</v>
      </c>
      <c r="AB433" s="72"/>
      <c r="AC433" s="73"/>
      <c r="AD433" s="80" t="s">
        <v>1834</v>
      </c>
      <c r="AE433" s="80" t="s">
        <v>2047</v>
      </c>
      <c r="AF433" s="80"/>
      <c r="AG433" s="80"/>
      <c r="AH433" s="80"/>
      <c r="AI433" s="80"/>
      <c r="AJ433" s="87">
        <v>44182.39556712963</v>
      </c>
      <c r="AK433" s="85" t="str">
        <f>HYPERLINK("https://yt3.ggpht.com/QudwovszyCWpfQmI2-MuISc8YAM8xxTlDxz4CGt1hgu8JU-yfZVI9UYjKRQqKcTN9P1xEyoSIDQ=s88-c-k-c0x00ffffff-no-rj")</f>
        <v>https://yt3.ggpht.com/QudwovszyCWpfQmI2-MuISc8YAM8xxTlDxz4CGt1hgu8JU-yfZVI9UYjKRQqKcTN9P1xEyoSIDQ=s88-c-k-c0x00ffffff-no-rj</v>
      </c>
      <c r="AL433" s="80">
        <v>19</v>
      </c>
      <c r="AM433" s="80">
        <v>0</v>
      </c>
      <c r="AN433" s="80">
        <v>3</v>
      </c>
      <c r="AO433" s="80" t="b">
        <v>0</v>
      </c>
      <c r="AP433" s="80">
        <v>2</v>
      </c>
      <c r="AQ433" s="80"/>
      <c r="AR433" s="80"/>
      <c r="AS433" s="80" t="s">
        <v>2085</v>
      </c>
      <c r="AT433" s="85" t="str">
        <f>HYPERLINK("https://www.youtube.com/channel/UCNMedR2qj7QNsV6Ofy6fqLQ")</f>
        <v>https://www.youtube.com/channel/UCNMedR2qj7QNsV6Ofy6fqLQ</v>
      </c>
      <c r="AU433" s="80" t="str">
        <f>REPLACE(INDEX(GroupVertices[Group],MATCH(Vertices[[#This Row],[Vertex]],GroupVertices[Vertex],0)),1,1,"")</f>
        <v>1</v>
      </c>
      <c r="AV433" s="49">
        <v>0</v>
      </c>
      <c r="AW433" s="50">
        <v>0</v>
      </c>
      <c r="AX433" s="49">
        <v>0</v>
      </c>
      <c r="AY433" s="50">
        <v>0</v>
      </c>
      <c r="AZ433" s="49">
        <v>0</v>
      </c>
      <c r="BA433" s="50">
        <v>0</v>
      </c>
      <c r="BB433" s="49">
        <v>6</v>
      </c>
      <c r="BC433" s="50">
        <v>100</v>
      </c>
      <c r="BD433" s="49">
        <v>6</v>
      </c>
      <c r="BE433" s="49"/>
      <c r="BF433" s="49"/>
      <c r="BG433" s="49"/>
      <c r="BH433" s="49"/>
      <c r="BI433" s="49"/>
      <c r="BJ433" s="49"/>
      <c r="BK433" s="111" t="s">
        <v>3791</v>
      </c>
      <c r="BL433" s="111" t="s">
        <v>3791</v>
      </c>
      <c r="BM433" s="111" t="s">
        <v>4238</v>
      </c>
      <c r="BN433" s="111" t="s">
        <v>4238</v>
      </c>
      <c r="BO433" s="2"/>
      <c r="BP433" s="3"/>
      <c r="BQ433" s="3"/>
      <c r="BR433" s="3"/>
      <c r="BS433" s="3"/>
    </row>
    <row r="434" spans="1:71" ht="15">
      <c r="A434" s="65" t="s">
        <v>768</v>
      </c>
      <c r="B434" s="66"/>
      <c r="C434" s="66"/>
      <c r="D434" s="67">
        <v>150</v>
      </c>
      <c r="E434" s="69"/>
      <c r="F434" s="103" t="str">
        <f>HYPERLINK("https://yt3.ggpht.com/ytc/AKedOLSXV3Sxvx1msnUJGVGBb0jAuM6UlidX21T-6A=s88-c-k-c0x00ffffff-no-rj")</f>
        <v>https://yt3.ggpht.com/ytc/AKedOLSXV3Sxvx1msnUJGVGBb0jAuM6UlidX21T-6A=s88-c-k-c0x00ffffff-no-rj</v>
      </c>
      <c r="G434" s="66"/>
      <c r="H434" s="70" t="s">
        <v>1835</v>
      </c>
      <c r="I434" s="71"/>
      <c r="J434" s="71" t="s">
        <v>159</v>
      </c>
      <c r="K434" s="70" t="s">
        <v>1835</v>
      </c>
      <c r="L434" s="74">
        <v>1</v>
      </c>
      <c r="M434" s="75">
        <v>2172.364013671875</v>
      </c>
      <c r="N434" s="75">
        <v>1608.05712890625</v>
      </c>
      <c r="O434" s="76"/>
      <c r="P434" s="77"/>
      <c r="Q434" s="77"/>
      <c r="R434" s="89"/>
      <c r="S434" s="49">
        <v>0</v>
      </c>
      <c r="T434" s="49">
        <v>1</v>
      </c>
      <c r="U434" s="50">
        <v>0</v>
      </c>
      <c r="V434" s="50">
        <v>0.478122</v>
      </c>
      <c r="W434" s="50">
        <v>0.03471</v>
      </c>
      <c r="X434" s="50">
        <v>0.001935</v>
      </c>
      <c r="Y434" s="50">
        <v>0</v>
      </c>
      <c r="Z434" s="50">
        <v>0</v>
      </c>
      <c r="AA434" s="72">
        <v>434</v>
      </c>
      <c r="AB434" s="72"/>
      <c r="AC434" s="73"/>
      <c r="AD434" s="80" t="s">
        <v>1835</v>
      </c>
      <c r="AE434" s="80"/>
      <c r="AF434" s="80"/>
      <c r="AG434" s="80"/>
      <c r="AH434" s="80"/>
      <c r="AI434" s="80"/>
      <c r="AJ434" s="87">
        <v>42011.028229166666</v>
      </c>
      <c r="AK434" s="85" t="str">
        <f>HYPERLINK("https://yt3.ggpht.com/ytc/AKedOLSXV3Sxvx1msnUJGVGBb0jAuM6UlidX21T-6A=s88-c-k-c0x00ffffff-no-rj")</f>
        <v>https://yt3.ggpht.com/ytc/AKedOLSXV3Sxvx1msnUJGVGBb0jAuM6UlidX21T-6A=s88-c-k-c0x00ffffff-no-rj</v>
      </c>
      <c r="AL434" s="80">
        <v>372</v>
      </c>
      <c r="AM434" s="80">
        <v>0</v>
      </c>
      <c r="AN434" s="80">
        <v>2</v>
      </c>
      <c r="AO434" s="80" t="b">
        <v>0</v>
      </c>
      <c r="AP434" s="80">
        <v>6</v>
      </c>
      <c r="AQ434" s="80"/>
      <c r="AR434" s="80"/>
      <c r="AS434" s="80" t="s">
        <v>2085</v>
      </c>
      <c r="AT434" s="85" t="str">
        <f>HYPERLINK("https://www.youtube.com/channel/UCp2NneZubdLqDXKhxJar7_Q")</f>
        <v>https://www.youtube.com/channel/UCp2NneZubdLqDXKhxJar7_Q</v>
      </c>
      <c r="AU434" s="80" t="str">
        <f>REPLACE(INDEX(GroupVertices[Group],MATCH(Vertices[[#This Row],[Vertex]],GroupVertices[Vertex],0)),1,1,"")</f>
        <v>1</v>
      </c>
      <c r="AV434" s="49">
        <v>1</v>
      </c>
      <c r="AW434" s="50">
        <v>0.704225352112676</v>
      </c>
      <c r="AX434" s="49">
        <v>15</v>
      </c>
      <c r="AY434" s="50">
        <v>10.56338028169014</v>
      </c>
      <c r="AZ434" s="49">
        <v>0</v>
      </c>
      <c r="BA434" s="50">
        <v>0</v>
      </c>
      <c r="BB434" s="49">
        <v>126</v>
      </c>
      <c r="BC434" s="50">
        <v>88.73239436619718</v>
      </c>
      <c r="BD434" s="49">
        <v>142</v>
      </c>
      <c r="BE434" s="49"/>
      <c r="BF434" s="49"/>
      <c r="BG434" s="49"/>
      <c r="BH434" s="49"/>
      <c r="BI434" s="49"/>
      <c r="BJ434" s="49"/>
      <c r="BK434" s="111" t="s">
        <v>3792</v>
      </c>
      <c r="BL434" s="111" t="s">
        <v>3792</v>
      </c>
      <c r="BM434" s="111" t="s">
        <v>4239</v>
      </c>
      <c r="BN434" s="111" t="s">
        <v>4239</v>
      </c>
      <c r="BO434" s="2"/>
      <c r="BP434" s="3"/>
      <c r="BQ434" s="3"/>
      <c r="BR434" s="3"/>
      <c r="BS434" s="3"/>
    </row>
    <row r="435" spans="1:71" ht="15">
      <c r="A435" s="65" t="s">
        <v>769</v>
      </c>
      <c r="B435" s="66"/>
      <c r="C435" s="66"/>
      <c r="D435" s="67">
        <v>150</v>
      </c>
      <c r="E435" s="69"/>
      <c r="F435" s="103" t="str">
        <f>HYPERLINK("https://yt3.ggpht.com/ytc/AKedOLR_G5xEuLso-xGDS3YzQzEORC5RFQ8Ke0FJTA=s88-c-k-c0x00ffffff-no-rj")</f>
        <v>https://yt3.ggpht.com/ytc/AKedOLR_G5xEuLso-xGDS3YzQzEORC5RFQ8Ke0FJTA=s88-c-k-c0x00ffffff-no-rj</v>
      </c>
      <c r="G435" s="66"/>
      <c r="H435" s="70" t="s">
        <v>1836</v>
      </c>
      <c r="I435" s="71"/>
      <c r="J435" s="71" t="s">
        <v>159</v>
      </c>
      <c r="K435" s="70" t="s">
        <v>1836</v>
      </c>
      <c r="L435" s="74">
        <v>1</v>
      </c>
      <c r="M435" s="75">
        <v>7620.37451171875</v>
      </c>
      <c r="N435" s="75">
        <v>7163.1552734375</v>
      </c>
      <c r="O435" s="76"/>
      <c r="P435" s="77"/>
      <c r="Q435" s="77"/>
      <c r="R435" s="89"/>
      <c r="S435" s="49">
        <v>0</v>
      </c>
      <c r="T435" s="49">
        <v>1</v>
      </c>
      <c r="U435" s="50">
        <v>0</v>
      </c>
      <c r="V435" s="50">
        <v>0.478122</v>
      </c>
      <c r="W435" s="50">
        <v>0.03471</v>
      </c>
      <c r="X435" s="50">
        <v>0.001935</v>
      </c>
      <c r="Y435" s="50">
        <v>0</v>
      </c>
      <c r="Z435" s="50">
        <v>0</v>
      </c>
      <c r="AA435" s="72">
        <v>435</v>
      </c>
      <c r="AB435" s="72"/>
      <c r="AC435" s="73"/>
      <c r="AD435" s="80" t="s">
        <v>1836</v>
      </c>
      <c r="AE435" s="80"/>
      <c r="AF435" s="80"/>
      <c r="AG435" s="80"/>
      <c r="AH435" s="80"/>
      <c r="AI435" s="80"/>
      <c r="AJ435" s="87">
        <v>44314.304618055554</v>
      </c>
      <c r="AK435" s="85" t="str">
        <f>HYPERLINK("https://yt3.ggpht.com/ytc/AKedOLR_G5xEuLso-xGDS3YzQzEORC5RFQ8Ke0FJTA=s88-c-k-c0x00ffffff-no-rj")</f>
        <v>https://yt3.ggpht.com/ytc/AKedOLR_G5xEuLso-xGDS3YzQzEORC5RFQ8Ke0FJTA=s88-c-k-c0x00ffffff-no-rj</v>
      </c>
      <c r="AL435" s="80">
        <v>0</v>
      </c>
      <c r="AM435" s="80">
        <v>0</v>
      </c>
      <c r="AN435" s="80">
        <v>0</v>
      </c>
      <c r="AO435" s="80" t="b">
        <v>0</v>
      </c>
      <c r="AP435" s="80">
        <v>0</v>
      </c>
      <c r="AQ435" s="80"/>
      <c r="AR435" s="80"/>
      <c r="AS435" s="80" t="s">
        <v>2085</v>
      </c>
      <c r="AT435" s="85" t="str">
        <f>HYPERLINK("https://www.youtube.com/channel/UC9GSZMvA8kMBn__1GNk8JTA")</f>
        <v>https://www.youtube.com/channel/UC9GSZMvA8kMBn__1GNk8JTA</v>
      </c>
      <c r="AU435" s="80" t="str">
        <f>REPLACE(INDEX(GroupVertices[Group],MATCH(Vertices[[#This Row],[Vertex]],GroupVertices[Vertex],0)),1,1,"")</f>
        <v>1</v>
      </c>
      <c r="AV435" s="49">
        <v>3</v>
      </c>
      <c r="AW435" s="50">
        <v>6.818181818181818</v>
      </c>
      <c r="AX435" s="49">
        <v>1</v>
      </c>
      <c r="AY435" s="50">
        <v>2.272727272727273</v>
      </c>
      <c r="AZ435" s="49">
        <v>0</v>
      </c>
      <c r="BA435" s="50">
        <v>0</v>
      </c>
      <c r="BB435" s="49">
        <v>40</v>
      </c>
      <c r="BC435" s="50">
        <v>90.9090909090909</v>
      </c>
      <c r="BD435" s="49">
        <v>44</v>
      </c>
      <c r="BE435" s="49"/>
      <c r="BF435" s="49"/>
      <c r="BG435" s="49"/>
      <c r="BH435" s="49"/>
      <c r="BI435" s="49"/>
      <c r="BJ435" s="49"/>
      <c r="BK435" s="111" t="s">
        <v>3793</v>
      </c>
      <c r="BL435" s="111" t="s">
        <v>3793</v>
      </c>
      <c r="BM435" s="111" t="s">
        <v>4240</v>
      </c>
      <c r="BN435" s="111" t="s">
        <v>4240</v>
      </c>
      <c r="BO435" s="2"/>
      <c r="BP435" s="3"/>
      <c r="BQ435" s="3"/>
      <c r="BR435" s="3"/>
      <c r="BS435" s="3"/>
    </row>
    <row r="436" spans="1:71" ht="15">
      <c r="A436" s="65" t="s">
        <v>770</v>
      </c>
      <c r="B436" s="66"/>
      <c r="C436" s="66"/>
      <c r="D436" s="67">
        <v>150</v>
      </c>
      <c r="E436" s="69"/>
      <c r="F436" s="103" t="str">
        <f>HYPERLINK("https://yt3.ggpht.com/ytc/AKedOLSxCgxf1DEqqwzsoNY6oavKfM0kojvRuMyUxzD0lw=s88-c-k-c0x00ffffff-no-rj")</f>
        <v>https://yt3.ggpht.com/ytc/AKedOLSxCgxf1DEqqwzsoNY6oavKfM0kojvRuMyUxzD0lw=s88-c-k-c0x00ffffff-no-rj</v>
      </c>
      <c r="G436" s="66"/>
      <c r="H436" s="70" t="s">
        <v>1837</v>
      </c>
      <c r="I436" s="71"/>
      <c r="J436" s="71" t="s">
        <v>159</v>
      </c>
      <c r="K436" s="70" t="s">
        <v>1837</v>
      </c>
      <c r="L436" s="74">
        <v>1</v>
      </c>
      <c r="M436" s="75">
        <v>5682.99169921875</v>
      </c>
      <c r="N436" s="75">
        <v>8894.3349609375</v>
      </c>
      <c r="O436" s="76"/>
      <c r="P436" s="77"/>
      <c r="Q436" s="77"/>
      <c r="R436" s="89"/>
      <c r="S436" s="49">
        <v>0</v>
      </c>
      <c r="T436" s="49">
        <v>1</v>
      </c>
      <c r="U436" s="50">
        <v>0</v>
      </c>
      <c r="V436" s="50">
        <v>0.478122</v>
      </c>
      <c r="W436" s="50">
        <v>0.03471</v>
      </c>
      <c r="X436" s="50">
        <v>0.001935</v>
      </c>
      <c r="Y436" s="50">
        <v>0</v>
      </c>
      <c r="Z436" s="50">
        <v>0</v>
      </c>
      <c r="AA436" s="72">
        <v>436</v>
      </c>
      <c r="AB436" s="72"/>
      <c r="AC436" s="73"/>
      <c r="AD436" s="80" t="s">
        <v>1837</v>
      </c>
      <c r="AE436" s="80"/>
      <c r="AF436" s="80"/>
      <c r="AG436" s="80"/>
      <c r="AH436" s="80"/>
      <c r="AI436" s="80"/>
      <c r="AJ436" s="87">
        <v>42190.906643518516</v>
      </c>
      <c r="AK436" s="85" t="str">
        <f>HYPERLINK("https://yt3.ggpht.com/ytc/AKedOLSxCgxf1DEqqwzsoNY6oavKfM0kojvRuMyUxzD0lw=s88-c-k-c0x00ffffff-no-rj")</f>
        <v>https://yt3.ggpht.com/ytc/AKedOLSxCgxf1DEqqwzsoNY6oavKfM0kojvRuMyUxzD0lw=s88-c-k-c0x00ffffff-no-rj</v>
      </c>
      <c r="AL436" s="80">
        <v>0</v>
      </c>
      <c r="AM436" s="80">
        <v>0</v>
      </c>
      <c r="AN436" s="80">
        <v>0</v>
      </c>
      <c r="AO436" s="80" t="b">
        <v>0</v>
      </c>
      <c r="AP436" s="80">
        <v>0</v>
      </c>
      <c r="AQ436" s="80"/>
      <c r="AR436" s="80"/>
      <c r="AS436" s="80" t="s">
        <v>2085</v>
      </c>
      <c r="AT436" s="85" t="str">
        <f>HYPERLINK("https://www.youtube.com/channel/UClaqWbGvrbzjoGbt2qlvk-g")</f>
        <v>https://www.youtube.com/channel/UClaqWbGvrbzjoGbt2qlvk-g</v>
      </c>
      <c r="AU436" s="80" t="str">
        <f>REPLACE(INDEX(GroupVertices[Group],MATCH(Vertices[[#This Row],[Vertex]],GroupVertices[Vertex],0)),1,1,"")</f>
        <v>1</v>
      </c>
      <c r="AV436" s="49">
        <v>1</v>
      </c>
      <c r="AW436" s="50">
        <v>10</v>
      </c>
      <c r="AX436" s="49">
        <v>0</v>
      </c>
      <c r="AY436" s="50">
        <v>0</v>
      </c>
      <c r="AZ436" s="49">
        <v>0</v>
      </c>
      <c r="BA436" s="50">
        <v>0</v>
      </c>
      <c r="BB436" s="49">
        <v>9</v>
      </c>
      <c r="BC436" s="50">
        <v>90</v>
      </c>
      <c r="BD436" s="49">
        <v>10</v>
      </c>
      <c r="BE436" s="49"/>
      <c r="BF436" s="49"/>
      <c r="BG436" s="49"/>
      <c r="BH436" s="49"/>
      <c r="BI436" s="49"/>
      <c r="BJ436" s="49"/>
      <c r="BK436" s="111" t="s">
        <v>3794</v>
      </c>
      <c r="BL436" s="111" t="s">
        <v>3794</v>
      </c>
      <c r="BM436" s="111" t="s">
        <v>4241</v>
      </c>
      <c r="BN436" s="111" t="s">
        <v>4241</v>
      </c>
      <c r="BO436" s="2"/>
      <c r="BP436" s="3"/>
      <c r="BQ436" s="3"/>
      <c r="BR436" s="3"/>
      <c r="BS436" s="3"/>
    </row>
    <row r="437" spans="1:71" ht="15">
      <c r="A437" s="65" t="s">
        <v>771</v>
      </c>
      <c r="B437" s="66"/>
      <c r="C437" s="66"/>
      <c r="D437" s="67">
        <v>150</v>
      </c>
      <c r="E437" s="69"/>
      <c r="F437" s="103" t="str">
        <f>HYPERLINK("https://yt3.ggpht.com/ytc/AKedOLQHuEHxo4vzpprknCu9On4fZAkJjR7gUShkFYAXXw=s88-c-k-c0x00ffffff-no-rj")</f>
        <v>https://yt3.ggpht.com/ytc/AKedOLQHuEHxo4vzpprknCu9On4fZAkJjR7gUShkFYAXXw=s88-c-k-c0x00ffffff-no-rj</v>
      </c>
      <c r="G437" s="66"/>
      <c r="H437" s="70" t="s">
        <v>1838</v>
      </c>
      <c r="I437" s="71"/>
      <c r="J437" s="71" t="s">
        <v>159</v>
      </c>
      <c r="K437" s="70" t="s">
        <v>1838</v>
      </c>
      <c r="L437" s="74">
        <v>1</v>
      </c>
      <c r="M437" s="75">
        <v>2041.1951904296875</v>
      </c>
      <c r="N437" s="75">
        <v>6614.05712890625</v>
      </c>
      <c r="O437" s="76"/>
      <c r="P437" s="77"/>
      <c r="Q437" s="77"/>
      <c r="R437" s="89"/>
      <c r="S437" s="49">
        <v>0</v>
      </c>
      <c r="T437" s="49">
        <v>1</v>
      </c>
      <c r="U437" s="50">
        <v>0</v>
      </c>
      <c r="V437" s="50">
        <v>0.478122</v>
      </c>
      <c r="W437" s="50">
        <v>0.03471</v>
      </c>
      <c r="X437" s="50">
        <v>0.001935</v>
      </c>
      <c r="Y437" s="50">
        <v>0</v>
      </c>
      <c r="Z437" s="50">
        <v>0</v>
      </c>
      <c r="AA437" s="72">
        <v>437</v>
      </c>
      <c r="AB437" s="72"/>
      <c r="AC437" s="73"/>
      <c r="AD437" s="80" t="s">
        <v>1838</v>
      </c>
      <c r="AE437" s="80"/>
      <c r="AF437" s="80"/>
      <c r="AG437" s="80"/>
      <c r="AH437" s="80"/>
      <c r="AI437" s="80"/>
      <c r="AJ437" s="87">
        <v>41148.225648148145</v>
      </c>
      <c r="AK437" s="85" t="str">
        <f>HYPERLINK("https://yt3.ggpht.com/ytc/AKedOLQHuEHxo4vzpprknCu9On4fZAkJjR7gUShkFYAXXw=s88-c-k-c0x00ffffff-no-rj")</f>
        <v>https://yt3.ggpht.com/ytc/AKedOLQHuEHxo4vzpprknCu9On4fZAkJjR7gUShkFYAXXw=s88-c-k-c0x00ffffff-no-rj</v>
      </c>
      <c r="AL437" s="80">
        <v>74</v>
      </c>
      <c r="AM437" s="80">
        <v>0</v>
      </c>
      <c r="AN437" s="80">
        <v>1</v>
      </c>
      <c r="AO437" s="80" t="b">
        <v>0</v>
      </c>
      <c r="AP437" s="80">
        <v>4</v>
      </c>
      <c r="AQ437" s="80"/>
      <c r="AR437" s="80"/>
      <c r="AS437" s="80" t="s">
        <v>2085</v>
      </c>
      <c r="AT437" s="85" t="str">
        <f>HYPERLINK("https://www.youtube.com/channel/UCr3JXuoyBMQ6MqbtXojBJeQ")</f>
        <v>https://www.youtube.com/channel/UCr3JXuoyBMQ6MqbtXojBJeQ</v>
      </c>
      <c r="AU437" s="80" t="str">
        <f>REPLACE(INDEX(GroupVertices[Group],MATCH(Vertices[[#This Row],[Vertex]],GroupVertices[Vertex],0)),1,1,"")</f>
        <v>1</v>
      </c>
      <c r="AV437" s="49">
        <v>1</v>
      </c>
      <c r="AW437" s="50">
        <v>100</v>
      </c>
      <c r="AX437" s="49">
        <v>0</v>
      </c>
      <c r="AY437" s="50">
        <v>0</v>
      </c>
      <c r="AZ437" s="49">
        <v>0</v>
      </c>
      <c r="BA437" s="50">
        <v>0</v>
      </c>
      <c r="BB437" s="49">
        <v>0</v>
      </c>
      <c r="BC437" s="50">
        <v>0</v>
      </c>
      <c r="BD437" s="49">
        <v>1</v>
      </c>
      <c r="BE437" s="49"/>
      <c r="BF437" s="49"/>
      <c r="BG437" s="49"/>
      <c r="BH437" s="49"/>
      <c r="BI437" s="49"/>
      <c r="BJ437" s="49"/>
      <c r="BK437" s="111" t="s">
        <v>2143</v>
      </c>
      <c r="BL437" s="111" t="s">
        <v>2143</v>
      </c>
      <c r="BM437" s="111" t="s">
        <v>1927</v>
      </c>
      <c r="BN437" s="111" t="s">
        <v>1927</v>
      </c>
      <c r="BO437" s="2"/>
      <c r="BP437" s="3"/>
      <c r="BQ437" s="3"/>
      <c r="BR437" s="3"/>
      <c r="BS437" s="3"/>
    </row>
    <row r="438" spans="1:71" ht="15">
      <c r="A438" s="65" t="s">
        <v>772</v>
      </c>
      <c r="B438" s="66"/>
      <c r="C438" s="66"/>
      <c r="D438" s="67">
        <v>150</v>
      </c>
      <c r="E438" s="69"/>
      <c r="F438" s="103" t="str">
        <f>HYPERLINK("https://yt3.ggpht.com/ytc/AKedOLSGwQKAM7EH-FAuc4YKzT2SM7xbPoZ-55Sb5fbK=s88-c-k-c0x00ffffff-no-rj")</f>
        <v>https://yt3.ggpht.com/ytc/AKedOLSGwQKAM7EH-FAuc4YKzT2SM7xbPoZ-55Sb5fbK=s88-c-k-c0x00ffffff-no-rj</v>
      </c>
      <c r="G438" s="66"/>
      <c r="H438" s="70" t="s">
        <v>1839</v>
      </c>
      <c r="I438" s="71"/>
      <c r="J438" s="71" t="s">
        <v>159</v>
      </c>
      <c r="K438" s="70" t="s">
        <v>1839</v>
      </c>
      <c r="L438" s="74">
        <v>1</v>
      </c>
      <c r="M438" s="75">
        <v>7654.75732421875</v>
      </c>
      <c r="N438" s="75">
        <v>3397.930908203125</v>
      </c>
      <c r="O438" s="76"/>
      <c r="P438" s="77"/>
      <c r="Q438" s="77"/>
      <c r="R438" s="89"/>
      <c r="S438" s="49">
        <v>0</v>
      </c>
      <c r="T438" s="49">
        <v>1</v>
      </c>
      <c r="U438" s="50">
        <v>0</v>
      </c>
      <c r="V438" s="50">
        <v>0.478122</v>
      </c>
      <c r="W438" s="50">
        <v>0.03471</v>
      </c>
      <c r="X438" s="50">
        <v>0.001935</v>
      </c>
      <c r="Y438" s="50">
        <v>0</v>
      </c>
      <c r="Z438" s="50">
        <v>0</v>
      </c>
      <c r="AA438" s="72">
        <v>438</v>
      </c>
      <c r="AB438" s="72"/>
      <c r="AC438" s="73"/>
      <c r="AD438" s="80" t="s">
        <v>1839</v>
      </c>
      <c r="AE438" s="80" t="s">
        <v>2048</v>
      </c>
      <c r="AF438" s="80"/>
      <c r="AG438" s="80"/>
      <c r="AH438" s="80"/>
      <c r="AI438" s="80"/>
      <c r="AJ438" s="87">
        <v>42278.0675462963</v>
      </c>
      <c r="AK438" s="85" t="str">
        <f>HYPERLINK("https://yt3.ggpht.com/ytc/AKedOLSGwQKAM7EH-FAuc4YKzT2SM7xbPoZ-55Sb5fbK=s88-c-k-c0x00ffffff-no-rj")</f>
        <v>https://yt3.ggpht.com/ytc/AKedOLSGwQKAM7EH-FAuc4YKzT2SM7xbPoZ-55Sb5fbK=s88-c-k-c0x00ffffff-no-rj</v>
      </c>
      <c r="AL438" s="80">
        <v>4776</v>
      </c>
      <c r="AM438" s="80">
        <v>0</v>
      </c>
      <c r="AN438" s="80">
        <v>19</v>
      </c>
      <c r="AO438" s="80" t="b">
        <v>0</v>
      </c>
      <c r="AP438" s="80">
        <v>56</v>
      </c>
      <c r="AQ438" s="80"/>
      <c r="AR438" s="80"/>
      <c r="AS438" s="80" t="s">
        <v>2085</v>
      </c>
      <c r="AT438" s="85" t="str">
        <f>HYPERLINK("https://www.youtube.com/channel/UCacB5Aq-7GT6MlxP_u729vA")</f>
        <v>https://www.youtube.com/channel/UCacB5Aq-7GT6MlxP_u729vA</v>
      </c>
      <c r="AU438" s="80" t="str">
        <f>REPLACE(INDEX(GroupVertices[Group],MATCH(Vertices[[#This Row],[Vertex]],GroupVertices[Vertex],0)),1,1,"")</f>
        <v>1</v>
      </c>
      <c r="AV438" s="49">
        <v>1</v>
      </c>
      <c r="AW438" s="50">
        <v>5.882352941176471</v>
      </c>
      <c r="AX438" s="49">
        <v>2</v>
      </c>
      <c r="AY438" s="50">
        <v>11.764705882352942</v>
      </c>
      <c r="AZ438" s="49">
        <v>0</v>
      </c>
      <c r="BA438" s="50">
        <v>0</v>
      </c>
      <c r="BB438" s="49">
        <v>14</v>
      </c>
      <c r="BC438" s="50">
        <v>82.3529411764706</v>
      </c>
      <c r="BD438" s="49">
        <v>17</v>
      </c>
      <c r="BE438" s="49"/>
      <c r="BF438" s="49"/>
      <c r="BG438" s="49"/>
      <c r="BH438" s="49"/>
      <c r="BI438" s="49"/>
      <c r="BJ438" s="49"/>
      <c r="BK438" s="111" t="s">
        <v>3795</v>
      </c>
      <c r="BL438" s="111" t="s">
        <v>3795</v>
      </c>
      <c r="BM438" s="111" t="s">
        <v>4242</v>
      </c>
      <c r="BN438" s="111" t="s">
        <v>4242</v>
      </c>
      <c r="BO438" s="2"/>
      <c r="BP438" s="3"/>
      <c r="BQ438" s="3"/>
      <c r="BR438" s="3"/>
      <c r="BS438" s="3"/>
    </row>
    <row r="439" spans="1:71" ht="15">
      <c r="A439" s="65" t="s">
        <v>773</v>
      </c>
      <c r="B439" s="66"/>
      <c r="C439" s="66"/>
      <c r="D439" s="67">
        <v>150</v>
      </c>
      <c r="E439" s="69"/>
      <c r="F439" s="103" t="str">
        <f>HYPERLINK("https://yt3.ggpht.com/ytc/AKedOLSMQcfoPKNNtmk21JILFEQjiJ1Q-MUo1z9uNQ=s88-c-k-c0x00ffffff-no-rj")</f>
        <v>https://yt3.ggpht.com/ytc/AKedOLSMQcfoPKNNtmk21JILFEQjiJ1Q-MUo1z9uNQ=s88-c-k-c0x00ffffff-no-rj</v>
      </c>
      <c r="G439" s="66"/>
      <c r="H439" s="70" t="s">
        <v>1840</v>
      </c>
      <c r="I439" s="71"/>
      <c r="J439" s="71" t="s">
        <v>159</v>
      </c>
      <c r="K439" s="70" t="s">
        <v>1840</v>
      </c>
      <c r="L439" s="74">
        <v>1</v>
      </c>
      <c r="M439" s="75">
        <v>3625.5244140625</v>
      </c>
      <c r="N439" s="75">
        <v>9255.5048828125</v>
      </c>
      <c r="O439" s="76"/>
      <c r="P439" s="77"/>
      <c r="Q439" s="77"/>
      <c r="R439" s="89"/>
      <c r="S439" s="49">
        <v>0</v>
      </c>
      <c r="T439" s="49">
        <v>1</v>
      </c>
      <c r="U439" s="50">
        <v>0</v>
      </c>
      <c r="V439" s="50">
        <v>0.478122</v>
      </c>
      <c r="W439" s="50">
        <v>0.03471</v>
      </c>
      <c r="X439" s="50">
        <v>0.001935</v>
      </c>
      <c r="Y439" s="50">
        <v>0</v>
      </c>
      <c r="Z439" s="50">
        <v>0</v>
      </c>
      <c r="AA439" s="72">
        <v>439</v>
      </c>
      <c r="AB439" s="72"/>
      <c r="AC439" s="73"/>
      <c r="AD439" s="80" t="s">
        <v>1840</v>
      </c>
      <c r="AE439" s="80"/>
      <c r="AF439" s="80"/>
      <c r="AG439" s="80"/>
      <c r="AH439" s="80"/>
      <c r="AI439" s="80"/>
      <c r="AJ439" s="87">
        <v>41558.83222222222</v>
      </c>
      <c r="AK439" s="85" t="str">
        <f>HYPERLINK("https://yt3.ggpht.com/ytc/AKedOLSMQcfoPKNNtmk21JILFEQjiJ1Q-MUo1z9uNQ=s88-c-k-c0x00ffffff-no-rj")</f>
        <v>https://yt3.ggpht.com/ytc/AKedOLSMQcfoPKNNtmk21JILFEQjiJ1Q-MUo1z9uNQ=s88-c-k-c0x00ffffff-no-rj</v>
      </c>
      <c r="AL439" s="80">
        <v>38</v>
      </c>
      <c r="AM439" s="80">
        <v>0</v>
      </c>
      <c r="AN439" s="80">
        <v>11</v>
      </c>
      <c r="AO439" s="80" t="b">
        <v>0</v>
      </c>
      <c r="AP439" s="80">
        <v>3</v>
      </c>
      <c r="AQ439" s="80"/>
      <c r="AR439" s="80"/>
      <c r="AS439" s="80" t="s">
        <v>2085</v>
      </c>
      <c r="AT439" s="85" t="str">
        <f>HYPERLINK("https://www.youtube.com/channel/UCrUzUaPoH6NYbxsttzmGq-g")</f>
        <v>https://www.youtube.com/channel/UCrUzUaPoH6NYbxsttzmGq-g</v>
      </c>
      <c r="AU439" s="80" t="str">
        <f>REPLACE(INDEX(GroupVertices[Group],MATCH(Vertices[[#This Row],[Vertex]],GroupVertices[Vertex],0)),1,1,"")</f>
        <v>1</v>
      </c>
      <c r="AV439" s="49">
        <v>0</v>
      </c>
      <c r="AW439" s="50">
        <v>0</v>
      </c>
      <c r="AX439" s="49">
        <v>0</v>
      </c>
      <c r="AY439" s="50">
        <v>0</v>
      </c>
      <c r="AZ439" s="49">
        <v>0</v>
      </c>
      <c r="BA439" s="50">
        <v>0</v>
      </c>
      <c r="BB439" s="49">
        <v>17</v>
      </c>
      <c r="BC439" s="50">
        <v>100</v>
      </c>
      <c r="BD439" s="49">
        <v>17</v>
      </c>
      <c r="BE439" s="49"/>
      <c r="BF439" s="49"/>
      <c r="BG439" s="49"/>
      <c r="BH439" s="49"/>
      <c r="BI439" s="49"/>
      <c r="BJ439" s="49"/>
      <c r="BK439" s="111" t="s">
        <v>3796</v>
      </c>
      <c r="BL439" s="111" t="s">
        <v>3796</v>
      </c>
      <c r="BM439" s="111" t="s">
        <v>4243</v>
      </c>
      <c r="BN439" s="111" t="s">
        <v>4243</v>
      </c>
      <c r="BO439" s="2"/>
      <c r="BP439" s="3"/>
      <c r="BQ439" s="3"/>
      <c r="BR439" s="3"/>
      <c r="BS439" s="3"/>
    </row>
    <row r="440" spans="1:71" ht="15">
      <c r="A440" s="65" t="s">
        <v>774</v>
      </c>
      <c r="B440" s="66"/>
      <c r="C440" s="66"/>
      <c r="D440" s="67">
        <v>150</v>
      </c>
      <c r="E440" s="69"/>
      <c r="F440" s="103" t="str">
        <f>HYPERLINK("https://yt3.ggpht.com/ytc/AKedOLTeiWQl1E0jOl6CSsQ5DQ12oB7CxJwPclTGzg=s88-c-k-c0x00ffffff-no-rj")</f>
        <v>https://yt3.ggpht.com/ytc/AKedOLTeiWQl1E0jOl6CSsQ5DQ12oB7CxJwPclTGzg=s88-c-k-c0x00ffffff-no-rj</v>
      </c>
      <c r="G440" s="66"/>
      <c r="H440" s="70" t="s">
        <v>1841</v>
      </c>
      <c r="I440" s="71"/>
      <c r="J440" s="71" t="s">
        <v>159</v>
      </c>
      <c r="K440" s="70" t="s">
        <v>1841</v>
      </c>
      <c r="L440" s="74">
        <v>1</v>
      </c>
      <c r="M440" s="75">
        <v>1217.4312744140625</v>
      </c>
      <c r="N440" s="75">
        <v>2355.685546875</v>
      </c>
      <c r="O440" s="76"/>
      <c r="P440" s="77"/>
      <c r="Q440" s="77"/>
      <c r="R440" s="89"/>
      <c r="S440" s="49">
        <v>0</v>
      </c>
      <c r="T440" s="49">
        <v>1</v>
      </c>
      <c r="U440" s="50">
        <v>0</v>
      </c>
      <c r="V440" s="50">
        <v>0.478122</v>
      </c>
      <c r="W440" s="50">
        <v>0.03471</v>
      </c>
      <c r="X440" s="50">
        <v>0.001935</v>
      </c>
      <c r="Y440" s="50">
        <v>0</v>
      </c>
      <c r="Z440" s="50">
        <v>0</v>
      </c>
      <c r="AA440" s="72">
        <v>440</v>
      </c>
      <c r="AB440" s="72"/>
      <c r="AC440" s="73"/>
      <c r="AD440" s="80" t="s">
        <v>1841</v>
      </c>
      <c r="AE440" s="80"/>
      <c r="AF440" s="80"/>
      <c r="AG440" s="80"/>
      <c r="AH440" s="80"/>
      <c r="AI440" s="80"/>
      <c r="AJ440" s="87">
        <v>38974.1694212963</v>
      </c>
      <c r="AK440" s="85" t="str">
        <f>HYPERLINK("https://yt3.ggpht.com/ytc/AKedOLTeiWQl1E0jOl6CSsQ5DQ12oB7CxJwPclTGzg=s88-c-k-c0x00ffffff-no-rj")</f>
        <v>https://yt3.ggpht.com/ytc/AKedOLTeiWQl1E0jOl6CSsQ5DQ12oB7CxJwPclTGzg=s88-c-k-c0x00ffffff-no-rj</v>
      </c>
      <c r="AL440" s="80">
        <v>0</v>
      </c>
      <c r="AM440" s="80">
        <v>0</v>
      </c>
      <c r="AN440" s="80">
        <v>2</v>
      </c>
      <c r="AO440" s="80" t="b">
        <v>0</v>
      </c>
      <c r="AP440" s="80">
        <v>0</v>
      </c>
      <c r="AQ440" s="80"/>
      <c r="AR440" s="80"/>
      <c r="AS440" s="80" t="s">
        <v>2085</v>
      </c>
      <c r="AT440" s="85" t="str">
        <f>HYPERLINK("https://www.youtube.com/channel/UCUZ4fVlYrIDI1K6lX3N0spw")</f>
        <v>https://www.youtube.com/channel/UCUZ4fVlYrIDI1K6lX3N0spw</v>
      </c>
      <c r="AU440" s="80" t="str">
        <f>REPLACE(INDEX(GroupVertices[Group],MATCH(Vertices[[#This Row],[Vertex]],GroupVertices[Vertex],0)),1,1,"")</f>
        <v>1</v>
      </c>
      <c r="AV440" s="49">
        <v>0</v>
      </c>
      <c r="AW440" s="50">
        <v>0</v>
      </c>
      <c r="AX440" s="49">
        <v>0</v>
      </c>
      <c r="AY440" s="50">
        <v>0</v>
      </c>
      <c r="AZ440" s="49">
        <v>0</v>
      </c>
      <c r="BA440" s="50">
        <v>0</v>
      </c>
      <c r="BB440" s="49">
        <v>17</v>
      </c>
      <c r="BC440" s="50">
        <v>100</v>
      </c>
      <c r="BD440" s="49">
        <v>17</v>
      </c>
      <c r="BE440" s="49"/>
      <c r="BF440" s="49"/>
      <c r="BG440" s="49"/>
      <c r="BH440" s="49"/>
      <c r="BI440" s="49"/>
      <c r="BJ440" s="49"/>
      <c r="BK440" s="111" t="s">
        <v>3797</v>
      </c>
      <c r="BL440" s="111" t="s">
        <v>3797</v>
      </c>
      <c r="BM440" s="111" t="s">
        <v>4244</v>
      </c>
      <c r="BN440" s="111" t="s">
        <v>4244</v>
      </c>
      <c r="BO440" s="2"/>
      <c r="BP440" s="3"/>
      <c r="BQ440" s="3"/>
      <c r="BR440" s="3"/>
      <c r="BS440" s="3"/>
    </row>
    <row r="441" spans="1:71" ht="15">
      <c r="A441" s="65" t="s">
        <v>775</v>
      </c>
      <c r="B441" s="66"/>
      <c r="C441" s="66"/>
      <c r="D441" s="67">
        <v>150</v>
      </c>
      <c r="E441" s="69"/>
      <c r="F441" s="103" t="str">
        <f>HYPERLINK("https://yt3.ggpht.com/OK6VEctbgYONteRmpSvfzd4ySgyTJoYJWYxivFxJYEQVAo6Ph-T5PQhKl4nOgRfaCuyGr-hsh7A=s88-c-k-c0x00ffffff-no-rj")</f>
        <v>https://yt3.ggpht.com/OK6VEctbgYONteRmpSvfzd4ySgyTJoYJWYxivFxJYEQVAo6Ph-T5PQhKl4nOgRfaCuyGr-hsh7A=s88-c-k-c0x00ffffff-no-rj</v>
      </c>
      <c r="G441" s="66"/>
      <c r="H441" s="70" t="s">
        <v>1842</v>
      </c>
      <c r="I441" s="71"/>
      <c r="J441" s="71" t="s">
        <v>159</v>
      </c>
      <c r="K441" s="70" t="s">
        <v>1842</v>
      </c>
      <c r="L441" s="74">
        <v>1</v>
      </c>
      <c r="M441" s="75">
        <v>4940.93896484375</v>
      </c>
      <c r="N441" s="75">
        <v>9738.91796875</v>
      </c>
      <c r="O441" s="76"/>
      <c r="P441" s="77"/>
      <c r="Q441" s="77"/>
      <c r="R441" s="89"/>
      <c r="S441" s="49">
        <v>0</v>
      </c>
      <c r="T441" s="49">
        <v>1</v>
      </c>
      <c r="U441" s="50">
        <v>0</v>
      </c>
      <c r="V441" s="50">
        <v>0.478122</v>
      </c>
      <c r="W441" s="50">
        <v>0.03471</v>
      </c>
      <c r="X441" s="50">
        <v>0.001935</v>
      </c>
      <c r="Y441" s="50">
        <v>0</v>
      </c>
      <c r="Z441" s="50">
        <v>0</v>
      </c>
      <c r="AA441" s="72">
        <v>441</v>
      </c>
      <c r="AB441" s="72"/>
      <c r="AC441" s="73"/>
      <c r="AD441" s="80" t="s">
        <v>1842</v>
      </c>
      <c r="AE441" s="80" t="s">
        <v>2049</v>
      </c>
      <c r="AF441" s="80"/>
      <c r="AG441" s="80"/>
      <c r="AH441" s="80"/>
      <c r="AI441" s="80"/>
      <c r="AJ441" s="87">
        <v>40319.1265625</v>
      </c>
      <c r="AK441" s="85" t="str">
        <f>HYPERLINK("https://yt3.ggpht.com/OK6VEctbgYONteRmpSvfzd4ySgyTJoYJWYxivFxJYEQVAo6Ph-T5PQhKl4nOgRfaCuyGr-hsh7A=s88-c-k-c0x00ffffff-no-rj")</f>
        <v>https://yt3.ggpht.com/OK6VEctbgYONteRmpSvfzd4ySgyTJoYJWYxivFxJYEQVAo6Ph-T5PQhKl4nOgRfaCuyGr-hsh7A=s88-c-k-c0x00ffffff-no-rj</v>
      </c>
      <c r="AL441" s="80">
        <v>46084</v>
      </c>
      <c r="AM441" s="80">
        <v>0</v>
      </c>
      <c r="AN441" s="80">
        <v>244</v>
      </c>
      <c r="AO441" s="80" t="b">
        <v>0</v>
      </c>
      <c r="AP441" s="80">
        <v>110</v>
      </c>
      <c r="AQ441" s="80"/>
      <c r="AR441" s="80"/>
      <c r="AS441" s="80" t="s">
        <v>2085</v>
      </c>
      <c r="AT441" s="85" t="str">
        <f>HYPERLINK("https://www.youtube.com/channel/UC6KN3OhZPDh-RnGnKoHCzqw")</f>
        <v>https://www.youtube.com/channel/UC6KN3OhZPDh-RnGnKoHCzqw</v>
      </c>
      <c r="AU441" s="80" t="str">
        <f>REPLACE(INDEX(GroupVertices[Group],MATCH(Vertices[[#This Row],[Vertex]],GroupVertices[Vertex],0)),1,1,"")</f>
        <v>1</v>
      </c>
      <c r="AV441" s="49">
        <v>1</v>
      </c>
      <c r="AW441" s="50">
        <v>100</v>
      </c>
      <c r="AX441" s="49">
        <v>0</v>
      </c>
      <c r="AY441" s="50">
        <v>0</v>
      </c>
      <c r="AZ441" s="49">
        <v>0</v>
      </c>
      <c r="BA441" s="50">
        <v>0</v>
      </c>
      <c r="BB441" s="49">
        <v>0</v>
      </c>
      <c r="BC441" s="50">
        <v>0</v>
      </c>
      <c r="BD441" s="49">
        <v>1</v>
      </c>
      <c r="BE441" s="49"/>
      <c r="BF441" s="49"/>
      <c r="BG441" s="49"/>
      <c r="BH441" s="49"/>
      <c r="BI441" s="49"/>
      <c r="BJ441" s="49"/>
      <c r="BK441" s="111" t="s">
        <v>3798</v>
      </c>
      <c r="BL441" s="111" t="s">
        <v>3798</v>
      </c>
      <c r="BM441" s="111" t="s">
        <v>1927</v>
      </c>
      <c r="BN441" s="111" t="s">
        <v>1927</v>
      </c>
      <c r="BO441" s="2"/>
      <c r="BP441" s="3"/>
      <c r="BQ441" s="3"/>
      <c r="BR441" s="3"/>
      <c r="BS441" s="3"/>
    </row>
    <row r="442" spans="1:71" ht="15">
      <c r="A442" s="65" t="s">
        <v>776</v>
      </c>
      <c r="B442" s="66"/>
      <c r="C442" s="66"/>
      <c r="D442" s="67">
        <v>150</v>
      </c>
      <c r="E442" s="69"/>
      <c r="F442" s="103" t="str">
        <f>HYPERLINK("https://yt3.ggpht.com/gq6YEggPdtoIwiAmzNlYH762F3dADgPk86Y0-tVmI9ETztNdOpd0-deNt7LXxwym594tRJOK97o=s88-c-k-c0x00ffffff-no-rj")</f>
        <v>https://yt3.ggpht.com/gq6YEggPdtoIwiAmzNlYH762F3dADgPk86Y0-tVmI9ETztNdOpd0-deNt7LXxwym594tRJOK97o=s88-c-k-c0x00ffffff-no-rj</v>
      </c>
      <c r="G442" s="66"/>
      <c r="H442" s="70" t="s">
        <v>1843</v>
      </c>
      <c r="I442" s="71"/>
      <c r="J442" s="71" t="s">
        <v>159</v>
      </c>
      <c r="K442" s="70" t="s">
        <v>1843</v>
      </c>
      <c r="L442" s="74">
        <v>1</v>
      </c>
      <c r="M442" s="75">
        <v>6508.6650390625</v>
      </c>
      <c r="N442" s="75">
        <v>7831.6162109375</v>
      </c>
      <c r="O442" s="76"/>
      <c r="P442" s="77"/>
      <c r="Q442" s="77"/>
      <c r="R442" s="89"/>
      <c r="S442" s="49">
        <v>0</v>
      </c>
      <c r="T442" s="49">
        <v>1</v>
      </c>
      <c r="U442" s="50">
        <v>0</v>
      </c>
      <c r="V442" s="50">
        <v>0.478122</v>
      </c>
      <c r="W442" s="50">
        <v>0.03471</v>
      </c>
      <c r="X442" s="50">
        <v>0.001935</v>
      </c>
      <c r="Y442" s="50">
        <v>0</v>
      </c>
      <c r="Z442" s="50">
        <v>0</v>
      </c>
      <c r="AA442" s="72">
        <v>442</v>
      </c>
      <c r="AB442" s="72"/>
      <c r="AC442" s="73"/>
      <c r="AD442" s="80" t="s">
        <v>1843</v>
      </c>
      <c r="AE442" s="80" t="s">
        <v>2050</v>
      </c>
      <c r="AF442" s="80"/>
      <c r="AG442" s="80"/>
      <c r="AH442" s="80"/>
      <c r="AI442" s="80"/>
      <c r="AJ442" s="87">
        <v>41362.33373842593</v>
      </c>
      <c r="AK442" s="85" t="str">
        <f>HYPERLINK("https://yt3.ggpht.com/gq6YEggPdtoIwiAmzNlYH762F3dADgPk86Y0-tVmI9ETztNdOpd0-deNt7LXxwym594tRJOK97o=s88-c-k-c0x00ffffff-no-rj")</f>
        <v>https://yt3.ggpht.com/gq6YEggPdtoIwiAmzNlYH762F3dADgPk86Y0-tVmI9ETztNdOpd0-deNt7LXxwym594tRJOK97o=s88-c-k-c0x00ffffff-no-rj</v>
      </c>
      <c r="AL442" s="80">
        <v>0</v>
      </c>
      <c r="AM442" s="80">
        <v>0</v>
      </c>
      <c r="AN442" s="80">
        <v>8</v>
      </c>
      <c r="AO442" s="80" t="b">
        <v>0</v>
      </c>
      <c r="AP442" s="80">
        <v>0</v>
      </c>
      <c r="AQ442" s="80"/>
      <c r="AR442" s="80"/>
      <c r="AS442" s="80" t="s">
        <v>2085</v>
      </c>
      <c r="AT442" s="85" t="str">
        <f>HYPERLINK("https://www.youtube.com/channel/UCkvHP60Akt1kfF3FUMD45lQ")</f>
        <v>https://www.youtube.com/channel/UCkvHP60Akt1kfF3FUMD45lQ</v>
      </c>
      <c r="AU442" s="80" t="str">
        <f>REPLACE(INDEX(GroupVertices[Group],MATCH(Vertices[[#This Row],[Vertex]],GroupVertices[Vertex],0)),1,1,"")</f>
        <v>1</v>
      </c>
      <c r="AV442" s="49">
        <v>1</v>
      </c>
      <c r="AW442" s="50">
        <v>7.142857142857143</v>
      </c>
      <c r="AX442" s="49">
        <v>0</v>
      </c>
      <c r="AY442" s="50">
        <v>0</v>
      </c>
      <c r="AZ442" s="49">
        <v>0</v>
      </c>
      <c r="BA442" s="50">
        <v>0</v>
      </c>
      <c r="BB442" s="49">
        <v>13</v>
      </c>
      <c r="BC442" s="50">
        <v>92.85714285714286</v>
      </c>
      <c r="BD442" s="49">
        <v>14</v>
      </c>
      <c r="BE442" s="49"/>
      <c r="BF442" s="49"/>
      <c r="BG442" s="49"/>
      <c r="BH442" s="49"/>
      <c r="BI442" s="49"/>
      <c r="BJ442" s="49"/>
      <c r="BK442" s="111" t="s">
        <v>3799</v>
      </c>
      <c r="BL442" s="111" t="s">
        <v>3799</v>
      </c>
      <c r="BM442" s="111" t="s">
        <v>4245</v>
      </c>
      <c r="BN442" s="111" t="s">
        <v>4245</v>
      </c>
      <c r="BO442" s="2"/>
      <c r="BP442" s="3"/>
      <c r="BQ442" s="3"/>
      <c r="BR442" s="3"/>
      <c r="BS442" s="3"/>
    </row>
    <row r="443" spans="1:71" ht="15">
      <c r="A443" s="65" t="s">
        <v>777</v>
      </c>
      <c r="B443" s="66"/>
      <c r="C443" s="66"/>
      <c r="D443" s="67">
        <v>150</v>
      </c>
      <c r="E443" s="69"/>
      <c r="F443" s="103" t="str">
        <f>HYPERLINK("https://yt3.ggpht.com/ytc/AKedOLQnduhNvNMab-uCOvnrziJWh345YzA1ouRT9A_OxA=s88-c-k-c0x00ffffff-no-rj")</f>
        <v>https://yt3.ggpht.com/ytc/AKedOLQnduhNvNMab-uCOvnrziJWh345YzA1ouRT9A_OxA=s88-c-k-c0x00ffffff-no-rj</v>
      </c>
      <c r="G443" s="66"/>
      <c r="H443" s="70" t="s">
        <v>1844</v>
      </c>
      <c r="I443" s="71"/>
      <c r="J443" s="71" t="s">
        <v>159</v>
      </c>
      <c r="K443" s="70" t="s">
        <v>1844</v>
      </c>
      <c r="L443" s="74">
        <v>1</v>
      </c>
      <c r="M443" s="75">
        <v>543.6192016601562</v>
      </c>
      <c r="N443" s="75">
        <v>7002.005859375</v>
      </c>
      <c r="O443" s="76"/>
      <c r="P443" s="77"/>
      <c r="Q443" s="77"/>
      <c r="R443" s="89"/>
      <c r="S443" s="49">
        <v>0</v>
      </c>
      <c r="T443" s="49">
        <v>1</v>
      </c>
      <c r="U443" s="50">
        <v>0</v>
      </c>
      <c r="V443" s="50">
        <v>0.478122</v>
      </c>
      <c r="W443" s="50">
        <v>0.03471</v>
      </c>
      <c r="X443" s="50">
        <v>0.001935</v>
      </c>
      <c r="Y443" s="50">
        <v>0</v>
      </c>
      <c r="Z443" s="50">
        <v>0</v>
      </c>
      <c r="AA443" s="72">
        <v>443</v>
      </c>
      <c r="AB443" s="72"/>
      <c r="AC443" s="73"/>
      <c r="AD443" s="80" t="s">
        <v>1844</v>
      </c>
      <c r="AE443" s="80"/>
      <c r="AF443" s="80"/>
      <c r="AG443" s="80"/>
      <c r="AH443" s="80"/>
      <c r="AI443" s="80"/>
      <c r="AJ443" s="87">
        <v>41077.89016203704</v>
      </c>
      <c r="AK443" s="85" t="str">
        <f>HYPERLINK("https://yt3.ggpht.com/ytc/AKedOLQnduhNvNMab-uCOvnrziJWh345YzA1ouRT9A_OxA=s88-c-k-c0x00ffffff-no-rj")</f>
        <v>https://yt3.ggpht.com/ytc/AKedOLQnduhNvNMab-uCOvnrziJWh345YzA1ouRT9A_OxA=s88-c-k-c0x00ffffff-no-rj</v>
      </c>
      <c r="AL443" s="80">
        <v>159</v>
      </c>
      <c r="AM443" s="80">
        <v>0</v>
      </c>
      <c r="AN443" s="80">
        <v>34</v>
      </c>
      <c r="AO443" s="80" t="b">
        <v>0</v>
      </c>
      <c r="AP443" s="80">
        <v>2</v>
      </c>
      <c r="AQ443" s="80"/>
      <c r="AR443" s="80"/>
      <c r="AS443" s="80" t="s">
        <v>2085</v>
      </c>
      <c r="AT443" s="85" t="str">
        <f>HYPERLINK("https://www.youtube.com/channel/UCNG_yvMeAfS9RbCPkvthc7g")</f>
        <v>https://www.youtube.com/channel/UCNG_yvMeAfS9RbCPkvthc7g</v>
      </c>
      <c r="AU443" s="80" t="str">
        <f>REPLACE(INDEX(GroupVertices[Group],MATCH(Vertices[[#This Row],[Vertex]],GroupVertices[Vertex],0)),1,1,"")</f>
        <v>1</v>
      </c>
      <c r="AV443" s="49">
        <v>0</v>
      </c>
      <c r="AW443" s="50">
        <v>0</v>
      </c>
      <c r="AX443" s="49">
        <v>1</v>
      </c>
      <c r="AY443" s="50">
        <v>11.11111111111111</v>
      </c>
      <c r="AZ443" s="49">
        <v>0</v>
      </c>
      <c r="BA443" s="50">
        <v>0</v>
      </c>
      <c r="BB443" s="49">
        <v>8</v>
      </c>
      <c r="BC443" s="50">
        <v>88.88888888888889</v>
      </c>
      <c r="BD443" s="49">
        <v>9</v>
      </c>
      <c r="BE443" s="49"/>
      <c r="BF443" s="49"/>
      <c r="BG443" s="49"/>
      <c r="BH443" s="49"/>
      <c r="BI443" s="49"/>
      <c r="BJ443" s="49"/>
      <c r="BK443" s="111" t="s">
        <v>3800</v>
      </c>
      <c r="BL443" s="111" t="s">
        <v>3800</v>
      </c>
      <c r="BM443" s="111" t="s">
        <v>4246</v>
      </c>
      <c r="BN443" s="111" t="s">
        <v>4246</v>
      </c>
      <c r="BO443" s="2"/>
      <c r="BP443" s="3"/>
      <c r="BQ443" s="3"/>
      <c r="BR443" s="3"/>
      <c r="BS443" s="3"/>
    </row>
    <row r="444" spans="1:71" ht="15">
      <c r="A444" s="65" t="s">
        <v>778</v>
      </c>
      <c r="B444" s="66"/>
      <c r="C444" s="66"/>
      <c r="D444" s="67">
        <v>150</v>
      </c>
      <c r="E444" s="69"/>
      <c r="F444" s="103" t="str">
        <f>HYPERLINK("https://yt3.ggpht.com/ytc/AKedOLSsE-LCtlI1dMHYpNgHxLOQ3MRpsFTrgsZbsdsEPOo=s88-c-k-c0x00ffffff-no-rj")</f>
        <v>https://yt3.ggpht.com/ytc/AKedOLSsE-LCtlI1dMHYpNgHxLOQ3MRpsFTrgsZbsdsEPOo=s88-c-k-c0x00ffffff-no-rj</v>
      </c>
      <c r="G444" s="66"/>
      <c r="H444" s="70" t="s">
        <v>1845</v>
      </c>
      <c r="I444" s="71"/>
      <c r="J444" s="71" t="s">
        <v>159</v>
      </c>
      <c r="K444" s="70" t="s">
        <v>1845</v>
      </c>
      <c r="L444" s="74">
        <v>1</v>
      </c>
      <c r="M444" s="75">
        <v>7386.5859375</v>
      </c>
      <c r="N444" s="75">
        <v>6082.076171875</v>
      </c>
      <c r="O444" s="76"/>
      <c r="P444" s="77"/>
      <c r="Q444" s="77"/>
      <c r="R444" s="89"/>
      <c r="S444" s="49">
        <v>0</v>
      </c>
      <c r="T444" s="49">
        <v>1</v>
      </c>
      <c r="U444" s="50">
        <v>0</v>
      </c>
      <c r="V444" s="50">
        <v>0.478122</v>
      </c>
      <c r="W444" s="50">
        <v>0.03471</v>
      </c>
      <c r="X444" s="50">
        <v>0.001935</v>
      </c>
      <c r="Y444" s="50">
        <v>0</v>
      </c>
      <c r="Z444" s="50">
        <v>0</v>
      </c>
      <c r="AA444" s="72">
        <v>444</v>
      </c>
      <c r="AB444" s="72"/>
      <c r="AC444" s="73"/>
      <c r="AD444" s="80" t="s">
        <v>1845</v>
      </c>
      <c r="AE444" s="80"/>
      <c r="AF444" s="80"/>
      <c r="AG444" s="80"/>
      <c r="AH444" s="80"/>
      <c r="AI444" s="80"/>
      <c r="AJ444" s="87">
        <v>41733.36921296296</v>
      </c>
      <c r="AK444" s="85" t="str">
        <f>HYPERLINK("https://yt3.ggpht.com/ytc/AKedOLSsE-LCtlI1dMHYpNgHxLOQ3MRpsFTrgsZbsdsEPOo=s88-c-k-c0x00ffffff-no-rj")</f>
        <v>https://yt3.ggpht.com/ytc/AKedOLSsE-LCtlI1dMHYpNgHxLOQ3MRpsFTrgsZbsdsEPOo=s88-c-k-c0x00ffffff-no-rj</v>
      </c>
      <c r="AL444" s="80">
        <v>1359</v>
      </c>
      <c r="AM444" s="80">
        <v>0</v>
      </c>
      <c r="AN444" s="80">
        <v>18</v>
      </c>
      <c r="AO444" s="80" t="b">
        <v>0</v>
      </c>
      <c r="AP444" s="80">
        <v>100</v>
      </c>
      <c r="AQ444" s="80"/>
      <c r="AR444" s="80"/>
      <c r="AS444" s="80" t="s">
        <v>2085</v>
      </c>
      <c r="AT444" s="85" t="str">
        <f>HYPERLINK("https://www.youtube.com/channel/UCxiVHhU6qu2lNb5a8pafrzg")</f>
        <v>https://www.youtube.com/channel/UCxiVHhU6qu2lNb5a8pafrzg</v>
      </c>
      <c r="AU444" s="80" t="str">
        <f>REPLACE(INDEX(GroupVertices[Group],MATCH(Vertices[[#This Row],[Vertex]],GroupVertices[Vertex],0)),1,1,"")</f>
        <v>1</v>
      </c>
      <c r="AV444" s="49">
        <v>0</v>
      </c>
      <c r="AW444" s="50">
        <v>0</v>
      </c>
      <c r="AX444" s="49">
        <v>1</v>
      </c>
      <c r="AY444" s="50">
        <v>9.090909090909092</v>
      </c>
      <c r="AZ444" s="49">
        <v>0</v>
      </c>
      <c r="BA444" s="50">
        <v>0</v>
      </c>
      <c r="BB444" s="49">
        <v>10</v>
      </c>
      <c r="BC444" s="50">
        <v>90.9090909090909</v>
      </c>
      <c r="BD444" s="49">
        <v>11</v>
      </c>
      <c r="BE444" s="49"/>
      <c r="BF444" s="49"/>
      <c r="BG444" s="49"/>
      <c r="BH444" s="49"/>
      <c r="BI444" s="49"/>
      <c r="BJ444" s="49"/>
      <c r="BK444" s="111" t="s">
        <v>3801</v>
      </c>
      <c r="BL444" s="111" t="s">
        <v>3801</v>
      </c>
      <c r="BM444" s="111" t="s">
        <v>4247</v>
      </c>
      <c r="BN444" s="111" t="s">
        <v>4247</v>
      </c>
      <c r="BO444" s="2"/>
      <c r="BP444" s="3"/>
      <c r="BQ444" s="3"/>
      <c r="BR444" s="3"/>
      <c r="BS444" s="3"/>
    </row>
    <row r="445" spans="1:71" ht="15">
      <c r="A445" s="65" t="s">
        <v>779</v>
      </c>
      <c r="B445" s="66"/>
      <c r="C445" s="66"/>
      <c r="D445" s="67">
        <v>150</v>
      </c>
      <c r="E445" s="69"/>
      <c r="F445" s="103" t="str">
        <f>HYPERLINK("https://yt3.ggpht.com/ytc/AKedOLQAasgpVPNGvcqyBG6DNTsx9HoulLAs_vxSTzIS=s88-c-k-c0x00ffffff-no-rj")</f>
        <v>https://yt3.ggpht.com/ytc/AKedOLQAasgpVPNGvcqyBG6DNTsx9HoulLAs_vxSTzIS=s88-c-k-c0x00ffffff-no-rj</v>
      </c>
      <c r="G445" s="66"/>
      <c r="H445" s="70" t="s">
        <v>1846</v>
      </c>
      <c r="I445" s="71"/>
      <c r="J445" s="71" t="s">
        <v>159</v>
      </c>
      <c r="K445" s="70" t="s">
        <v>1846</v>
      </c>
      <c r="L445" s="74">
        <v>1</v>
      </c>
      <c r="M445" s="75">
        <v>591.4678344726562</v>
      </c>
      <c r="N445" s="75">
        <v>4735.52099609375</v>
      </c>
      <c r="O445" s="76"/>
      <c r="P445" s="77"/>
      <c r="Q445" s="77"/>
      <c r="R445" s="89"/>
      <c r="S445" s="49">
        <v>0</v>
      </c>
      <c r="T445" s="49">
        <v>1</v>
      </c>
      <c r="U445" s="50">
        <v>0</v>
      </c>
      <c r="V445" s="50">
        <v>0.478122</v>
      </c>
      <c r="W445" s="50">
        <v>0.03471</v>
      </c>
      <c r="X445" s="50">
        <v>0.001935</v>
      </c>
      <c r="Y445" s="50">
        <v>0</v>
      </c>
      <c r="Z445" s="50">
        <v>0</v>
      </c>
      <c r="AA445" s="72">
        <v>445</v>
      </c>
      <c r="AB445" s="72"/>
      <c r="AC445" s="73"/>
      <c r="AD445" s="80" t="s">
        <v>1846</v>
      </c>
      <c r="AE445" s="80"/>
      <c r="AF445" s="80"/>
      <c r="AG445" s="80"/>
      <c r="AH445" s="80"/>
      <c r="AI445" s="80"/>
      <c r="AJ445" s="87">
        <v>40592.536782407406</v>
      </c>
      <c r="AK445" s="85" t="str">
        <f>HYPERLINK("https://yt3.ggpht.com/ytc/AKedOLQAasgpVPNGvcqyBG6DNTsx9HoulLAs_vxSTzIS=s88-c-k-c0x00ffffff-no-rj")</f>
        <v>https://yt3.ggpht.com/ytc/AKedOLQAasgpVPNGvcqyBG6DNTsx9HoulLAs_vxSTzIS=s88-c-k-c0x00ffffff-no-rj</v>
      </c>
      <c r="AL445" s="80">
        <v>2660</v>
      </c>
      <c r="AM445" s="80">
        <v>0</v>
      </c>
      <c r="AN445" s="80">
        <v>33</v>
      </c>
      <c r="AO445" s="80" t="b">
        <v>0</v>
      </c>
      <c r="AP445" s="80">
        <v>6</v>
      </c>
      <c r="AQ445" s="80"/>
      <c r="AR445" s="80"/>
      <c r="AS445" s="80" t="s">
        <v>2085</v>
      </c>
      <c r="AT445" s="85" t="str">
        <f>HYPERLINK("https://www.youtube.com/channel/UCaYpMdJFIL6MXMucIr83k4A")</f>
        <v>https://www.youtube.com/channel/UCaYpMdJFIL6MXMucIr83k4A</v>
      </c>
      <c r="AU445" s="80" t="str">
        <f>REPLACE(INDEX(GroupVertices[Group],MATCH(Vertices[[#This Row],[Vertex]],GroupVertices[Vertex],0)),1,1,"")</f>
        <v>1</v>
      </c>
      <c r="AV445" s="49">
        <v>3</v>
      </c>
      <c r="AW445" s="50">
        <v>12</v>
      </c>
      <c r="AX445" s="49">
        <v>1</v>
      </c>
      <c r="AY445" s="50">
        <v>4</v>
      </c>
      <c r="AZ445" s="49">
        <v>0</v>
      </c>
      <c r="BA445" s="50">
        <v>0</v>
      </c>
      <c r="BB445" s="49">
        <v>21</v>
      </c>
      <c r="BC445" s="50">
        <v>84</v>
      </c>
      <c r="BD445" s="49">
        <v>25</v>
      </c>
      <c r="BE445" s="49"/>
      <c r="BF445" s="49"/>
      <c r="BG445" s="49"/>
      <c r="BH445" s="49"/>
      <c r="BI445" s="49"/>
      <c r="BJ445" s="49"/>
      <c r="BK445" s="111" t="s">
        <v>3802</v>
      </c>
      <c r="BL445" s="111" t="s">
        <v>3802</v>
      </c>
      <c r="BM445" s="111" t="s">
        <v>4248</v>
      </c>
      <c r="BN445" s="111" t="s">
        <v>4248</v>
      </c>
      <c r="BO445" s="2"/>
      <c r="BP445" s="3"/>
      <c r="BQ445" s="3"/>
      <c r="BR445" s="3"/>
      <c r="BS445" s="3"/>
    </row>
    <row r="446" spans="1:71" ht="15">
      <c r="A446" s="65" t="s">
        <v>780</v>
      </c>
      <c r="B446" s="66"/>
      <c r="C446" s="66"/>
      <c r="D446" s="67">
        <v>150</v>
      </c>
      <c r="E446" s="69"/>
      <c r="F446" s="103" t="str">
        <f>HYPERLINK("https://yt3.ggpht.com/ytc/AKedOLTq1VkZWmXrbIsQEwKjife6Z4X1jjftNW6gSVK3_Q=s88-c-k-c0x00ffffff-no-rj")</f>
        <v>https://yt3.ggpht.com/ytc/AKedOLTq1VkZWmXrbIsQEwKjife6Z4X1jjftNW6gSVK3_Q=s88-c-k-c0x00ffffff-no-rj</v>
      </c>
      <c r="G446" s="66"/>
      <c r="H446" s="70" t="s">
        <v>1847</v>
      </c>
      <c r="I446" s="71"/>
      <c r="J446" s="71" t="s">
        <v>159</v>
      </c>
      <c r="K446" s="70" t="s">
        <v>1847</v>
      </c>
      <c r="L446" s="74">
        <v>1</v>
      </c>
      <c r="M446" s="75">
        <v>1440.47900390625</v>
      </c>
      <c r="N446" s="75">
        <v>8558.021484375</v>
      </c>
      <c r="O446" s="76"/>
      <c r="P446" s="77"/>
      <c r="Q446" s="77"/>
      <c r="R446" s="89"/>
      <c r="S446" s="49">
        <v>0</v>
      </c>
      <c r="T446" s="49">
        <v>1</v>
      </c>
      <c r="U446" s="50">
        <v>0</v>
      </c>
      <c r="V446" s="50">
        <v>0.478122</v>
      </c>
      <c r="W446" s="50">
        <v>0.03471</v>
      </c>
      <c r="X446" s="50">
        <v>0.001935</v>
      </c>
      <c r="Y446" s="50">
        <v>0</v>
      </c>
      <c r="Z446" s="50">
        <v>0</v>
      </c>
      <c r="AA446" s="72">
        <v>446</v>
      </c>
      <c r="AB446" s="72"/>
      <c r="AC446" s="73"/>
      <c r="AD446" s="80" t="s">
        <v>1847</v>
      </c>
      <c r="AE446" s="80"/>
      <c r="AF446" s="80"/>
      <c r="AG446" s="80"/>
      <c r="AH446" s="80"/>
      <c r="AI446" s="80"/>
      <c r="AJ446" s="87">
        <v>40893.38822916667</v>
      </c>
      <c r="AK446" s="85" t="str">
        <f>HYPERLINK("https://yt3.ggpht.com/ytc/AKedOLTq1VkZWmXrbIsQEwKjife6Z4X1jjftNW6gSVK3_Q=s88-c-k-c0x00ffffff-no-rj")</f>
        <v>https://yt3.ggpht.com/ytc/AKedOLTq1VkZWmXrbIsQEwKjife6Z4X1jjftNW6gSVK3_Q=s88-c-k-c0x00ffffff-no-rj</v>
      </c>
      <c r="AL446" s="80">
        <v>0</v>
      </c>
      <c r="AM446" s="80">
        <v>0</v>
      </c>
      <c r="AN446" s="80">
        <v>0</v>
      </c>
      <c r="AO446" s="80" t="b">
        <v>0</v>
      </c>
      <c r="AP446" s="80">
        <v>0</v>
      </c>
      <c r="AQ446" s="80"/>
      <c r="AR446" s="80"/>
      <c r="AS446" s="80" t="s">
        <v>2085</v>
      </c>
      <c r="AT446" s="85" t="str">
        <f>HYPERLINK("https://www.youtube.com/channel/UCGp1Z_UT_OJhADsa5J4jXAQ")</f>
        <v>https://www.youtube.com/channel/UCGp1Z_UT_OJhADsa5J4jXAQ</v>
      </c>
      <c r="AU446" s="80" t="str">
        <f>REPLACE(INDEX(GroupVertices[Group],MATCH(Vertices[[#This Row],[Vertex]],GroupVertices[Vertex],0)),1,1,"")</f>
        <v>1</v>
      </c>
      <c r="AV446" s="49">
        <v>3</v>
      </c>
      <c r="AW446" s="50">
        <v>10.714285714285714</v>
      </c>
      <c r="AX446" s="49">
        <v>0</v>
      </c>
      <c r="AY446" s="50">
        <v>0</v>
      </c>
      <c r="AZ446" s="49">
        <v>0</v>
      </c>
      <c r="BA446" s="50">
        <v>0</v>
      </c>
      <c r="BB446" s="49">
        <v>25</v>
      </c>
      <c r="BC446" s="50">
        <v>89.28571428571429</v>
      </c>
      <c r="BD446" s="49">
        <v>28</v>
      </c>
      <c r="BE446" s="49"/>
      <c r="BF446" s="49"/>
      <c r="BG446" s="49"/>
      <c r="BH446" s="49"/>
      <c r="BI446" s="49"/>
      <c r="BJ446" s="49"/>
      <c r="BK446" s="111" t="s">
        <v>3803</v>
      </c>
      <c r="BL446" s="111" t="s">
        <v>3803</v>
      </c>
      <c r="BM446" s="111" t="s">
        <v>4249</v>
      </c>
      <c r="BN446" s="111" t="s">
        <v>4249</v>
      </c>
      <c r="BO446" s="2"/>
      <c r="BP446" s="3"/>
      <c r="BQ446" s="3"/>
      <c r="BR446" s="3"/>
      <c r="BS446" s="3"/>
    </row>
    <row r="447" spans="1:71" ht="15">
      <c r="A447" s="65" t="s">
        <v>781</v>
      </c>
      <c r="B447" s="66"/>
      <c r="C447" s="66"/>
      <c r="D447" s="67">
        <v>150</v>
      </c>
      <c r="E447" s="69"/>
      <c r="F447" s="103" t="str">
        <f>HYPERLINK("https://yt3.ggpht.com/ytc/AKedOLTQYOtPKVI2Queke-ov0WexZheoSc2thpdVNDjo6Ca1uIElDg_ugxdn2th0FNrn=s88-c-k-c0x00ffffff-no-rj")</f>
        <v>https://yt3.ggpht.com/ytc/AKedOLTQYOtPKVI2Queke-ov0WexZheoSc2thpdVNDjo6Ca1uIElDg_ugxdn2th0FNrn=s88-c-k-c0x00ffffff-no-rj</v>
      </c>
      <c r="G447" s="66"/>
      <c r="H447" s="70" t="s">
        <v>1848</v>
      </c>
      <c r="I447" s="71"/>
      <c r="J447" s="71" t="s">
        <v>159</v>
      </c>
      <c r="K447" s="70" t="s">
        <v>1848</v>
      </c>
      <c r="L447" s="74">
        <v>1</v>
      </c>
      <c r="M447" s="75">
        <v>3303.865234375</v>
      </c>
      <c r="N447" s="75">
        <v>1213.0511474609375</v>
      </c>
      <c r="O447" s="76"/>
      <c r="P447" s="77"/>
      <c r="Q447" s="77"/>
      <c r="R447" s="89"/>
      <c r="S447" s="49">
        <v>0</v>
      </c>
      <c r="T447" s="49">
        <v>1</v>
      </c>
      <c r="U447" s="50">
        <v>0</v>
      </c>
      <c r="V447" s="50">
        <v>0.478122</v>
      </c>
      <c r="W447" s="50">
        <v>0.03471</v>
      </c>
      <c r="X447" s="50">
        <v>0.001935</v>
      </c>
      <c r="Y447" s="50">
        <v>0</v>
      </c>
      <c r="Z447" s="50">
        <v>0</v>
      </c>
      <c r="AA447" s="72">
        <v>447</v>
      </c>
      <c r="AB447" s="72"/>
      <c r="AC447" s="73"/>
      <c r="AD447" s="80" t="s">
        <v>1848</v>
      </c>
      <c r="AE447" s="80"/>
      <c r="AF447" s="80"/>
      <c r="AG447" s="80"/>
      <c r="AH447" s="80"/>
      <c r="AI447" s="80"/>
      <c r="AJ447" s="87">
        <v>44577.710914351854</v>
      </c>
      <c r="AK447" s="85" t="str">
        <f>HYPERLINK("https://yt3.ggpht.com/ytc/AKedOLTQYOtPKVI2Queke-ov0WexZheoSc2thpdVNDjo6Ca1uIElDg_ugxdn2th0FNrn=s88-c-k-c0x00ffffff-no-rj")</f>
        <v>https://yt3.ggpht.com/ytc/AKedOLTQYOtPKVI2Queke-ov0WexZheoSc2thpdVNDjo6Ca1uIElDg_ugxdn2th0FNrn=s88-c-k-c0x00ffffff-no-rj</v>
      </c>
      <c r="AL447" s="80">
        <v>0</v>
      </c>
      <c r="AM447" s="80">
        <v>0</v>
      </c>
      <c r="AN447" s="80">
        <v>0</v>
      </c>
      <c r="AO447" s="80" t="b">
        <v>0</v>
      </c>
      <c r="AP447" s="80">
        <v>0</v>
      </c>
      <c r="AQ447" s="80"/>
      <c r="AR447" s="80"/>
      <c r="AS447" s="80" t="s">
        <v>2085</v>
      </c>
      <c r="AT447" s="85" t="str">
        <f>HYPERLINK("https://www.youtube.com/channel/UCpVhi8jELmdakJmWHgVhr8A")</f>
        <v>https://www.youtube.com/channel/UCpVhi8jELmdakJmWHgVhr8A</v>
      </c>
      <c r="AU447" s="80" t="str">
        <f>REPLACE(INDEX(GroupVertices[Group],MATCH(Vertices[[#This Row],[Vertex]],GroupVertices[Vertex],0)),1,1,"")</f>
        <v>1</v>
      </c>
      <c r="AV447" s="49">
        <v>1</v>
      </c>
      <c r="AW447" s="50">
        <v>2.5</v>
      </c>
      <c r="AX447" s="49">
        <v>0</v>
      </c>
      <c r="AY447" s="50">
        <v>0</v>
      </c>
      <c r="AZ447" s="49">
        <v>0</v>
      </c>
      <c r="BA447" s="50">
        <v>0</v>
      </c>
      <c r="BB447" s="49">
        <v>39</v>
      </c>
      <c r="BC447" s="50">
        <v>97.5</v>
      </c>
      <c r="BD447" s="49">
        <v>40</v>
      </c>
      <c r="BE447" s="49"/>
      <c r="BF447" s="49"/>
      <c r="BG447" s="49"/>
      <c r="BH447" s="49"/>
      <c r="BI447" s="49"/>
      <c r="BJ447" s="49"/>
      <c r="BK447" s="111" t="s">
        <v>3804</v>
      </c>
      <c r="BL447" s="111" t="s">
        <v>3804</v>
      </c>
      <c r="BM447" s="111" t="s">
        <v>4250</v>
      </c>
      <c r="BN447" s="111" t="s">
        <v>4250</v>
      </c>
      <c r="BO447" s="2"/>
      <c r="BP447" s="3"/>
      <c r="BQ447" s="3"/>
      <c r="BR447" s="3"/>
      <c r="BS447" s="3"/>
    </row>
    <row r="448" spans="1:71" ht="15">
      <c r="A448" s="65" t="s">
        <v>782</v>
      </c>
      <c r="B448" s="66"/>
      <c r="C448" s="66"/>
      <c r="D448" s="67">
        <v>150</v>
      </c>
      <c r="E448" s="69"/>
      <c r="F448" s="103" t="str">
        <f>HYPERLINK("https://yt3.ggpht.com/ytc/AKedOLQYte_iLab4LUICcOVt3WpFfFcmDHha4neDYNU_SA=s88-c-k-c0x00ffffff-no-rj")</f>
        <v>https://yt3.ggpht.com/ytc/AKedOLQYte_iLab4LUICcOVt3WpFfFcmDHha4neDYNU_SA=s88-c-k-c0x00ffffff-no-rj</v>
      </c>
      <c r="G448" s="66"/>
      <c r="H448" s="70" t="s">
        <v>1849</v>
      </c>
      <c r="I448" s="71"/>
      <c r="J448" s="71" t="s">
        <v>159</v>
      </c>
      <c r="K448" s="70" t="s">
        <v>1849</v>
      </c>
      <c r="L448" s="74">
        <v>1</v>
      </c>
      <c r="M448" s="75">
        <v>5298.484375</v>
      </c>
      <c r="N448" s="75">
        <v>985.865966796875</v>
      </c>
      <c r="O448" s="76"/>
      <c r="P448" s="77"/>
      <c r="Q448" s="77"/>
      <c r="R448" s="89"/>
      <c r="S448" s="49">
        <v>0</v>
      </c>
      <c r="T448" s="49">
        <v>1</v>
      </c>
      <c r="U448" s="50">
        <v>0</v>
      </c>
      <c r="V448" s="50">
        <v>0.478122</v>
      </c>
      <c r="W448" s="50">
        <v>0.03471</v>
      </c>
      <c r="X448" s="50">
        <v>0.001935</v>
      </c>
      <c r="Y448" s="50">
        <v>0</v>
      </c>
      <c r="Z448" s="50">
        <v>0</v>
      </c>
      <c r="AA448" s="72">
        <v>448</v>
      </c>
      <c r="AB448" s="72"/>
      <c r="AC448" s="73"/>
      <c r="AD448" s="80" t="s">
        <v>1849</v>
      </c>
      <c r="AE448" s="80"/>
      <c r="AF448" s="80"/>
      <c r="AG448" s="80"/>
      <c r="AH448" s="80"/>
      <c r="AI448" s="80"/>
      <c r="AJ448" s="87">
        <v>41285.04835648148</v>
      </c>
      <c r="AK448" s="85" t="str">
        <f>HYPERLINK("https://yt3.ggpht.com/ytc/AKedOLQYte_iLab4LUICcOVt3WpFfFcmDHha4neDYNU_SA=s88-c-k-c0x00ffffff-no-rj")</f>
        <v>https://yt3.ggpht.com/ytc/AKedOLQYte_iLab4LUICcOVt3WpFfFcmDHha4neDYNU_SA=s88-c-k-c0x00ffffff-no-rj</v>
      </c>
      <c r="AL448" s="80">
        <v>0</v>
      </c>
      <c r="AM448" s="80">
        <v>0</v>
      </c>
      <c r="AN448" s="80">
        <v>0</v>
      </c>
      <c r="AO448" s="80" t="b">
        <v>0</v>
      </c>
      <c r="AP448" s="80">
        <v>0</v>
      </c>
      <c r="AQ448" s="80"/>
      <c r="AR448" s="80"/>
      <c r="AS448" s="80" t="s">
        <v>2085</v>
      </c>
      <c r="AT448" s="85" t="str">
        <f>HYPERLINK("https://www.youtube.com/channel/UCpe5begzqU9FTXLhDN0ON0Q")</f>
        <v>https://www.youtube.com/channel/UCpe5begzqU9FTXLhDN0ON0Q</v>
      </c>
      <c r="AU448" s="80" t="str">
        <f>REPLACE(INDEX(GroupVertices[Group],MATCH(Vertices[[#This Row],[Vertex]],GroupVertices[Vertex],0)),1,1,"")</f>
        <v>1</v>
      </c>
      <c r="AV448" s="49">
        <v>3</v>
      </c>
      <c r="AW448" s="50">
        <v>8.108108108108109</v>
      </c>
      <c r="AX448" s="49">
        <v>4</v>
      </c>
      <c r="AY448" s="50">
        <v>10.81081081081081</v>
      </c>
      <c r="AZ448" s="49">
        <v>0</v>
      </c>
      <c r="BA448" s="50">
        <v>0</v>
      </c>
      <c r="BB448" s="49">
        <v>30</v>
      </c>
      <c r="BC448" s="50">
        <v>81.08108108108108</v>
      </c>
      <c r="BD448" s="49">
        <v>37</v>
      </c>
      <c r="BE448" s="49"/>
      <c r="BF448" s="49"/>
      <c r="BG448" s="49"/>
      <c r="BH448" s="49"/>
      <c r="BI448" s="49"/>
      <c r="BJ448" s="49"/>
      <c r="BK448" s="111" t="s">
        <v>3805</v>
      </c>
      <c r="BL448" s="111" t="s">
        <v>3805</v>
      </c>
      <c r="BM448" s="111" t="s">
        <v>4251</v>
      </c>
      <c r="BN448" s="111" t="s">
        <v>4251</v>
      </c>
      <c r="BO448" s="2"/>
      <c r="BP448" s="3"/>
      <c r="BQ448" s="3"/>
      <c r="BR448" s="3"/>
      <c r="BS448" s="3"/>
    </row>
    <row r="449" spans="1:71" ht="15">
      <c r="A449" s="65" t="s">
        <v>783</v>
      </c>
      <c r="B449" s="66"/>
      <c r="C449" s="66"/>
      <c r="D449" s="67">
        <v>150</v>
      </c>
      <c r="E449" s="69"/>
      <c r="F449" s="103" t="str">
        <f>HYPERLINK("https://yt3.ggpht.com/C5ILVXnMK-yi4kEtAsnoYhl4GxGnEpBOSl07B3smmJjsGi6yQuw8U4reJSGLs_TNzIJ1cHPk_xw=s88-c-k-c0x00ffffff-no-rj")</f>
        <v>https://yt3.ggpht.com/C5ILVXnMK-yi4kEtAsnoYhl4GxGnEpBOSl07B3smmJjsGi6yQuw8U4reJSGLs_TNzIJ1cHPk_xw=s88-c-k-c0x00ffffff-no-rj</v>
      </c>
      <c r="G449" s="66"/>
      <c r="H449" s="70" t="s">
        <v>1850</v>
      </c>
      <c r="I449" s="71"/>
      <c r="J449" s="71" t="s">
        <v>159</v>
      </c>
      <c r="K449" s="70" t="s">
        <v>1850</v>
      </c>
      <c r="L449" s="74">
        <v>1</v>
      </c>
      <c r="M449" s="75">
        <v>4548.17236328125</v>
      </c>
      <c r="N449" s="75">
        <v>9509.6123046875</v>
      </c>
      <c r="O449" s="76"/>
      <c r="P449" s="77"/>
      <c r="Q449" s="77"/>
      <c r="R449" s="89"/>
      <c r="S449" s="49">
        <v>0</v>
      </c>
      <c r="T449" s="49">
        <v>1</v>
      </c>
      <c r="U449" s="50">
        <v>0</v>
      </c>
      <c r="V449" s="50">
        <v>0.478122</v>
      </c>
      <c r="W449" s="50">
        <v>0.03471</v>
      </c>
      <c r="X449" s="50">
        <v>0.001935</v>
      </c>
      <c r="Y449" s="50">
        <v>0</v>
      </c>
      <c r="Z449" s="50">
        <v>0</v>
      </c>
      <c r="AA449" s="72">
        <v>449</v>
      </c>
      <c r="AB449" s="72"/>
      <c r="AC449" s="73"/>
      <c r="AD449" s="80" t="s">
        <v>1850</v>
      </c>
      <c r="AE449" s="80" t="s">
        <v>2051</v>
      </c>
      <c r="AF449" s="80"/>
      <c r="AG449" s="80"/>
      <c r="AH449" s="80"/>
      <c r="AI449" s="80" t="s">
        <v>2084</v>
      </c>
      <c r="AJ449" s="87">
        <v>40964.56594907407</v>
      </c>
      <c r="AK449" s="85" t="str">
        <f>HYPERLINK("https://yt3.ggpht.com/C5ILVXnMK-yi4kEtAsnoYhl4GxGnEpBOSl07B3smmJjsGi6yQuw8U4reJSGLs_TNzIJ1cHPk_xw=s88-c-k-c0x00ffffff-no-rj")</f>
        <v>https://yt3.ggpht.com/C5ILVXnMK-yi4kEtAsnoYhl4GxGnEpBOSl07B3smmJjsGi6yQuw8U4reJSGLs_TNzIJ1cHPk_xw=s88-c-k-c0x00ffffff-no-rj</v>
      </c>
      <c r="AL449" s="80">
        <v>111217</v>
      </c>
      <c r="AM449" s="80">
        <v>0</v>
      </c>
      <c r="AN449" s="80">
        <v>953</v>
      </c>
      <c r="AO449" s="80" t="b">
        <v>0</v>
      </c>
      <c r="AP449" s="80">
        <v>15</v>
      </c>
      <c r="AQ449" s="80"/>
      <c r="AR449" s="80"/>
      <c r="AS449" s="80" t="s">
        <v>2085</v>
      </c>
      <c r="AT449" s="85" t="str">
        <f>HYPERLINK("https://www.youtube.com/channel/UCoPpqgCvTEHh4pgk-7CIOkw")</f>
        <v>https://www.youtube.com/channel/UCoPpqgCvTEHh4pgk-7CIOkw</v>
      </c>
      <c r="AU449" s="80" t="str">
        <f>REPLACE(INDEX(GroupVertices[Group],MATCH(Vertices[[#This Row],[Vertex]],GroupVertices[Vertex],0)),1,1,"")</f>
        <v>1</v>
      </c>
      <c r="AV449" s="49">
        <v>2</v>
      </c>
      <c r="AW449" s="50">
        <v>33.333333333333336</v>
      </c>
      <c r="AX449" s="49">
        <v>0</v>
      </c>
      <c r="AY449" s="50">
        <v>0</v>
      </c>
      <c r="AZ449" s="49">
        <v>0</v>
      </c>
      <c r="BA449" s="50">
        <v>0</v>
      </c>
      <c r="BB449" s="49">
        <v>4</v>
      </c>
      <c r="BC449" s="50">
        <v>66.66666666666667</v>
      </c>
      <c r="BD449" s="49">
        <v>6</v>
      </c>
      <c r="BE449" s="49"/>
      <c r="BF449" s="49"/>
      <c r="BG449" s="49"/>
      <c r="BH449" s="49"/>
      <c r="BI449" s="49"/>
      <c r="BJ449" s="49"/>
      <c r="BK449" s="111" t="s">
        <v>3806</v>
      </c>
      <c r="BL449" s="111" t="s">
        <v>3806</v>
      </c>
      <c r="BM449" s="111" t="s">
        <v>4252</v>
      </c>
      <c r="BN449" s="111" t="s">
        <v>4252</v>
      </c>
      <c r="BO449" s="2"/>
      <c r="BP449" s="3"/>
      <c r="BQ449" s="3"/>
      <c r="BR449" s="3"/>
      <c r="BS449" s="3"/>
    </row>
    <row r="450" spans="1:71" ht="15">
      <c r="A450" s="65" t="s">
        <v>784</v>
      </c>
      <c r="B450" s="66"/>
      <c r="C450" s="66"/>
      <c r="D450" s="67">
        <v>150</v>
      </c>
      <c r="E450" s="69"/>
      <c r="F450" s="103" t="str">
        <f>HYPERLINK("https://yt3.ggpht.com/ytc/AKedOLQb55U3pvDBR0PUQl63ME7Lyi1NRDO_NhZQL7Fkraq5rJd4Zv0VrAzS5n2IwGd3=s88-c-k-c0x00ffffff-no-rj")</f>
        <v>https://yt3.ggpht.com/ytc/AKedOLQb55U3pvDBR0PUQl63ME7Lyi1NRDO_NhZQL7Fkraq5rJd4Zv0VrAzS5n2IwGd3=s88-c-k-c0x00ffffff-no-rj</v>
      </c>
      <c r="G450" s="66"/>
      <c r="H450" s="70" t="s">
        <v>1851</v>
      </c>
      <c r="I450" s="71"/>
      <c r="J450" s="71" t="s">
        <v>159</v>
      </c>
      <c r="K450" s="70" t="s">
        <v>1851</v>
      </c>
      <c r="L450" s="74">
        <v>1</v>
      </c>
      <c r="M450" s="75">
        <v>348.5169372558594</v>
      </c>
      <c r="N450" s="75">
        <v>6095.71826171875</v>
      </c>
      <c r="O450" s="76"/>
      <c r="P450" s="77"/>
      <c r="Q450" s="77"/>
      <c r="R450" s="89"/>
      <c r="S450" s="49">
        <v>0</v>
      </c>
      <c r="T450" s="49">
        <v>1</v>
      </c>
      <c r="U450" s="50">
        <v>0</v>
      </c>
      <c r="V450" s="50">
        <v>0.478122</v>
      </c>
      <c r="W450" s="50">
        <v>0.03471</v>
      </c>
      <c r="X450" s="50">
        <v>0.001935</v>
      </c>
      <c r="Y450" s="50">
        <v>0</v>
      </c>
      <c r="Z450" s="50">
        <v>0</v>
      </c>
      <c r="AA450" s="72">
        <v>450</v>
      </c>
      <c r="AB450" s="72"/>
      <c r="AC450" s="73"/>
      <c r="AD450" s="80" t="s">
        <v>1851</v>
      </c>
      <c r="AE450" s="80"/>
      <c r="AF450" s="80"/>
      <c r="AG450" s="80"/>
      <c r="AH450" s="80"/>
      <c r="AI450" s="80"/>
      <c r="AJ450" s="87">
        <v>44472.89096064815</v>
      </c>
      <c r="AK450" s="85" t="str">
        <f>HYPERLINK("https://yt3.ggpht.com/ytc/AKedOLQb55U3pvDBR0PUQl63ME7Lyi1NRDO_NhZQL7Fkraq5rJd4Zv0VrAzS5n2IwGd3=s88-c-k-c0x00ffffff-no-rj")</f>
        <v>https://yt3.ggpht.com/ytc/AKedOLQb55U3pvDBR0PUQl63ME7Lyi1NRDO_NhZQL7Fkraq5rJd4Zv0VrAzS5n2IwGd3=s88-c-k-c0x00ffffff-no-rj</v>
      </c>
      <c r="AL450" s="80">
        <v>0</v>
      </c>
      <c r="AM450" s="80">
        <v>0</v>
      </c>
      <c r="AN450" s="80">
        <v>0</v>
      </c>
      <c r="AO450" s="80" t="b">
        <v>0</v>
      </c>
      <c r="AP450" s="80">
        <v>0</v>
      </c>
      <c r="AQ450" s="80"/>
      <c r="AR450" s="80"/>
      <c r="AS450" s="80" t="s">
        <v>2085</v>
      </c>
      <c r="AT450" s="85" t="str">
        <f>HYPERLINK("https://www.youtube.com/channel/UClufkJO37uSkOzyoMIIlsGw")</f>
        <v>https://www.youtube.com/channel/UClufkJO37uSkOzyoMIIlsGw</v>
      </c>
      <c r="AU450" s="80" t="str">
        <f>REPLACE(INDEX(GroupVertices[Group],MATCH(Vertices[[#This Row],[Vertex]],GroupVertices[Vertex],0)),1,1,"")</f>
        <v>1</v>
      </c>
      <c r="AV450" s="49">
        <v>3</v>
      </c>
      <c r="AW450" s="50">
        <v>8.108108108108109</v>
      </c>
      <c r="AX450" s="49">
        <v>0</v>
      </c>
      <c r="AY450" s="50">
        <v>0</v>
      </c>
      <c r="AZ450" s="49">
        <v>0</v>
      </c>
      <c r="BA450" s="50">
        <v>0</v>
      </c>
      <c r="BB450" s="49">
        <v>34</v>
      </c>
      <c r="BC450" s="50">
        <v>91.89189189189189</v>
      </c>
      <c r="BD450" s="49">
        <v>37</v>
      </c>
      <c r="BE450" s="49"/>
      <c r="BF450" s="49"/>
      <c r="BG450" s="49"/>
      <c r="BH450" s="49"/>
      <c r="BI450" s="49"/>
      <c r="BJ450" s="49"/>
      <c r="BK450" s="111" t="s">
        <v>3807</v>
      </c>
      <c r="BL450" s="111" t="s">
        <v>3807</v>
      </c>
      <c r="BM450" s="111" t="s">
        <v>4253</v>
      </c>
      <c r="BN450" s="111" t="s">
        <v>4253</v>
      </c>
      <c r="BO450" s="2"/>
      <c r="BP450" s="3"/>
      <c r="BQ450" s="3"/>
      <c r="BR450" s="3"/>
      <c r="BS450" s="3"/>
    </row>
    <row r="451" spans="1:71" ht="15">
      <c r="A451" s="90" t="s">
        <v>785</v>
      </c>
      <c r="B451" s="91"/>
      <c r="C451" s="91"/>
      <c r="D451" s="92">
        <v>150</v>
      </c>
      <c r="E451" s="93"/>
      <c r="F451" s="104" t="str">
        <f>HYPERLINK("https://yt3.ggpht.com/ytc/AKedOLTy_FLDNR9pinRIaloM8KlQs-HfXnaNWRyKdg=s88-c-k-c0x00ffffff-no-rj")</f>
        <v>https://yt3.ggpht.com/ytc/AKedOLTy_FLDNR9pinRIaloM8KlQs-HfXnaNWRyKdg=s88-c-k-c0x00ffffff-no-rj</v>
      </c>
      <c r="G451" s="91"/>
      <c r="H451" s="94" t="s">
        <v>1852</v>
      </c>
      <c r="I451" s="95"/>
      <c r="J451" s="95" t="s">
        <v>159</v>
      </c>
      <c r="K451" s="94" t="s">
        <v>1852</v>
      </c>
      <c r="L451" s="96">
        <v>1</v>
      </c>
      <c r="M451" s="97">
        <v>3519.381591796875</v>
      </c>
      <c r="N451" s="97">
        <v>8824.6904296875</v>
      </c>
      <c r="O451" s="98"/>
      <c r="P451" s="99"/>
      <c r="Q451" s="99"/>
      <c r="R451" s="100"/>
      <c r="S451" s="49">
        <v>1</v>
      </c>
      <c r="T451" s="49">
        <v>2</v>
      </c>
      <c r="U451" s="50">
        <v>0</v>
      </c>
      <c r="V451" s="50">
        <v>0.478122</v>
      </c>
      <c r="W451" s="50">
        <v>0.036456</v>
      </c>
      <c r="X451" s="50">
        <v>0.002092</v>
      </c>
      <c r="Y451" s="50">
        <v>0</v>
      </c>
      <c r="Z451" s="50">
        <v>0</v>
      </c>
      <c r="AA451" s="101">
        <v>451</v>
      </c>
      <c r="AB451" s="101"/>
      <c r="AC451" s="102"/>
      <c r="AD451" s="80" t="s">
        <v>1852</v>
      </c>
      <c r="AE451" s="80"/>
      <c r="AF451" s="80"/>
      <c r="AG451" s="80"/>
      <c r="AH451" s="80"/>
      <c r="AI451" s="80"/>
      <c r="AJ451" s="87">
        <v>41755.043217592596</v>
      </c>
      <c r="AK451" s="85" t="str">
        <f>HYPERLINK("https://yt3.ggpht.com/ytc/AKedOLTy_FLDNR9pinRIaloM8KlQs-HfXnaNWRyKdg=s88-c-k-c0x00ffffff-no-rj")</f>
        <v>https://yt3.ggpht.com/ytc/AKedOLTy_FLDNR9pinRIaloM8KlQs-HfXnaNWRyKdg=s88-c-k-c0x00ffffff-no-rj</v>
      </c>
      <c r="AL451" s="80">
        <v>9</v>
      </c>
      <c r="AM451" s="80">
        <v>0</v>
      </c>
      <c r="AN451" s="80">
        <v>2</v>
      </c>
      <c r="AO451" s="80" t="b">
        <v>0</v>
      </c>
      <c r="AP451" s="80">
        <v>9</v>
      </c>
      <c r="AQ451" s="80"/>
      <c r="AR451" s="80"/>
      <c r="AS451" s="80" t="s">
        <v>2085</v>
      </c>
      <c r="AT451" s="85" t="str">
        <f>HYPERLINK("https://www.youtube.com/channel/UCCiErXs1bCwpM6jMLTYHrrg")</f>
        <v>https://www.youtube.com/channel/UCCiErXs1bCwpM6jMLTYHrrg</v>
      </c>
      <c r="AU451" s="80" t="str">
        <f>REPLACE(INDEX(GroupVertices[Group],MATCH(Vertices[[#This Row],[Vertex]],GroupVertices[Vertex],0)),1,1,"")</f>
        <v>1</v>
      </c>
      <c r="AV451" s="49">
        <v>1</v>
      </c>
      <c r="AW451" s="50">
        <v>1.7241379310344827</v>
      </c>
      <c r="AX451" s="49">
        <v>3</v>
      </c>
      <c r="AY451" s="50">
        <v>5.172413793103448</v>
      </c>
      <c r="AZ451" s="49">
        <v>0</v>
      </c>
      <c r="BA451" s="50">
        <v>0</v>
      </c>
      <c r="BB451" s="49">
        <v>54</v>
      </c>
      <c r="BC451" s="50">
        <v>93.10344827586206</v>
      </c>
      <c r="BD451" s="49">
        <v>58</v>
      </c>
      <c r="BE451" s="49"/>
      <c r="BF451" s="49"/>
      <c r="BG451" s="49"/>
      <c r="BH451" s="49"/>
      <c r="BI451" s="49"/>
      <c r="BJ451" s="49"/>
      <c r="BK451" s="111" t="s">
        <v>3808</v>
      </c>
      <c r="BL451" s="111" t="s">
        <v>3808</v>
      </c>
      <c r="BM451" s="111" t="s">
        <v>4254</v>
      </c>
      <c r="BN451" s="111" t="s">
        <v>4254</v>
      </c>
      <c r="BO451" s="2"/>
      <c r="BP451" s="3"/>
      <c r="BQ451" s="3"/>
      <c r="BR451" s="3"/>
      <c r="BS4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1"/>
    <dataValidation allowBlank="1" showInputMessage="1" promptTitle="Vertex Tooltip" prompt="Enter optional text that will pop up when the mouse is hovered over the vertex." errorTitle="Invalid Vertex Image Key" sqref="K3:K4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1"/>
    <dataValidation allowBlank="1" showInputMessage="1" promptTitle="Vertex Label Fill Color" prompt="To select an optional fill color for the Label shape, right-click and select Select Color on the right-click menu." sqref="I3:I451"/>
    <dataValidation allowBlank="1" showInputMessage="1" promptTitle="Vertex Image File" prompt="Enter the path to an image file.  Hover over the column header for examples." errorTitle="Invalid Vertex Image Key" sqref="F3:F451"/>
    <dataValidation allowBlank="1" showInputMessage="1" promptTitle="Vertex Color" prompt="To select an optional vertex color, right-click and select Select Color on the right-click menu." sqref="B3:B451"/>
    <dataValidation allowBlank="1" showInputMessage="1" promptTitle="Vertex Opacity" prompt="Enter an optional vertex opacity between 0 (transparent) and 100 (opaque)." errorTitle="Invalid Vertex Opacity" error="The optional vertex opacity must be a whole number between 0 and 10." sqref="E3:E451"/>
    <dataValidation type="list" allowBlank="1" showInputMessage="1" showErrorMessage="1" promptTitle="Vertex Shape" prompt="Select an optional vertex shape." errorTitle="Invalid Vertex Shape" error="You have entered an invalid vertex shape.  Try selecting from the drop-down list instead." sqref="C3:C4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1">
      <formula1>ValidVertexLabelPositions</formula1>
    </dataValidation>
    <dataValidation allowBlank="1" showInputMessage="1" showErrorMessage="1" promptTitle="Vertex Name" prompt="Enter the name of the vertex." sqref="A3:A4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3188</v>
      </c>
      <c r="Z2" s="54" t="s">
        <v>3189</v>
      </c>
      <c r="AA2" s="54" t="s">
        <v>3190</v>
      </c>
      <c r="AB2" s="54" t="s">
        <v>3191</v>
      </c>
      <c r="AC2" s="54" t="s">
        <v>3192</v>
      </c>
      <c r="AD2" s="54" t="s">
        <v>3193</v>
      </c>
      <c r="AE2" s="54" t="s">
        <v>3194</v>
      </c>
      <c r="AF2" s="54" t="s">
        <v>3195</v>
      </c>
      <c r="AG2" s="54" t="s">
        <v>3198</v>
      </c>
      <c r="AH2" s="13" t="s">
        <v>3262</v>
      </c>
      <c r="AI2" s="13" t="s">
        <v>3280</v>
      </c>
      <c r="AJ2" s="13" t="s">
        <v>3293</v>
      </c>
      <c r="AK2" s="13" t="s">
        <v>3305</v>
      </c>
      <c r="AL2" s="13" t="s">
        <v>3372</v>
      </c>
    </row>
    <row r="3" spans="1:38" ht="15">
      <c r="A3" s="65" t="s">
        <v>2087</v>
      </c>
      <c r="B3" s="66" t="s">
        <v>2105</v>
      </c>
      <c r="C3" s="66" t="s">
        <v>56</v>
      </c>
      <c r="D3" s="106"/>
      <c r="E3" s="14"/>
      <c r="F3" s="15" t="s">
        <v>4518</v>
      </c>
      <c r="G3" s="64"/>
      <c r="H3" s="64"/>
      <c r="I3" s="107">
        <v>3</v>
      </c>
      <c r="J3" s="51"/>
      <c r="K3" s="49">
        <v>374</v>
      </c>
      <c r="L3" s="49">
        <v>315</v>
      </c>
      <c r="M3" s="49">
        <v>196</v>
      </c>
      <c r="N3" s="49">
        <v>511</v>
      </c>
      <c r="O3" s="49">
        <v>4</v>
      </c>
      <c r="P3" s="50">
        <v>0</v>
      </c>
      <c r="Q3" s="50">
        <v>0</v>
      </c>
      <c r="R3" s="49">
        <v>1</v>
      </c>
      <c r="S3" s="49">
        <v>0</v>
      </c>
      <c r="T3" s="49">
        <v>374</v>
      </c>
      <c r="U3" s="49">
        <v>511</v>
      </c>
      <c r="V3" s="49">
        <v>2</v>
      </c>
      <c r="W3" s="50">
        <v>1.989319</v>
      </c>
      <c r="X3" s="50">
        <v>0.00267379679144385</v>
      </c>
      <c r="Y3" s="49">
        <v>602</v>
      </c>
      <c r="Z3" s="50">
        <v>3.908583300870017</v>
      </c>
      <c r="AA3" s="49">
        <v>529</v>
      </c>
      <c r="AB3" s="50">
        <v>3.4346188806648486</v>
      </c>
      <c r="AC3" s="49">
        <v>0</v>
      </c>
      <c r="AD3" s="50">
        <v>0</v>
      </c>
      <c r="AE3" s="49">
        <v>14271</v>
      </c>
      <c r="AF3" s="50">
        <v>92.65679781846514</v>
      </c>
      <c r="AG3" s="49">
        <v>15402</v>
      </c>
      <c r="AH3" s="80" t="s">
        <v>3263</v>
      </c>
      <c r="AI3" s="80" t="s">
        <v>3281</v>
      </c>
      <c r="AJ3" s="80"/>
      <c r="AK3" s="83" t="s">
        <v>3306</v>
      </c>
      <c r="AL3" s="83" t="s">
        <v>3373</v>
      </c>
    </row>
    <row r="4" spans="1:38" ht="15">
      <c r="A4" s="65" t="s">
        <v>2088</v>
      </c>
      <c r="B4" s="66" t="s">
        <v>2106</v>
      </c>
      <c r="C4" s="66" t="s">
        <v>56</v>
      </c>
      <c r="D4" s="106"/>
      <c r="E4" s="14"/>
      <c r="F4" s="15" t="s">
        <v>4519</v>
      </c>
      <c r="G4" s="64"/>
      <c r="H4" s="64"/>
      <c r="I4" s="107">
        <v>4</v>
      </c>
      <c r="J4" s="78"/>
      <c r="K4" s="49">
        <v>12</v>
      </c>
      <c r="L4" s="49">
        <v>8</v>
      </c>
      <c r="M4" s="49">
        <v>9</v>
      </c>
      <c r="N4" s="49">
        <v>17</v>
      </c>
      <c r="O4" s="49">
        <v>3</v>
      </c>
      <c r="P4" s="50">
        <v>0</v>
      </c>
      <c r="Q4" s="50">
        <v>0</v>
      </c>
      <c r="R4" s="49">
        <v>1</v>
      </c>
      <c r="S4" s="49">
        <v>0</v>
      </c>
      <c r="T4" s="49">
        <v>12</v>
      </c>
      <c r="U4" s="49">
        <v>17</v>
      </c>
      <c r="V4" s="49">
        <v>6</v>
      </c>
      <c r="W4" s="50">
        <v>2.708333</v>
      </c>
      <c r="X4" s="50">
        <v>0.08333333333333333</v>
      </c>
      <c r="Y4" s="49">
        <v>30</v>
      </c>
      <c r="Z4" s="50">
        <v>3.1315240083507305</v>
      </c>
      <c r="AA4" s="49">
        <v>24</v>
      </c>
      <c r="AB4" s="50">
        <v>2.5052192066805845</v>
      </c>
      <c r="AC4" s="49">
        <v>0</v>
      </c>
      <c r="AD4" s="50">
        <v>0</v>
      </c>
      <c r="AE4" s="49">
        <v>904</v>
      </c>
      <c r="AF4" s="50">
        <v>94.36325678496868</v>
      </c>
      <c r="AG4" s="49">
        <v>958</v>
      </c>
      <c r="AH4" s="80"/>
      <c r="AI4" s="80"/>
      <c r="AJ4" s="80"/>
      <c r="AK4" s="83" t="s">
        <v>3307</v>
      </c>
      <c r="AL4" s="83" t="s">
        <v>3374</v>
      </c>
    </row>
    <row r="5" spans="1:38" ht="15">
      <c r="A5" s="65" t="s">
        <v>2089</v>
      </c>
      <c r="B5" s="66" t="s">
        <v>2107</v>
      </c>
      <c r="C5" s="66" t="s">
        <v>56</v>
      </c>
      <c r="D5" s="106"/>
      <c r="E5" s="14"/>
      <c r="F5" s="15" t="s">
        <v>4520</v>
      </c>
      <c r="G5" s="64"/>
      <c r="H5" s="64"/>
      <c r="I5" s="107">
        <v>5</v>
      </c>
      <c r="J5" s="78"/>
      <c r="K5" s="49">
        <v>11</v>
      </c>
      <c r="L5" s="49">
        <v>10</v>
      </c>
      <c r="M5" s="49">
        <v>0</v>
      </c>
      <c r="N5" s="49">
        <v>10</v>
      </c>
      <c r="O5" s="49">
        <v>0</v>
      </c>
      <c r="P5" s="50">
        <v>0</v>
      </c>
      <c r="Q5" s="50">
        <v>0</v>
      </c>
      <c r="R5" s="49">
        <v>1</v>
      </c>
      <c r="S5" s="49">
        <v>0</v>
      </c>
      <c r="T5" s="49">
        <v>11</v>
      </c>
      <c r="U5" s="49">
        <v>10</v>
      </c>
      <c r="V5" s="49">
        <v>6</v>
      </c>
      <c r="W5" s="50">
        <v>2.710744</v>
      </c>
      <c r="X5" s="50">
        <v>0.09090909090909091</v>
      </c>
      <c r="Y5" s="49">
        <v>21</v>
      </c>
      <c r="Z5" s="50">
        <v>2.4193548387096775</v>
      </c>
      <c r="AA5" s="49">
        <v>18</v>
      </c>
      <c r="AB5" s="50">
        <v>2.0737327188940093</v>
      </c>
      <c r="AC5" s="49">
        <v>0</v>
      </c>
      <c r="AD5" s="50">
        <v>0</v>
      </c>
      <c r="AE5" s="49">
        <v>829</v>
      </c>
      <c r="AF5" s="50">
        <v>95.50691244239631</v>
      </c>
      <c r="AG5" s="49">
        <v>868</v>
      </c>
      <c r="AH5" s="80" t="s">
        <v>3246</v>
      </c>
      <c r="AI5" s="80" t="s">
        <v>1922</v>
      </c>
      <c r="AJ5" s="80"/>
      <c r="AK5" s="83" t="s">
        <v>3308</v>
      </c>
      <c r="AL5" s="83" t="s">
        <v>3375</v>
      </c>
    </row>
    <row r="6" spans="1:38" ht="15">
      <c r="A6" s="65" t="s">
        <v>2090</v>
      </c>
      <c r="B6" s="66" t="s">
        <v>2108</v>
      </c>
      <c r="C6" s="66" t="s">
        <v>56</v>
      </c>
      <c r="D6" s="106"/>
      <c r="E6" s="14"/>
      <c r="F6" s="15" t="s">
        <v>4521</v>
      </c>
      <c r="G6" s="64"/>
      <c r="H6" s="64"/>
      <c r="I6" s="107">
        <v>6</v>
      </c>
      <c r="J6" s="78"/>
      <c r="K6" s="49">
        <v>10</v>
      </c>
      <c r="L6" s="49">
        <v>8</v>
      </c>
      <c r="M6" s="49">
        <v>2</v>
      </c>
      <c r="N6" s="49">
        <v>10</v>
      </c>
      <c r="O6" s="49">
        <v>0</v>
      </c>
      <c r="P6" s="50">
        <v>0</v>
      </c>
      <c r="Q6" s="50">
        <v>0</v>
      </c>
      <c r="R6" s="49">
        <v>1</v>
      </c>
      <c r="S6" s="49">
        <v>0</v>
      </c>
      <c r="T6" s="49">
        <v>10</v>
      </c>
      <c r="U6" s="49">
        <v>10</v>
      </c>
      <c r="V6" s="49">
        <v>2</v>
      </c>
      <c r="W6" s="50">
        <v>1.62</v>
      </c>
      <c r="X6" s="50">
        <v>0.1</v>
      </c>
      <c r="Y6" s="49">
        <v>2</v>
      </c>
      <c r="Z6" s="50">
        <v>3.0303030303030303</v>
      </c>
      <c r="AA6" s="49">
        <v>3</v>
      </c>
      <c r="AB6" s="50">
        <v>4.545454545454546</v>
      </c>
      <c r="AC6" s="49">
        <v>0</v>
      </c>
      <c r="AD6" s="50">
        <v>0</v>
      </c>
      <c r="AE6" s="49">
        <v>61</v>
      </c>
      <c r="AF6" s="50">
        <v>92.42424242424242</v>
      </c>
      <c r="AG6" s="49">
        <v>66</v>
      </c>
      <c r="AH6" s="80"/>
      <c r="AI6" s="80"/>
      <c r="AJ6" s="80"/>
      <c r="AK6" s="83" t="s">
        <v>3309</v>
      </c>
      <c r="AL6" s="83" t="s">
        <v>3356</v>
      </c>
    </row>
    <row r="7" spans="1:38" ht="15">
      <c r="A7" s="65" t="s">
        <v>2091</v>
      </c>
      <c r="B7" s="66" t="s">
        <v>2109</v>
      </c>
      <c r="C7" s="66" t="s">
        <v>56</v>
      </c>
      <c r="D7" s="106"/>
      <c r="E7" s="14"/>
      <c r="F7" s="15" t="s">
        <v>4522</v>
      </c>
      <c r="G7" s="64"/>
      <c r="H7" s="64"/>
      <c r="I7" s="107">
        <v>7</v>
      </c>
      <c r="J7" s="78"/>
      <c r="K7" s="49">
        <v>5</v>
      </c>
      <c r="L7" s="49">
        <v>4</v>
      </c>
      <c r="M7" s="49">
        <v>0</v>
      </c>
      <c r="N7" s="49">
        <v>4</v>
      </c>
      <c r="O7" s="49">
        <v>0</v>
      </c>
      <c r="P7" s="50">
        <v>0</v>
      </c>
      <c r="Q7" s="50">
        <v>0</v>
      </c>
      <c r="R7" s="49">
        <v>1</v>
      </c>
      <c r="S7" s="49">
        <v>0</v>
      </c>
      <c r="T7" s="49">
        <v>5</v>
      </c>
      <c r="U7" s="49">
        <v>4</v>
      </c>
      <c r="V7" s="49">
        <v>2</v>
      </c>
      <c r="W7" s="50">
        <v>1.28</v>
      </c>
      <c r="X7" s="50">
        <v>0.2</v>
      </c>
      <c r="Y7" s="49">
        <v>16</v>
      </c>
      <c r="Z7" s="50">
        <v>25.806451612903224</v>
      </c>
      <c r="AA7" s="49">
        <v>1</v>
      </c>
      <c r="AB7" s="50">
        <v>1.6129032258064515</v>
      </c>
      <c r="AC7" s="49">
        <v>0</v>
      </c>
      <c r="AD7" s="50">
        <v>0</v>
      </c>
      <c r="AE7" s="49">
        <v>45</v>
      </c>
      <c r="AF7" s="50">
        <v>72.58064516129032</v>
      </c>
      <c r="AG7" s="49">
        <v>62</v>
      </c>
      <c r="AH7" s="80"/>
      <c r="AI7" s="80"/>
      <c r="AJ7" s="80"/>
      <c r="AK7" s="83" t="s">
        <v>3310</v>
      </c>
      <c r="AL7" s="83" t="s">
        <v>1927</v>
      </c>
    </row>
    <row r="8" spans="1:38" ht="15">
      <c r="A8" s="65" t="s">
        <v>2092</v>
      </c>
      <c r="B8" s="66" t="s">
        <v>2110</v>
      </c>
      <c r="C8" s="66" t="s">
        <v>56</v>
      </c>
      <c r="D8" s="106"/>
      <c r="E8" s="14"/>
      <c r="F8" s="15" t="s">
        <v>4523</v>
      </c>
      <c r="G8" s="64"/>
      <c r="H8" s="64"/>
      <c r="I8" s="107">
        <v>8</v>
      </c>
      <c r="J8" s="78"/>
      <c r="K8" s="49">
        <v>5</v>
      </c>
      <c r="L8" s="49">
        <v>4</v>
      </c>
      <c r="M8" s="49">
        <v>0</v>
      </c>
      <c r="N8" s="49">
        <v>4</v>
      </c>
      <c r="O8" s="49">
        <v>0</v>
      </c>
      <c r="P8" s="50">
        <v>0</v>
      </c>
      <c r="Q8" s="50">
        <v>0</v>
      </c>
      <c r="R8" s="49">
        <v>1</v>
      </c>
      <c r="S8" s="49">
        <v>0</v>
      </c>
      <c r="T8" s="49">
        <v>5</v>
      </c>
      <c r="U8" s="49">
        <v>4</v>
      </c>
      <c r="V8" s="49">
        <v>2</v>
      </c>
      <c r="W8" s="50">
        <v>1.28</v>
      </c>
      <c r="X8" s="50">
        <v>0.2</v>
      </c>
      <c r="Y8" s="49">
        <v>14</v>
      </c>
      <c r="Z8" s="50">
        <v>5.384615384615385</v>
      </c>
      <c r="AA8" s="49">
        <v>9</v>
      </c>
      <c r="AB8" s="50">
        <v>3.4615384615384617</v>
      </c>
      <c r="AC8" s="49">
        <v>0</v>
      </c>
      <c r="AD8" s="50">
        <v>0</v>
      </c>
      <c r="AE8" s="49">
        <v>237</v>
      </c>
      <c r="AF8" s="50">
        <v>91.15384615384616</v>
      </c>
      <c r="AG8" s="49">
        <v>260</v>
      </c>
      <c r="AH8" s="80"/>
      <c r="AI8" s="80"/>
      <c r="AJ8" s="80"/>
      <c r="AK8" s="83" t="s">
        <v>3311</v>
      </c>
      <c r="AL8" s="83" t="s">
        <v>3376</v>
      </c>
    </row>
    <row r="9" spans="1:38" ht="15">
      <c r="A9" s="65" t="s">
        <v>2093</v>
      </c>
      <c r="B9" s="66" t="s">
        <v>2111</v>
      </c>
      <c r="C9" s="66" t="s">
        <v>56</v>
      </c>
      <c r="D9" s="106"/>
      <c r="E9" s="14"/>
      <c r="F9" s="15" t="s">
        <v>4524</v>
      </c>
      <c r="G9" s="64"/>
      <c r="H9" s="64"/>
      <c r="I9" s="107">
        <v>9</v>
      </c>
      <c r="J9" s="78"/>
      <c r="K9" s="49">
        <v>4</v>
      </c>
      <c r="L9" s="49">
        <v>3</v>
      </c>
      <c r="M9" s="49">
        <v>0</v>
      </c>
      <c r="N9" s="49">
        <v>3</v>
      </c>
      <c r="O9" s="49">
        <v>0</v>
      </c>
      <c r="P9" s="50">
        <v>0</v>
      </c>
      <c r="Q9" s="50">
        <v>0</v>
      </c>
      <c r="R9" s="49">
        <v>1</v>
      </c>
      <c r="S9" s="49">
        <v>0</v>
      </c>
      <c r="T9" s="49">
        <v>4</v>
      </c>
      <c r="U9" s="49">
        <v>3</v>
      </c>
      <c r="V9" s="49">
        <v>2</v>
      </c>
      <c r="W9" s="50">
        <v>1.125</v>
      </c>
      <c r="X9" s="50">
        <v>0.25</v>
      </c>
      <c r="Y9" s="49">
        <v>33</v>
      </c>
      <c r="Z9" s="50">
        <v>4.059040590405904</v>
      </c>
      <c r="AA9" s="49">
        <v>17</v>
      </c>
      <c r="AB9" s="50">
        <v>2.091020910209102</v>
      </c>
      <c r="AC9" s="49">
        <v>0</v>
      </c>
      <c r="AD9" s="50">
        <v>0</v>
      </c>
      <c r="AE9" s="49">
        <v>763</v>
      </c>
      <c r="AF9" s="50">
        <v>93.84993849938499</v>
      </c>
      <c r="AG9" s="49">
        <v>813</v>
      </c>
      <c r="AH9" s="80"/>
      <c r="AI9" s="80"/>
      <c r="AJ9" s="80"/>
      <c r="AK9" s="83" t="s">
        <v>3312</v>
      </c>
      <c r="AL9" s="83" t="s">
        <v>3377</v>
      </c>
    </row>
    <row r="10" spans="1:38" ht="14.25" customHeight="1">
      <c r="A10" s="65" t="s">
        <v>2094</v>
      </c>
      <c r="B10" s="66" t="s">
        <v>2112</v>
      </c>
      <c r="C10" s="66" t="s">
        <v>56</v>
      </c>
      <c r="D10" s="106"/>
      <c r="E10" s="14"/>
      <c r="F10" s="15" t="s">
        <v>4525</v>
      </c>
      <c r="G10" s="64"/>
      <c r="H10" s="64"/>
      <c r="I10" s="107">
        <v>10</v>
      </c>
      <c r="J10" s="78"/>
      <c r="K10" s="49">
        <v>3</v>
      </c>
      <c r="L10" s="49">
        <v>2</v>
      </c>
      <c r="M10" s="49">
        <v>2</v>
      </c>
      <c r="N10" s="49">
        <v>4</v>
      </c>
      <c r="O10" s="49">
        <v>1</v>
      </c>
      <c r="P10" s="50">
        <v>0</v>
      </c>
      <c r="Q10" s="50">
        <v>0</v>
      </c>
      <c r="R10" s="49">
        <v>1</v>
      </c>
      <c r="S10" s="49">
        <v>0</v>
      </c>
      <c r="T10" s="49">
        <v>3</v>
      </c>
      <c r="U10" s="49">
        <v>4</v>
      </c>
      <c r="V10" s="49">
        <v>2</v>
      </c>
      <c r="W10" s="50">
        <v>0.888889</v>
      </c>
      <c r="X10" s="50">
        <v>0.3333333333333333</v>
      </c>
      <c r="Y10" s="49">
        <v>0</v>
      </c>
      <c r="Z10" s="50">
        <v>0</v>
      </c>
      <c r="AA10" s="49">
        <v>1</v>
      </c>
      <c r="AB10" s="50">
        <v>2.5</v>
      </c>
      <c r="AC10" s="49">
        <v>0</v>
      </c>
      <c r="AD10" s="50">
        <v>0</v>
      </c>
      <c r="AE10" s="49">
        <v>39</v>
      </c>
      <c r="AF10" s="50">
        <v>97.5</v>
      </c>
      <c r="AG10" s="49">
        <v>40</v>
      </c>
      <c r="AH10" s="80"/>
      <c r="AI10" s="80"/>
      <c r="AJ10" s="80"/>
      <c r="AK10" s="83" t="s">
        <v>3313</v>
      </c>
      <c r="AL10" s="83" t="s">
        <v>3378</v>
      </c>
    </row>
    <row r="11" spans="1:38" ht="15">
      <c r="A11" s="65" t="s">
        <v>2095</v>
      </c>
      <c r="B11" s="66" t="s">
        <v>2113</v>
      </c>
      <c r="C11" s="66" t="s">
        <v>56</v>
      </c>
      <c r="D11" s="106"/>
      <c r="E11" s="14"/>
      <c r="F11" s="15" t="s">
        <v>4526</v>
      </c>
      <c r="G11" s="64"/>
      <c r="H11" s="64"/>
      <c r="I11" s="107">
        <v>11</v>
      </c>
      <c r="J11" s="78"/>
      <c r="K11" s="49">
        <v>3</v>
      </c>
      <c r="L11" s="49">
        <v>2</v>
      </c>
      <c r="M11" s="49">
        <v>2</v>
      </c>
      <c r="N11" s="49">
        <v>4</v>
      </c>
      <c r="O11" s="49">
        <v>1</v>
      </c>
      <c r="P11" s="50">
        <v>0</v>
      </c>
      <c r="Q11" s="50">
        <v>0</v>
      </c>
      <c r="R11" s="49">
        <v>1</v>
      </c>
      <c r="S11" s="49">
        <v>0</v>
      </c>
      <c r="T11" s="49">
        <v>3</v>
      </c>
      <c r="U11" s="49">
        <v>4</v>
      </c>
      <c r="V11" s="49">
        <v>2</v>
      </c>
      <c r="W11" s="50">
        <v>0.888889</v>
      </c>
      <c r="X11" s="50">
        <v>0.3333333333333333</v>
      </c>
      <c r="Y11" s="49">
        <v>0</v>
      </c>
      <c r="Z11" s="50">
        <v>0</v>
      </c>
      <c r="AA11" s="49">
        <v>1</v>
      </c>
      <c r="AB11" s="50">
        <v>1.5151515151515151</v>
      </c>
      <c r="AC11" s="49">
        <v>0</v>
      </c>
      <c r="AD11" s="50">
        <v>0</v>
      </c>
      <c r="AE11" s="49">
        <v>65</v>
      </c>
      <c r="AF11" s="50">
        <v>98.48484848484848</v>
      </c>
      <c r="AG11" s="49">
        <v>66</v>
      </c>
      <c r="AH11" s="80"/>
      <c r="AI11" s="80"/>
      <c r="AJ11" s="80"/>
      <c r="AK11" s="83" t="s">
        <v>2133</v>
      </c>
      <c r="AL11" s="83" t="s">
        <v>1927</v>
      </c>
    </row>
    <row r="12" spans="1:38" ht="15">
      <c r="A12" s="65" t="s">
        <v>2096</v>
      </c>
      <c r="B12" s="66" t="s">
        <v>2114</v>
      </c>
      <c r="C12" s="66" t="s">
        <v>56</v>
      </c>
      <c r="D12" s="106"/>
      <c r="E12" s="14"/>
      <c r="F12" s="15" t="s">
        <v>4527</v>
      </c>
      <c r="G12" s="64"/>
      <c r="H12" s="64"/>
      <c r="I12" s="107">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10</v>
      </c>
      <c r="Z12" s="50">
        <v>3.717472118959108</v>
      </c>
      <c r="AA12" s="49">
        <v>14</v>
      </c>
      <c r="AB12" s="50">
        <v>5.204460966542751</v>
      </c>
      <c r="AC12" s="49">
        <v>0</v>
      </c>
      <c r="AD12" s="50">
        <v>0</v>
      </c>
      <c r="AE12" s="49">
        <v>245</v>
      </c>
      <c r="AF12" s="50">
        <v>91.07806691449814</v>
      </c>
      <c r="AG12" s="49">
        <v>269</v>
      </c>
      <c r="AH12" s="80"/>
      <c r="AI12" s="80"/>
      <c r="AJ12" s="80"/>
      <c r="AK12" s="83" t="s">
        <v>3314</v>
      </c>
      <c r="AL12" s="83" t="s">
        <v>3379</v>
      </c>
    </row>
    <row r="13" spans="1:38" ht="15">
      <c r="A13" s="65" t="s">
        <v>2097</v>
      </c>
      <c r="B13" s="66" t="s">
        <v>2115</v>
      </c>
      <c r="C13" s="66" t="s">
        <v>56</v>
      </c>
      <c r="D13" s="106"/>
      <c r="E13" s="14"/>
      <c r="F13" s="15" t="s">
        <v>4528</v>
      </c>
      <c r="G13" s="64"/>
      <c r="H13" s="64"/>
      <c r="I13" s="107">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2.4390243902439024</v>
      </c>
      <c r="AA13" s="49">
        <v>2</v>
      </c>
      <c r="AB13" s="50">
        <v>4.878048780487805</v>
      </c>
      <c r="AC13" s="49">
        <v>0</v>
      </c>
      <c r="AD13" s="50">
        <v>0</v>
      </c>
      <c r="AE13" s="49">
        <v>38</v>
      </c>
      <c r="AF13" s="50">
        <v>92.6829268292683</v>
      </c>
      <c r="AG13" s="49">
        <v>41</v>
      </c>
      <c r="AH13" s="80"/>
      <c r="AI13" s="80"/>
      <c r="AJ13" s="80"/>
      <c r="AK13" s="83" t="s">
        <v>2227</v>
      </c>
      <c r="AL13" s="83" t="s">
        <v>1927</v>
      </c>
    </row>
    <row r="14" spans="1:38" ht="15">
      <c r="A14" s="65" t="s">
        <v>2098</v>
      </c>
      <c r="B14" s="66" t="s">
        <v>2116</v>
      </c>
      <c r="C14" s="66" t="s">
        <v>56</v>
      </c>
      <c r="D14" s="106"/>
      <c r="E14" s="14"/>
      <c r="F14" s="15" t="s">
        <v>4529</v>
      </c>
      <c r="G14" s="64"/>
      <c r="H14" s="64"/>
      <c r="I14" s="107">
        <v>14</v>
      </c>
      <c r="J14" s="78"/>
      <c r="K14" s="49">
        <v>3</v>
      </c>
      <c r="L14" s="49">
        <v>2</v>
      </c>
      <c r="M14" s="49">
        <v>2</v>
      </c>
      <c r="N14" s="49">
        <v>4</v>
      </c>
      <c r="O14" s="49">
        <v>1</v>
      </c>
      <c r="P14" s="50">
        <v>0</v>
      </c>
      <c r="Q14" s="50">
        <v>0</v>
      </c>
      <c r="R14" s="49">
        <v>1</v>
      </c>
      <c r="S14" s="49">
        <v>0</v>
      </c>
      <c r="T14" s="49">
        <v>3</v>
      </c>
      <c r="U14" s="49">
        <v>4</v>
      </c>
      <c r="V14" s="49">
        <v>2</v>
      </c>
      <c r="W14" s="50">
        <v>0.888889</v>
      </c>
      <c r="X14" s="50">
        <v>0.3333333333333333</v>
      </c>
      <c r="Y14" s="49">
        <v>14</v>
      </c>
      <c r="Z14" s="50">
        <v>9.210526315789474</v>
      </c>
      <c r="AA14" s="49">
        <v>3</v>
      </c>
      <c r="AB14" s="50">
        <v>1.9736842105263157</v>
      </c>
      <c r="AC14" s="49">
        <v>0</v>
      </c>
      <c r="AD14" s="50">
        <v>0</v>
      </c>
      <c r="AE14" s="49">
        <v>135</v>
      </c>
      <c r="AF14" s="50">
        <v>88.8157894736842</v>
      </c>
      <c r="AG14" s="49">
        <v>152</v>
      </c>
      <c r="AH14" s="80" t="s">
        <v>3264</v>
      </c>
      <c r="AI14" s="80" t="s">
        <v>1922</v>
      </c>
      <c r="AJ14" s="80"/>
      <c r="AK14" s="83" t="s">
        <v>3315</v>
      </c>
      <c r="AL14" s="83" t="s">
        <v>1927</v>
      </c>
    </row>
    <row r="15" spans="1:38" ht="15">
      <c r="A15" s="65" t="s">
        <v>2099</v>
      </c>
      <c r="B15" s="66" t="s">
        <v>2105</v>
      </c>
      <c r="C15" s="66" t="s">
        <v>59</v>
      </c>
      <c r="D15" s="106"/>
      <c r="E15" s="14"/>
      <c r="F15" s="15" t="s">
        <v>4530</v>
      </c>
      <c r="G15" s="64"/>
      <c r="H15" s="64"/>
      <c r="I15" s="107">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6</v>
      </c>
      <c r="Z15" s="50">
        <v>3.4285714285714284</v>
      </c>
      <c r="AA15" s="49">
        <v>1</v>
      </c>
      <c r="AB15" s="50">
        <v>0.5714285714285714</v>
      </c>
      <c r="AC15" s="49">
        <v>0</v>
      </c>
      <c r="AD15" s="50">
        <v>0</v>
      </c>
      <c r="AE15" s="49">
        <v>168</v>
      </c>
      <c r="AF15" s="50">
        <v>96</v>
      </c>
      <c r="AG15" s="49">
        <v>175</v>
      </c>
      <c r="AH15" s="80"/>
      <c r="AI15" s="80"/>
      <c r="AJ15" s="80"/>
      <c r="AK15" s="83" t="s">
        <v>3316</v>
      </c>
      <c r="AL15" s="83" t="s">
        <v>1927</v>
      </c>
    </row>
    <row r="16" spans="1:38" ht="15">
      <c r="A16" s="65" t="s">
        <v>2100</v>
      </c>
      <c r="B16" s="66" t="s">
        <v>2106</v>
      </c>
      <c r="C16" s="66" t="s">
        <v>59</v>
      </c>
      <c r="D16" s="106"/>
      <c r="E16" s="14"/>
      <c r="F16" s="15" t="s">
        <v>4531</v>
      </c>
      <c r="G16" s="64"/>
      <c r="H16" s="64"/>
      <c r="I16" s="107">
        <v>16</v>
      </c>
      <c r="J16" s="78"/>
      <c r="K16" s="49">
        <v>2</v>
      </c>
      <c r="L16" s="49">
        <v>2</v>
      </c>
      <c r="M16" s="49">
        <v>0</v>
      </c>
      <c r="N16" s="49">
        <v>2</v>
      </c>
      <c r="O16" s="49">
        <v>1</v>
      </c>
      <c r="P16" s="50">
        <v>0</v>
      </c>
      <c r="Q16" s="50">
        <v>0</v>
      </c>
      <c r="R16" s="49">
        <v>1</v>
      </c>
      <c r="S16" s="49">
        <v>0</v>
      </c>
      <c r="T16" s="49">
        <v>2</v>
      </c>
      <c r="U16" s="49">
        <v>2</v>
      </c>
      <c r="V16" s="49">
        <v>1</v>
      </c>
      <c r="W16" s="50">
        <v>0.5</v>
      </c>
      <c r="X16" s="50">
        <v>0.5</v>
      </c>
      <c r="Y16" s="49">
        <v>4</v>
      </c>
      <c r="Z16" s="50">
        <v>2.4539877300613497</v>
      </c>
      <c r="AA16" s="49">
        <v>3</v>
      </c>
      <c r="AB16" s="50">
        <v>1.8404907975460123</v>
      </c>
      <c r="AC16" s="49">
        <v>0</v>
      </c>
      <c r="AD16" s="50">
        <v>0</v>
      </c>
      <c r="AE16" s="49">
        <v>156</v>
      </c>
      <c r="AF16" s="50">
        <v>95.70552147239263</v>
      </c>
      <c r="AG16" s="49">
        <v>163</v>
      </c>
      <c r="AH16" s="80"/>
      <c r="AI16" s="80"/>
      <c r="AJ16" s="80"/>
      <c r="AK16" s="83" t="s">
        <v>3317</v>
      </c>
      <c r="AL16" s="83" t="s">
        <v>3380</v>
      </c>
    </row>
    <row r="17" spans="1:38" ht="15">
      <c r="A17" s="65" t="s">
        <v>2101</v>
      </c>
      <c r="B17" s="66" t="s">
        <v>2107</v>
      </c>
      <c r="C17" s="66" t="s">
        <v>59</v>
      </c>
      <c r="D17" s="106"/>
      <c r="E17" s="14"/>
      <c r="F17" s="15" t="s">
        <v>2101</v>
      </c>
      <c r="G17" s="64"/>
      <c r="H17" s="64"/>
      <c r="I17" s="107">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80"/>
      <c r="AI17" s="80"/>
      <c r="AJ17" s="80"/>
      <c r="AK17" s="83" t="s">
        <v>1927</v>
      </c>
      <c r="AL17" s="83" t="s">
        <v>1927</v>
      </c>
    </row>
    <row r="18" spans="1:38" ht="15">
      <c r="A18" s="65" t="s">
        <v>2102</v>
      </c>
      <c r="B18" s="66" t="s">
        <v>2108</v>
      </c>
      <c r="C18" s="66" t="s">
        <v>59</v>
      </c>
      <c r="D18" s="106"/>
      <c r="E18" s="14"/>
      <c r="F18" s="15" t="s">
        <v>4532</v>
      </c>
      <c r="G18" s="64"/>
      <c r="H18" s="64"/>
      <c r="I18" s="107">
        <v>18</v>
      </c>
      <c r="J18" s="78"/>
      <c r="K18" s="49">
        <v>2</v>
      </c>
      <c r="L18" s="49">
        <v>2</v>
      </c>
      <c r="M18" s="49">
        <v>0</v>
      </c>
      <c r="N18" s="49">
        <v>2</v>
      </c>
      <c r="O18" s="49">
        <v>1</v>
      </c>
      <c r="P18" s="50">
        <v>0</v>
      </c>
      <c r="Q18" s="50">
        <v>0</v>
      </c>
      <c r="R18" s="49">
        <v>1</v>
      </c>
      <c r="S18" s="49">
        <v>0</v>
      </c>
      <c r="T18" s="49">
        <v>2</v>
      </c>
      <c r="U18" s="49">
        <v>2</v>
      </c>
      <c r="V18" s="49">
        <v>1</v>
      </c>
      <c r="W18" s="50">
        <v>0.5</v>
      </c>
      <c r="X18" s="50">
        <v>0.5</v>
      </c>
      <c r="Y18" s="49">
        <v>6</v>
      </c>
      <c r="Z18" s="50">
        <v>3.9473684210526314</v>
      </c>
      <c r="AA18" s="49">
        <v>9</v>
      </c>
      <c r="AB18" s="50">
        <v>5.921052631578948</v>
      </c>
      <c r="AC18" s="49">
        <v>0</v>
      </c>
      <c r="AD18" s="50">
        <v>0</v>
      </c>
      <c r="AE18" s="49">
        <v>137</v>
      </c>
      <c r="AF18" s="50">
        <v>90.13157894736842</v>
      </c>
      <c r="AG18" s="49">
        <v>152</v>
      </c>
      <c r="AH18" s="80" t="s">
        <v>3265</v>
      </c>
      <c r="AI18" s="80" t="s">
        <v>1922</v>
      </c>
      <c r="AJ18" s="80"/>
      <c r="AK18" s="83" t="s">
        <v>3318</v>
      </c>
      <c r="AL18" s="83" t="s">
        <v>3381</v>
      </c>
    </row>
    <row r="19" spans="1:38" ht="15">
      <c r="A19" s="65" t="s">
        <v>2103</v>
      </c>
      <c r="B19" s="66" t="s">
        <v>2109</v>
      </c>
      <c r="C19" s="66" t="s">
        <v>59</v>
      </c>
      <c r="D19" s="106"/>
      <c r="E19" s="14"/>
      <c r="F19" s="15" t="s">
        <v>2103</v>
      </c>
      <c r="G19" s="64"/>
      <c r="H19" s="64"/>
      <c r="I19" s="107">
        <v>19</v>
      </c>
      <c r="J19" s="78"/>
      <c r="K19" s="49">
        <v>2</v>
      </c>
      <c r="L19" s="49">
        <v>1</v>
      </c>
      <c r="M19" s="49">
        <v>0</v>
      </c>
      <c r="N19" s="49">
        <v>1</v>
      </c>
      <c r="O19" s="49">
        <v>0</v>
      </c>
      <c r="P19" s="50">
        <v>0</v>
      </c>
      <c r="Q19" s="50">
        <v>0</v>
      </c>
      <c r="R19" s="49">
        <v>1</v>
      </c>
      <c r="S19" s="49">
        <v>0</v>
      </c>
      <c r="T19" s="49">
        <v>2</v>
      </c>
      <c r="U19" s="49">
        <v>1</v>
      </c>
      <c r="V19" s="49">
        <v>1</v>
      </c>
      <c r="W19" s="50">
        <v>0.5</v>
      </c>
      <c r="X19" s="50">
        <v>0.5</v>
      </c>
      <c r="Y19" s="49">
        <v>1</v>
      </c>
      <c r="Z19" s="50">
        <v>7.6923076923076925</v>
      </c>
      <c r="AA19" s="49">
        <v>0</v>
      </c>
      <c r="AB19" s="50">
        <v>0</v>
      </c>
      <c r="AC19" s="49">
        <v>0</v>
      </c>
      <c r="AD19" s="50">
        <v>0</v>
      </c>
      <c r="AE19" s="49">
        <v>12</v>
      </c>
      <c r="AF19" s="50">
        <v>92.3076923076923</v>
      </c>
      <c r="AG19" s="49">
        <v>13</v>
      </c>
      <c r="AH19" s="80"/>
      <c r="AI19" s="80"/>
      <c r="AJ19" s="80"/>
      <c r="AK19" s="83" t="s">
        <v>1927</v>
      </c>
      <c r="AL19" s="83" t="s">
        <v>1927</v>
      </c>
    </row>
    <row r="20" spans="1:38" ht="15">
      <c r="A20" s="65" t="s">
        <v>2104</v>
      </c>
      <c r="B20" s="66" t="s">
        <v>2110</v>
      </c>
      <c r="C20" s="66" t="s">
        <v>59</v>
      </c>
      <c r="D20" s="106"/>
      <c r="E20" s="14"/>
      <c r="F20" s="15" t="s">
        <v>4533</v>
      </c>
      <c r="G20" s="64"/>
      <c r="H20" s="64"/>
      <c r="I20" s="107">
        <v>20</v>
      </c>
      <c r="J20" s="78"/>
      <c r="K20" s="49">
        <v>2</v>
      </c>
      <c r="L20" s="49">
        <v>1</v>
      </c>
      <c r="M20" s="49">
        <v>0</v>
      </c>
      <c r="N20" s="49">
        <v>1</v>
      </c>
      <c r="O20" s="49">
        <v>0</v>
      </c>
      <c r="P20" s="50">
        <v>0</v>
      </c>
      <c r="Q20" s="50">
        <v>0</v>
      </c>
      <c r="R20" s="49">
        <v>1</v>
      </c>
      <c r="S20" s="49">
        <v>0</v>
      </c>
      <c r="T20" s="49">
        <v>2</v>
      </c>
      <c r="U20" s="49">
        <v>1</v>
      </c>
      <c r="V20" s="49">
        <v>1</v>
      </c>
      <c r="W20" s="50">
        <v>0.5</v>
      </c>
      <c r="X20" s="50">
        <v>0.5</v>
      </c>
      <c r="Y20" s="49">
        <v>1</v>
      </c>
      <c r="Z20" s="50">
        <v>3.8461538461538463</v>
      </c>
      <c r="AA20" s="49">
        <v>0</v>
      </c>
      <c r="AB20" s="50">
        <v>0</v>
      </c>
      <c r="AC20" s="49">
        <v>0</v>
      </c>
      <c r="AD20" s="50">
        <v>0</v>
      </c>
      <c r="AE20" s="49">
        <v>25</v>
      </c>
      <c r="AF20" s="50">
        <v>96.15384615384616</v>
      </c>
      <c r="AG20" s="49">
        <v>26</v>
      </c>
      <c r="AH20" s="80"/>
      <c r="AI20" s="80"/>
      <c r="AJ20" s="80"/>
      <c r="AK20" s="83" t="s">
        <v>2147</v>
      </c>
      <c r="AL20" s="83" t="s">
        <v>1927</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2087</v>
      </c>
      <c r="B2" s="83" t="s">
        <v>785</v>
      </c>
      <c r="C2" s="80">
        <f>VLOOKUP(GroupVertices[[#This Row],[Vertex]],Vertices[],MATCH("ID",Vertices[[#Headers],[Vertex]:[Top Word Pairs in Comment by Salience]],0),FALSE)</f>
        <v>451</v>
      </c>
    </row>
    <row r="3" spans="1:3" ht="15">
      <c r="A3" s="81" t="s">
        <v>2087</v>
      </c>
      <c r="B3" s="83" t="s">
        <v>786</v>
      </c>
      <c r="C3" s="80">
        <f>VLOOKUP(GroupVertices[[#This Row],[Vertex]],Vertices[],MATCH("ID",Vertices[[#Headers],[Vertex]:[Top Word Pairs in Comment by Salience]],0),FALSE)</f>
        <v>4</v>
      </c>
    </row>
    <row r="4" spans="1:3" ht="15">
      <c r="A4" s="81" t="s">
        <v>2087</v>
      </c>
      <c r="B4" s="83" t="s">
        <v>784</v>
      </c>
      <c r="C4" s="80">
        <f>VLOOKUP(GroupVertices[[#This Row],[Vertex]],Vertices[],MATCH("ID",Vertices[[#Headers],[Vertex]:[Top Word Pairs in Comment by Salience]],0),FALSE)</f>
        <v>450</v>
      </c>
    </row>
    <row r="5" spans="1:3" ht="15">
      <c r="A5" s="81" t="s">
        <v>2087</v>
      </c>
      <c r="B5" s="83" t="s">
        <v>783</v>
      </c>
      <c r="C5" s="80">
        <f>VLOOKUP(GroupVertices[[#This Row],[Vertex]],Vertices[],MATCH("ID",Vertices[[#Headers],[Vertex]:[Top Word Pairs in Comment by Salience]],0),FALSE)</f>
        <v>449</v>
      </c>
    </row>
    <row r="6" spans="1:3" ht="15">
      <c r="A6" s="81" t="s">
        <v>2087</v>
      </c>
      <c r="B6" s="83" t="s">
        <v>782</v>
      </c>
      <c r="C6" s="80">
        <f>VLOOKUP(GroupVertices[[#This Row],[Vertex]],Vertices[],MATCH("ID",Vertices[[#Headers],[Vertex]:[Top Word Pairs in Comment by Salience]],0),FALSE)</f>
        <v>448</v>
      </c>
    </row>
    <row r="7" spans="1:3" ht="15">
      <c r="A7" s="81" t="s">
        <v>2087</v>
      </c>
      <c r="B7" s="83" t="s">
        <v>781</v>
      </c>
      <c r="C7" s="80">
        <f>VLOOKUP(GroupVertices[[#This Row],[Vertex]],Vertices[],MATCH("ID",Vertices[[#Headers],[Vertex]:[Top Word Pairs in Comment by Salience]],0),FALSE)</f>
        <v>447</v>
      </c>
    </row>
    <row r="8" spans="1:3" ht="15">
      <c r="A8" s="81" t="s">
        <v>2087</v>
      </c>
      <c r="B8" s="83" t="s">
        <v>780</v>
      </c>
      <c r="C8" s="80">
        <f>VLOOKUP(GroupVertices[[#This Row],[Vertex]],Vertices[],MATCH("ID",Vertices[[#Headers],[Vertex]:[Top Word Pairs in Comment by Salience]],0),FALSE)</f>
        <v>446</v>
      </c>
    </row>
    <row r="9" spans="1:3" ht="15">
      <c r="A9" s="81" t="s">
        <v>2087</v>
      </c>
      <c r="B9" s="83" t="s">
        <v>779</v>
      </c>
      <c r="C9" s="80">
        <f>VLOOKUP(GroupVertices[[#This Row],[Vertex]],Vertices[],MATCH("ID",Vertices[[#Headers],[Vertex]:[Top Word Pairs in Comment by Salience]],0),FALSE)</f>
        <v>445</v>
      </c>
    </row>
    <row r="10" spans="1:3" ht="15">
      <c r="A10" s="81" t="s">
        <v>2087</v>
      </c>
      <c r="B10" s="83" t="s">
        <v>778</v>
      </c>
      <c r="C10" s="80">
        <f>VLOOKUP(GroupVertices[[#This Row],[Vertex]],Vertices[],MATCH("ID",Vertices[[#Headers],[Vertex]:[Top Word Pairs in Comment by Salience]],0),FALSE)</f>
        <v>444</v>
      </c>
    </row>
    <row r="11" spans="1:3" ht="15">
      <c r="A11" s="81" t="s">
        <v>2087</v>
      </c>
      <c r="B11" s="83" t="s">
        <v>777</v>
      </c>
      <c r="C11" s="80">
        <f>VLOOKUP(GroupVertices[[#This Row],[Vertex]],Vertices[],MATCH("ID",Vertices[[#Headers],[Vertex]:[Top Word Pairs in Comment by Salience]],0),FALSE)</f>
        <v>443</v>
      </c>
    </row>
    <row r="12" spans="1:3" ht="15">
      <c r="A12" s="81" t="s">
        <v>2087</v>
      </c>
      <c r="B12" s="83" t="s">
        <v>776</v>
      </c>
      <c r="C12" s="80">
        <f>VLOOKUP(GroupVertices[[#This Row],[Vertex]],Vertices[],MATCH("ID",Vertices[[#Headers],[Vertex]:[Top Word Pairs in Comment by Salience]],0),FALSE)</f>
        <v>442</v>
      </c>
    </row>
    <row r="13" spans="1:3" ht="15">
      <c r="A13" s="81" t="s">
        <v>2087</v>
      </c>
      <c r="B13" s="83" t="s">
        <v>775</v>
      </c>
      <c r="C13" s="80">
        <f>VLOOKUP(GroupVertices[[#This Row],[Vertex]],Vertices[],MATCH("ID",Vertices[[#Headers],[Vertex]:[Top Word Pairs in Comment by Salience]],0),FALSE)</f>
        <v>441</v>
      </c>
    </row>
    <row r="14" spans="1:3" ht="15">
      <c r="A14" s="81" t="s">
        <v>2087</v>
      </c>
      <c r="B14" s="83" t="s">
        <v>774</v>
      </c>
      <c r="C14" s="80">
        <f>VLOOKUP(GroupVertices[[#This Row],[Vertex]],Vertices[],MATCH("ID",Vertices[[#Headers],[Vertex]:[Top Word Pairs in Comment by Salience]],0),FALSE)</f>
        <v>440</v>
      </c>
    </row>
    <row r="15" spans="1:3" ht="15">
      <c r="A15" s="81" t="s">
        <v>2087</v>
      </c>
      <c r="B15" s="83" t="s">
        <v>773</v>
      </c>
      <c r="C15" s="80">
        <f>VLOOKUP(GroupVertices[[#This Row],[Vertex]],Vertices[],MATCH("ID",Vertices[[#Headers],[Vertex]:[Top Word Pairs in Comment by Salience]],0),FALSE)</f>
        <v>439</v>
      </c>
    </row>
    <row r="16" spans="1:3" ht="15">
      <c r="A16" s="81" t="s">
        <v>2087</v>
      </c>
      <c r="B16" s="83" t="s">
        <v>772</v>
      </c>
      <c r="C16" s="80">
        <f>VLOOKUP(GroupVertices[[#This Row],[Vertex]],Vertices[],MATCH("ID",Vertices[[#Headers],[Vertex]:[Top Word Pairs in Comment by Salience]],0),FALSE)</f>
        <v>438</v>
      </c>
    </row>
    <row r="17" spans="1:3" ht="15">
      <c r="A17" s="81" t="s">
        <v>2087</v>
      </c>
      <c r="B17" s="83" t="s">
        <v>771</v>
      </c>
      <c r="C17" s="80">
        <f>VLOOKUP(GroupVertices[[#This Row],[Vertex]],Vertices[],MATCH("ID",Vertices[[#Headers],[Vertex]:[Top Word Pairs in Comment by Salience]],0),FALSE)</f>
        <v>437</v>
      </c>
    </row>
    <row r="18" spans="1:3" ht="15">
      <c r="A18" s="81" t="s">
        <v>2087</v>
      </c>
      <c r="B18" s="83" t="s">
        <v>770</v>
      </c>
      <c r="C18" s="80">
        <f>VLOOKUP(GroupVertices[[#This Row],[Vertex]],Vertices[],MATCH("ID",Vertices[[#Headers],[Vertex]:[Top Word Pairs in Comment by Salience]],0),FALSE)</f>
        <v>436</v>
      </c>
    </row>
    <row r="19" spans="1:3" ht="15">
      <c r="A19" s="81" t="s">
        <v>2087</v>
      </c>
      <c r="B19" s="83" t="s">
        <v>769</v>
      </c>
      <c r="C19" s="80">
        <f>VLOOKUP(GroupVertices[[#This Row],[Vertex]],Vertices[],MATCH("ID",Vertices[[#Headers],[Vertex]:[Top Word Pairs in Comment by Salience]],0),FALSE)</f>
        <v>435</v>
      </c>
    </row>
    <row r="20" spans="1:3" ht="15">
      <c r="A20" s="81" t="s">
        <v>2087</v>
      </c>
      <c r="B20" s="83" t="s">
        <v>768</v>
      </c>
      <c r="C20" s="80">
        <f>VLOOKUP(GroupVertices[[#This Row],[Vertex]],Vertices[],MATCH("ID",Vertices[[#Headers],[Vertex]:[Top Word Pairs in Comment by Salience]],0),FALSE)</f>
        <v>434</v>
      </c>
    </row>
    <row r="21" spans="1:3" ht="15">
      <c r="A21" s="81" t="s">
        <v>2087</v>
      </c>
      <c r="B21" s="83" t="s">
        <v>767</v>
      </c>
      <c r="C21" s="80">
        <f>VLOOKUP(GroupVertices[[#This Row],[Vertex]],Vertices[],MATCH("ID",Vertices[[#Headers],[Vertex]:[Top Word Pairs in Comment by Salience]],0),FALSE)</f>
        <v>433</v>
      </c>
    </row>
    <row r="22" spans="1:3" ht="15">
      <c r="A22" s="81" t="s">
        <v>2087</v>
      </c>
      <c r="B22" s="83" t="s">
        <v>766</v>
      </c>
      <c r="C22" s="80">
        <f>VLOOKUP(GroupVertices[[#This Row],[Vertex]],Vertices[],MATCH("ID",Vertices[[#Headers],[Vertex]:[Top Word Pairs in Comment by Salience]],0),FALSE)</f>
        <v>432</v>
      </c>
    </row>
    <row r="23" spans="1:3" ht="15">
      <c r="A23" s="81" t="s">
        <v>2087</v>
      </c>
      <c r="B23" s="83" t="s">
        <v>765</v>
      </c>
      <c r="C23" s="80">
        <f>VLOOKUP(GroupVertices[[#This Row],[Vertex]],Vertices[],MATCH("ID",Vertices[[#Headers],[Vertex]:[Top Word Pairs in Comment by Salience]],0),FALSE)</f>
        <v>431</v>
      </c>
    </row>
    <row r="24" spans="1:3" ht="15">
      <c r="A24" s="81" t="s">
        <v>2087</v>
      </c>
      <c r="B24" s="83" t="s">
        <v>764</v>
      </c>
      <c r="C24" s="80">
        <f>VLOOKUP(GroupVertices[[#This Row],[Vertex]],Vertices[],MATCH("ID",Vertices[[#Headers],[Vertex]:[Top Word Pairs in Comment by Salience]],0),FALSE)</f>
        <v>430</v>
      </c>
    </row>
    <row r="25" spans="1:3" ht="15">
      <c r="A25" s="81" t="s">
        <v>2087</v>
      </c>
      <c r="B25" s="83" t="s">
        <v>763</v>
      </c>
      <c r="C25" s="80">
        <f>VLOOKUP(GroupVertices[[#This Row],[Vertex]],Vertices[],MATCH("ID",Vertices[[#Headers],[Vertex]:[Top Word Pairs in Comment by Salience]],0),FALSE)</f>
        <v>429</v>
      </c>
    </row>
    <row r="26" spans="1:3" ht="15">
      <c r="A26" s="81" t="s">
        <v>2087</v>
      </c>
      <c r="B26" s="83" t="s">
        <v>762</v>
      </c>
      <c r="C26" s="80">
        <f>VLOOKUP(GroupVertices[[#This Row],[Vertex]],Vertices[],MATCH("ID",Vertices[[#Headers],[Vertex]:[Top Word Pairs in Comment by Salience]],0),FALSE)</f>
        <v>428</v>
      </c>
    </row>
    <row r="27" spans="1:3" ht="15">
      <c r="A27" s="81" t="s">
        <v>2087</v>
      </c>
      <c r="B27" s="83" t="s">
        <v>759</v>
      </c>
      <c r="C27" s="80">
        <f>VLOOKUP(GroupVertices[[#This Row],[Vertex]],Vertices[],MATCH("ID",Vertices[[#Headers],[Vertex]:[Top Word Pairs in Comment by Salience]],0),FALSE)</f>
        <v>425</v>
      </c>
    </row>
    <row r="28" spans="1:3" ht="15">
      <c r="A28" s="81" t="s">
        <v>2087</v>
      </c>
      <c r="B28" s="83" t="s">
        <v>758</v>
      </c>
      <c r="C28" s="80">
        <f>VLOOKUP(GroupVertices[[#This Row],[Vertex]],Vertices[],MATCH("ID",Vertices[[#Headers],[Vertex]:[Top Word Pairs in Comment by Salience]],0),FALSE)</f>
        <v>424</v>
      </c>
    </row>
    <row r="29" spans="1:3" ht="15">
      <c r="A29" s="81" t="s">
        <v>2087</v>
      </c>
      <c r="B29" s="83" t="s">
        <v>757</v>
      </c>
      <c r="C29" s="80">
        <f>VLOOKUP(GroupVertices[[#This Row],[Vertex]],Vertices[],MATCH("ID",Vertices[[#Headers],[Vertex]:[Top Word Pairs in Comment by Salience]],0),FALSE)</f>
        <v>423</v>
      </c>
    </row>
    <row r="30" spans="1:3" ht="15">
      <c r="A30" s="81" t="s">
        <v>2087</v>
      </c>
      <c r="B30" s="83" t="s">
        <v>756</v>
      </c>
      <c r="C30" s="80">
        <f>VLOOKUP(GroupVertices[[#This Row],[Vertex]],Vertices[],MATCH("ID",Vertices[[#Headers],[Vertex]:[Top Word Pairs in Comment by Salience]],0),FALSE)</f>
        <v>422</v>
      </c>
    </row>
    <row r="31" spans="1:3" ht="15">
      <c r="A31" s="81" t="s">
        <v>2087</v>
      </c>
      <c r="B31" s="83" t="s">
        <v>755</v>
      </c>
      <c r="C31" s="80">
        <f>VLOOKUP(GroupVertices[[#This Row],[Vertex]],Vertices[],MATCH("ID",Vertices[[#Headers],[Vertex]:[Top Word Pairs in Comment by Salience]],0),FALSE)</f>
        <v>421</v>
      </c>
    </row>
    <row r="32" spans="1:3" ht="15">
      <c r="A32" s="81" t="s">
        <v>2087</v>
      </c>
      <c r="B32" s="83" t="s">
        <v>754</v>
      </c>
      <c r="C32" s="80">
        <f>VLOOKUP(GroupVertices[[#This Row],[Vertex]],Vertices[],MATCH("ID",Vertices[[#Headers],[Vertex]:[Top Word Pairs in Comment by Salience]],0),FALSE)</f>
        <v>420</v>
      </c>
    </row>
    <row r="33" spans="1:3" ht="15">
      <c r="A33" s="81" t="s">
        <v>2087</v>
      </c>
      <c r="B33" s="83" t="s">
        <v>753</v>
      </c>
      <c r="C33" s="80">
        <f>VLOOKUP(GroupVertices[[#This Row],[Vertex]],Vertices[],MATCH("ID",Vertices[[#Headers],[Vertex]:[Top Word Pairs in Comment by Salience]],0),FALSE)</f>
        <v>419</v>
      </c>
    </row>
    <row r="34" spans="1:3" ht="15">
      <c r="A34" s="81" t="s">
        <v>2087</v>
      </c>
      <c r="B34" s="83" t="s">
        <v>752</v>
      </c>
      <c r="C34" s="80">
        <f>VLOOKUP(GroupVertices[[#This Row],[Vertex]],Vertices[],MATCH("ID",Vertices[[#Headers],[Vertex]:[Top Word Pairs in Comment by Salience]],0),FALSE)</f>
        <v>418</v>
      </c>
    </row>
    <row r="35" spans="1:3" ht="15">
      <c r="A35" s="81" t="s">
        <v>2087</v>
      </c>
      <c r="B35" s="83" t="s">
        <v>751</v>
      </c>
      <c r="C35" s="80">
        <f>VLOOKUP(GroupVertices[[#This Row],[Vertex]],Vertices[],MATCH("ID",Vertices[[#Headers],[Vertex]:[Top Word Pairs in Comment by Salience]],0),FALSE)</f>
        <v>417</v>
      </c>
    </row>
    <row r="36" spans="1:3" ht="15">
      <c r="A36" s="81" t="s">
        <v>2087</v>
      </c>
      <c r="B36" s="83" t="s">
        <v>750</v>
      </c>
      <c r="C36" s="80">
        <f>VLOOKUP(GroupVertices[[#This Row],[Vertex]],Vertices[],MATCH("ID",Vertices[[#Headers],[Vertex]:[Top Word Pairs in Comment by Salience]],0),FALSE)</f>
        <v>416</v>
      </c>
    </row>
    <row r="37" spans="1:3" ht="15">
      <c r="A37" s="81" t="s">
        <v>2087</v>
      </c>
      <c r="B37" s="83" t="s">
        <v>749</v>
      </c>
      <c r="C37" s="80">
        <f>VLOOKUP(GroupVertices[[#This Row],[Vertex]],Vertices[],MATCH("ID",Vertices[[#Headers],[Vertex]:[Top Word Pairs in Comment by Salience]],0),FALSE)</f>
        <v>415</v>
      </c>
    </row>
    <row r="38" spans="1:3" ht="15">
      <c r="A38" s="81" t="s">
        <v>2087</v>
      </c>
      <c r="B38" s="83" t="s">
        <v>748</v>
      </c>
      <c r="C38" s="80">
        <f>VLOOKUP(GroupVertices[[#This Row],[Vertex]],Vertices[],MATCH("ID",Vertices[[#Headers],[Vertex]:[Top Word Pairs in Comment by Salience]],0),FALSE)</f>
        <v>414</v>
      </c>
    </row>
    <row r="39" spans="1:3" ht="15">
      <c r="A39" s="81" t="s">
        <v>2087</v>
      </c>
      <c r="B39" s="83" t="s">
        <v>747</v>
      </c>
      <c r="C39" s="80">
        <f>VLOOKUP(GroupVertices[[#This Row],[Vertex]],Vertices[],MATCH("ID",Vertices[[#Headers],[Vertex]:[Top Word Pairs in Comment by Salience]],0),FALSE)</f>
        <v>413</v>
      </c>
    </row>
    <row r="40" spans="1:3" ht="15">
      <c r="A40" s="81" t="s">
        <v>2087</v>
      </c>
      <c r="B40" s="83" t="s">
        <v>746</v>
      </c>
      <c r="C40" s="80">
        <f>VLOOKUP(GroupVertices[[#This Row],[Vertex]],Vertices[],MATCH("ID",Vertices[[#Headers],[Vertex]:[Top Word Pairs in Comment by Salience]],0),FALSE)</f>
        <v>412</v>
      </c>
    </row>
    <row r="41" spans="1:3" ht="15">
      <c r="A41" s="81" t="s">
        <v>2087</v>
      </c>
      <c r="B41" s="83" t="s">
        <v>745</v>
      </c>
      <c r="C41" s="80">
        <f>VLOOKUP(GroupVertices[[#This Row],[Vertex]],Vertices[],MATCH("ID",Vertices[[#Headers],[Vertex]:[Top Word Pairs in Comment by Salience]],0),FALSE)</f>
        <v>411</v>
      </c>
    </row>
    <row r="42" spans="1:3" ht="15">
      <c r="A42" s="81" t="s">
        <v>2087</v>
      </c>
      <c r="B42" s="83" t="s">
        <v>744</v>
      </c>
      <c r="C42" s="80">
        <f>VLOOKUP(GroupVertices[[#This Row],[Vertex]],Vertices[],MATCH("ID",Vertices[[#Headers],[Vertex]:[Top Word Pairs in Comment by Salience]],0),FALSE)</f>
        <v>410</v>
      </c>
    </row>
    <row r="43" spans="1:3" ht="15">
      <c r="A43" s="81" t="s">
        <v>2087</v>
      </c>
      <c r="B43" s="83" t="s">
        <v>743</v>
      </c>
      <c r="C43" s="80">
        <f>VLOOKUP(GroupVertices[[#This Row],[Vertex]],Vertices[],MATCH("ID",Vertices[[#Headers],[Vertex]:[Top Word Pairs in Comment by Salience]],0),FALSE)</f>
        <v>409</v>
      </c>
    </row>
    <row r="44" spans="1:3" ht="15">
      <c r="A44" s="81" t="s">
        <v>2087</v>
      </c>
      <c r="B44" s="83" t="s">
        <v>742</v>
      </c>
      <c r="C44" s="80">
        <f>VLOOKUP(GroupVertices[[#This Row],[Vertex]],Vertices[],MATCH("ID",Vertices[[#Headers],[Vertex]:[Top Word Pairs in Comment by Salience]],0),FALSE)</f>
        <v>408</v>
      </c>
    </row>
    <row r="45" spans="1:3" ht="15">
      <c r="A45" s="81" t="s">
        <v>2087</v>
      </c>
      <c r="B45" s="83" t="s">
        <v>741</v>
      </c>
      <c r="C45" s="80">
        <f>VLOOKUP(GroupVertices[[#This Row],[Vertex]],Vertices[],MATCH("ID",Vertices[[#Headers],[Vertex]:[Top Word Pairs in Comment by Salience]],0),FALSE)</f>
        <v>407</v>
      </c>
    </row>
    <row r="46" spans="1:3" ht="15">
      <c r="A46" s="81" t="s">
        <v>2087</v>
      </c>
      <c r="B46" s="83" t="s">
        <v>740</v>
      </c>
      <c r="C46" s="80">
        <f>VLOOKUP(GroupVertices[[#This Row],[Vertex]],Vertices[],MATCH("ID",Vertices[[#Headers],[Vertex]:[Top Word Pairs in Comment by Salience]],0),FALSE)</f>
        <v>406</v>
      </c>
    </row>
    <row r="47" spans="1:3" ht="15">
      <c r="A47" s="81" t="s">
        <v>2087</v>
      </c>
      <c r="B47" s="83" t="s">
        <v>739</v>
      </c>
      <c r="C47" s="80">
        <f>VLOOKUP(GroupVertices[[#This Row],[Vertex]],Vertices[],MATCH("ID",Vertices[[#Headers],[Vertex]:[Top Word Pairs in Comment by Salience]],0),FALSE)</f>
        <v>405</v>
      </c>
    </row>
    <row r="48" spans="1:3" ht="15">
      <c r="A48" s="81" t="s">
        <v>2087</v>
      </c>
      <c r="B48" s="83" t="s">
        <v>738</v>
      </c>
      <c r="C48" s="80">
        <f>VLOOKUP(GroupVertices[[#This Row],[Vertex]],Vertices[],MATCH("ID",Vertices[[#Headers],[Vertex]:[Top Word Pairs in Comment by Salience]],0),FALSE)</f>
        <v>404</v>
      </c>
    </row>
    <row r="49" spans="1:3" ht="15">
      <c r="A49" s="81" t="s">
        <v>2087</v>
      </c>
      <c r="B49" s="83" t="s">
        <v>737</v>
      </c>
      <c r="C49" s="80">
        <f>VLOOKUP(GroupVertices[[#This Row],[Vertex]],Vertices[],MATCH("ID",Vertices[[#Headers],[Vertex]:[Top Word Pairs in Comment by Salience]],0),FALSE)</f>
        <v>403</v>
      </c>
    </row>
    <row r="50" spans="1:3" ht="15">
      <c r="A50" s="81" t="s">
        <v>2087</v>
      </c>
      <c r="B50" s="83" t="s">
        <v>736</v>
      </c>
      <c r="C50" s="80">
        <f>VLOOKUP(GroupVertices[[#This Row],[Vertex]],Vertices[],MATCH("ID",Vertices[[#Headers],[Vertex]:[Top Word Pairs in Comment by Salience]],0),FALSE)</f>
        <v>402</v>
      </c>
    </row>
    <row r="51" spans="1:3" ht="15">
      <c r="A51" s="81" t="s">
        <v>2087</v>
      </c>
      <c r="B51" s="83" t="s">
        <v>735</v>
      </c>
      <c r="C51" s="80">
        <f>VLOOKUP(GroupVertices[[#This Row],[Vertex]],Vertices[],MATCH("ID",Vertices[[#Headers],[Vertex]:[Top Word Pairs in Comment by Salience]],0),FALSE)</f>
        <v>401</v>
      </c>
    </row>
    <row r="52" spans="1:3" ht="15">
      <c r="A52" s="81" t="s">
        <v>2087</v>
      </c>
      <c r="B52" s="83" t="s">
        <v>734</v>
      </c>
      <c r="C52" s="80">
        <f>VLOOKUP(GroupVertices[[#This Row],[Vertex]],Vertices[],MATCH("ID",Vertices[[#Headers],[Vertex]:[Top Word Pairs in Comment by Salience]],0),FALSE)</f>
        <v>400</v>
      </c>
    </row>
    <row r="53" spans="1:3" ht="15">
      <c r="A53" s="81" t="s">
        <v>2087</v>
      </c>
      <c r="B53" s="83" t="s">
        <v>733</v>
      </c>
      <c r="C53" s="80">
        <f>VLOOKUP(GroupVertices[[#This Row],[Vertex]],Vertices[],MATCH("ID",Vertices[[#Headers],[Vertex]:[Top Word Pairs in Comment by Salience]],0),FALSE)</f>
        <v>399</v>
      </c>
    </row>
    <row r="54" spans="1:3" ht="15">
      <c r="A54" s="81" t="s">
        <v>2087</v>
      </c>
      <c r="B54" s="83" t="s">
        <v>732</v>
      </c>
      <c r="C54" s="80">
        <f>VLOOKUP(GroupVertices[[#This Row],[Vertex]],Vertices[],MATCH("ID",Vertices[[#Headers],[Vertex]:[Top Word Pairs in Comment by Salience]],0),FALSE)</f>
        <v>398</v>
      </c>
    </row>
    <row r="55" spans="1:3" ht="15">
      <c r="A55" s="81" t="s">
        <v>2087</v>
      </c>
      <c r="B55" s="83" t="s">
        <v>731</v>
      </c>
      <c r="C55" s="80">
        <f>VLOOKUP(GroupVertices[[#This Row],[Vertex]],Vertices[],MATCH("ID",Vertices[[#Headers],[Vertex]:[Top Word Pairs in Comment by Salience]],0),FALSE)</f>
        <v>397</v>
      </c>
    </row>
    <row r="56" spans="1:3" ht="15">
      <c r="A56" s="81" t="s">
        <v>2087</v>
      </c>
      <c r="B56" s="83" t="s">
        <v>730</v>
      </c>
      <c r="C56" s="80">
        <f>VLOOKUP(GroupVertices[[#This Row],[Vertex]],Vertices[],MATCH("ID",Vertices[[#Headers],[Vertex]:[Top Word Pairs in Comment by Salience]],0),FALSE)</f>
        <v>396</v>
      </c>
    </row>
    <row r="57" spans="1:3" ht="15">
      <c r="A57" s="81" t="s">
        <v>2087</v>
      </c>
      <c r="B57" s="83" t="s">
        <v>729</v>
      </c>
      <c r="C57" s="80">
        <f>VLOOKUP(GroupVertices[[#This Row],[Vertex]],Vertices[],MATCH("ID",Vertices[[#Headers],[Vertex]:[Top Word Pairs in Comment by Salience]],0),FALSE)</f>
        <v>395</v>
      </c>
    </row>
    <row r="58" spans="1:3" ht="15">
      <c r="A58" s="81" t="s">
        <v>2087</v>
      </c>
      <c r="B58" s="83" t="s">
        <v>728</v>
      </c>
      <c r="C58" s="80">
        <f>VLOOKUP(GroupVertices[[#This Row],[Vertex]],Vertices[],MATCH("ID",Vertices[[#Headers],[Vertex]:[Top Word Pairs in Comment by Salience]],0),FALSE)</f>
        <v>394</v>
      </c>
    </row>
    <row r="59" spans="1:3" ht="15">
      <c r="A59" s="81" t="s">
        <v>2087</v>
      </c>
      <c r="B59" s="83" t="s">
        <v>727</v>
      </c>
      <c r="C59" s="80">
        <f>VLOOKUP(GroupVertices[[#This Row],[Vertex]],Vertices[],MATCH("ID",Vertices[[#Headers],[Vertex]:[Top Word Pairs in Comment by Salience]],0),FALSE)</f>
        <v>393</v>
      </c>
    </row>
    <row r="60" spans="1:3" ht="15">
      <c r="A60" s="81" t="s">
        <v>2087</v>
      </c>
      <c r="B60" s="83" t="s">
        <v>726</v>
      </c>
      <c r="C60" s="80">
        <f>VLOOKUP(GroupVertices[[#This Row],[Vertex]],Vertices[],MATCH("ID",Vertices[[#Headers],[Vertex]:[Top Word Pairs in Comment by Salience]],0),FALSE)</f>
        <v>392</v>
      </c>
    </row>
    <row r="61" spans="1:3" ht="15">
      <c r="A61" s="81" t="s">
        <v>2087</v>
      </c>
      <c r="B61" s="83" t="s">
        <v>725</v>
      </c>
      <c r="C61" s="80">
        <f>VLOOKUP(GroupVertices[[#This Row],[Vertex]],Vertices[],MATCH("ID",Vertices[[#Headers],[Vertex]:[Top Word Pairs in Comment by Salience]],0),FALSE)</f>
        <v>391</v>
      </c>
    </row>
    <row r="62" spans="1:3" ht="15">
      <c r="A62" s="81" t="s">
        <v>2087</v>
      </c>
      <c r="B62" s="83" t="s">
        <v>724</v>
      </c>
      <c r="C62" s="80">
        <f>VLOOKUP(GroupVertices[[#This Row],[Vertex]],Vertices[],MATCH("ID",Vertices[[#Headers],[Vertex]:[Top Word Pairs in Comment by Salience]],0),FALSE)</f>
        <v>390</v>
      </c>
    </row>
    <row r="63" spans="1:3" ht="15">
      <c r="A63" s="81" t="s">
        <v>2087</v>
      </c>
      <c r="B63" s="83" t="s">
        <v>723</v>
      </c>
      <c r="C63" s="80">
        <f>VLOOKUP(GroupVertices[[#This Row],[Vertex]],Vertices[],MATCH("ID",Vertices[[#Headers],[Vertex]:[Top Word Pairs in Comment by Salience]],0),FALSE)</f>
        <v>389</v>
      </c>
    </row>
    <row r="64" spans="1:3" ht="15">
      <c r="A64" s="81" t="s">
        <v>2087</v>
      </c>
      <c r="B64" s="83" t="s">
        <v>720</v>
      </c>
      <c r="C64" s="80">
        <f>VLOOKUP(GroupVertices[[#This Row],[Vertex]],Vertices[],MATCH("ID",Vertices[[#Headers],[Vertex]:[Top Word Pairs in Comment by Salience]],0),FALSE)</f>
        <v>386</v>
      </c>
    </row>
    <row r="65" spans="1:3" ht="15">
      <c r="A65" s="81" t="s">
        <v>2087</v>
      </c>
      <c r="B65" s="83" t="s">
        <v>719</v>
      </c>
      <c r="C65" s="80">
        <f>VLOOKUP(GroupVertices[[#This Row],[Vertex]],Vertices[],MATCH("ID",Vertices[[#Headers],[Vertex]:[Top Word Pairs in Comment by Salience]],0),FALSE)</f>
        <v>385</v>
      </c>
    </row>
    <row r="66" spans="1:3" ht="15">
      <c r="A66" s="81" t="s">
        <v>2087</v>
      </c>
      <c r="B66" s="83" t="s">
        <v>718</v>
      </c>
      <c r="C66" s="80">
        <f>VLOOKUP(GroupVertices[[#This Row],[Vertex]],Vertices[],MATCH("ID",Vertices[[#Headers],[Vertex]:[Top Word Pairs in Comment by Salience]],0),FALSE)</f>
        <v>384</v>
      </c>
    </row>
    <row r="67" spans="1:3" ht="15">
      <c r="A67" s="81" t="s">
        <v>2087</v>
      </c>
      <c r="B67" s="83" t="s">
        <v>717</v>
      </c>
      <c r="C67" s="80">
        <f>VLOOKUP(GroupVertices[[#This Row],[Vertex]],Vertices[],MATCH("ID",Vertices[[#Headers],[Vertex]:[Top Word Pairs in Comment by Salience]],0),FALSE)</f>
        <v>383</v>
      </c>
    </row>
    <row r="68" spans="1:3" ht="15">
      <c r="A68" s="81" t="s">
        <v>2087</v>
      </c>
      <c r="B68" s="83" t="s">
        <v>716</v>
      </c>
      <c r="C68" s="80">
        <f>VLOOKUP(GroupVertices[[#This Row],[Vertex]],Vertices[],MATCH("ID",Vertices[[#Headers],[Vertex]:[Top Word Pairs in Comment by Salience]],0),FALSE)</f>
        <v>382</v>
      </c>
    </row>
    <row r="69" spans="1:3" ht="15">
      <c r="A69" s="81" t="s">
        <v>2087</v>
      </c>
      <c r="B69" s="83" t="s">
        <v>715</v>
      </c>
      <c r="C69" s="80">
        <f>VLOOKUP(GroupVertices[[#This Row],[Vertex]],Vertices[],MATCH("ID",Vertices[[#Headers],[Vertex]:[Top Word Pairs in Comment by Salience]],0),FALSE)</f>
        <v>381</v>
      </c>
    </row>
    <row r="70" spans="1:3" ht="15">
      <c r="A70" s="81" t="s">
        <v>2087</v>
      </c>
      <c r="B70" s="83" t="s">
        <v>714</v>
      </c>
      <c r="C70" s="80">
        <f>VLOOKUP(GroupVertices[[#This Row],[Vertex]],Vertices[],MATCH("ID",Vertices[[#Headers],[Vertex]:[Top Word Pairs in Comment by Salience]],0),FALSE)</f>
        <v>380</v>
      </c>
    </row>
    <row r="71" spans="1:3" ht="15">
      <c r="A71" s="81" t="s">
        <v>2087</v>
      </c>
      <c r="B71" s="83" t="s">
        <v>713</v>
      </c>
      <c r="C71" s="80">
        <f>VLOOKUP(GroupVertices[[#This Row],[Vertex]],Vertices[],MATCH("ID",Vertices[[#Headers],[Vertex]:[Top Word Pairs in Comment by Salience]],0),FALSE)</f>
        <v>379</v>
      </c>
    </row>
    <row r="72" spans="1:3" ht="15">
      <c r="A72" s="81" t="s">
        <v>2087</v>
      </c>
      <c r="B72" s="83" t="s">
        <v>712</v>
      </c>
      <c r="C72" s="80">
        <f>VLOOKUP(GroupVertices[[#This Row],[Vertex]],Vertices[],MATCH("ID",Vertices[[#Headers],[Vertex]:[Top Word Pairs in Comment by Salience]],0),FALSE)</f>
        <v>378</v>
      </c>
    </row>
    <row r="73" spans="1:3" ht="15">
      <c r="A73" s="81" t="s">
        <v>2087</v>
      </c>
      <c r="B73" s="83" t="s">
        <v>711</v>
      </c>
      <c r="C73" s="80">
        <f>VLOOKUP(GroupVertices[[#This Row],[Vertex]],Vertices[],MATCH("ID",Vertices[[#Headers],[Vertex]:[Top Word Pairs in Comment by Salience]],0),FALSE)</f>
        <v>377</v>
      </c>
    </row>
    <row r="74" spans="1:3" ht="15">
      <c r="A74" s="81" t="s">
        <v>2087</v>
      </c>
      <c r="B74" s="83" t="s">
        <v>710</v>
      </c>
      <c r="C74" s="80">
        <f>VLOOKUP(GroupVertices[[#This Row],[Vertex]],Vertices[],MATCH("ID",Vertices[[#Headers],[Vertex]:[Top Word Pairs in Comment by Salience]],0),FALSE)</f>
        <v>376</v>
      </c>
    </row>
    <row r="75" spans="1:3" ht="15">
      <c r="A75" s="81" t="s">
        <v>2087</v>
      </c>
      <c r="B75" s="83" t="s">
        <v>709</v>
      </c>
      <c r="C75" s="80">
        <f>VLOOKUP(GroupVertices[[#This Row],[Vertex]],Vertices[],MATCH("ID",Vertices[[#Headers],[Vertex]:[Top Word Pairs in Comment by Salience]],0),FALSE)</f>
        <v>375</v>
      </c>
    </row>
    <row r="76" spans="1:3" ht="15">
      <c r="A76" s="81" t="s">
        <v>2087</v>
      </c>
      <c r="B76" s="83" t="s">
        <v>708</v>
      </c>
      <c r="C76" s="80">
        <f>VLOOKUP(GroupVertices[[#This Row],[Vertex]],Vertices[],MATCH("ID",Vertices[[#Headers],[Vertex]:[Top Word Pairs in Comment by Salience]],0),FALSE)</f>
        <v>374</v>
      </c>
    </row>
    <row r="77" spans="1:3" ht="15">
      <c r="A77" s="81" t="s">
        <v>2087</v>
      </c>
      <c r="B77" s="83" t="s">
        <v>707</v>
      </c>
      <c r="C77" s="80">
        <f>VLOOKUP(GroupVertices[[#This Row],[Vertex]],Vertices[],MATCH("ID",Vertices[[#Headers],[Vertex]:[Top Word Pairs in Comment by Salience]],0),FALSE)</f>
        <v>373</v>
      </c>
    </row>
    <row r="78" spans="1:3" ht="15">
      <c r="A78" s="81" t="s">
        <v>2087</v>
      </c>
      <c r="B78" s="83" t="s">
        <v>706</v>
      </c>
      <c r="C78" s="80">
        <f>VLOOKUP(GroupVertices[[#This Row],[Vertex]],Vertices[],MATCH("ID",Vertices[[#Headers],[Vertex]:[Top Word Pairs in Comment by Salience]],0),FALSE)</f>
        <v>372</v>
      </c>
    </row>
    <row r="79" spans="1:3" ht="15">
      <c r="A79" s="81" t="s">
        <v>2087</v>
      </c>
      <c r="B79" s="83" t="s">
        <v>705</v>
      </c>
      <c r="C79" s="80">
        <f>VLOOKUP(GroupVertices[[#This Row],[Vertex]],Vertices[],MATCH("ID",Vertices[[#Headers],[Vertex]:[Top Word Pairs in Comment by Salience]],0),FALSE)</f>
        <v>371</v>
      </c>
    </row>
    <row r="80" spans="1:3" ht="15">
      <c r="A80" s="81" t="s">
        <v>2087</v>
      </c>
      <c r="B80" s="83" t="s">
        <v>704</v>
      </c>
      <c r="C80" s="80">
        <f>VLOOKUP(GroupVertices[[#This Row],[Vertex]],Vertices[],MATCH("ID",Vertices[[#Headers],[Vertex]:[Top Word Pairs in Comment by Salience]],0),FALSE)</f>
        <v>370</v>
      </c>
    </row>
    <row r="81" spans="1:3" ht="15">
      <c r="A81" s="81" t="s">
        <v>2087</v>
      </c>
      <c r="B81" s="83" t="s">
        <v>703</v>
      </c>
      <c r="C81" s="80">
        <f>VLOOKUP(GroupVertices[[#This Row],[Vertex]],Vertices[],MATCH("ID",Vertices[[#Headers],[Vertex]:[Top Word Pairs in Comment by Salience]],0),FALSE)</f>
        <v>369</v>
      </c>
    </row>
    <row r="82" spans="1:3" ht="15">
      <c r="A82" s="81" t="s">
        <v>2087</v>
      </c>
      <c r="B82" s="83" t="s">
        <v>702</v>
      </c>
      <c r="C82" s="80">
        <f>VLOOKUP(GroupVertices[[#This Row],[Vertex]],Vertices[],MATCH("ID",Vertices[[#Headers],[Vertex]:[Top Word Pairs in Comment by Salience]],0),FALSE)</f>
        <v>368</v>
      </c>
    </row>
    <row r="83" spans="1:3" ht="15">
      <c r="A83" s="81" t="s">
        <v>2087</v>
      </c>
      <c r="B83" s="83" t="s">
        <v>701</v>
      </c>
      <c r="C83" s="80">
        <f>VLOOKUP(GroupVertices[[#This Row],[Vertex]],Vertices[],MATCH("ID",Vertices[[#Headers],[Vertex]:[Top Word Pairs in Comment by Salience]],0),FALSE)</f>
        <v>367</v>
      </c>
    </row>
    <row r="84" spans="1:3" ht="15">
      <c r="A84" s="81" t="s">
        <v>2087</v>
      </c>
      <c r="B84" s="83" t="s">
        <v>700</v>
      </c>
      <c r="C84" s="80">
        <f>VLOOKUP(GroupVertices[[#This Row],[Vertex]],Vertices[],MATCH("ID",Vertices[[#Headers],[Vertex]:[Top Word Pairs in Comment by Salience]],0),FALSE)</f>
        <v>366</v>
      </c>
    </row>
    <row r="85" spans="1:3" ht="15">
      <c r="A85" s="81" t="s">
        <v>2087</v>
      </c>
      <c r="B85" s="83" t="s">
        <v>699</v>
      </c>
      <c r="C85" s="80">
        <f>VLOOKUP(GroupVertices[[#This Row],[Vertex]],Vertices[],MATCH("ID",Vertices[[#Headers],[Vertex]:[Top Word Pairs in Comment by Salience]],0),FALSE)</f>
        <v>365</v>
      </c>
    </row>
    <row r="86" spans="1:3" ht="15">
      <c r="A86" s="81" t="s">
        <v>2087</v>
      </c>
      <c r="B86" s="83" t="s">
        <v>698</v>
      </c>
      <c r="C86" s="80">
        <f>VLOOKUP(GroupVertices[[#This Row],[Vertex]],Vertices[],MATCH("ID",Vertices[[#Headers],[Vertex]:[Top Word Pairs in Comment by Salience]],0),FALSE)</f>
        <v>364</v>
      </c>
    </row>
    <row r="87" spans="1:3" ht="15">
      <c r="A87" s="81" t="s">
        <v>2087</v>
      </c>
      <c r="B87" s="83" t="s">
        <v>695</v>
      </c>
      <c r="C87" s="80">
        <f>VLOOKUP(GroupVertices[[#This Row],[Vertex]],Vertices[],MATCH("ID",Vertices[[#Headers],[Vertex]:[Top Word Pairs in Comment by Salience]],0),FALSE)</f>
        <v>361</v>
      </c>
    </row>
    <row r="88" spans="1:3" ht="15">
      <c r="A88" s="81" t="s">
        <v>2087</v>
      </c>
      <c r="B88" s="83" t="s">
        <v>694</v>
      </c>
      <c r="C88" s="80">
        <f>VLOOKUP(GroupVertices[[#This Row],[Vertex]],Vertices[],MATCH("ID",Vertices[[#Headers],[Vertex]:[Top Word Pairs in Comment by Salience]],0),FALSE)</f>
        <v>360</v>
      </c>
    </row>
    <row r="89" spans="1:3" ht="15">
      <c r="A89" s="81" t="s">
        <v>2087</v>
      </c>
      <c r="B89" s="83" t="s">
        <v>693</v>
      </c>
      <c r="C89" s="80">
        <f>VLOOKUP(GroupVertices[[#This Row],[Vertex]],Vertices[],MATCH("ID",Vertices[[#Headers],[Vertex]:[Top Word Pairs in Comment by Salience]],0),FALSE)</f>
        <v>359</v>
      </c>
    </row>
    <row r="90" spans="1:3" ht="15">
      <c r="A90" s="81" t="s">
        <v>2087</v>
      </c>
      <c r="B90" s="83" t="s">
        <v>692</v>
      </c>
      <c r="C90" s="80">
        <f>VLOOKUP(GroupVertices[[#This Row],[Vertex]],Vertices[],MATCH("ID",Vertices[[#Headers],[Vertex]:[Top Word Pairs in Comment by Salience]],0),FALSE)</f>
        <v>358</v>
      </c>
    </row>
    <row r="91" spans="1:3" ht="15">
      <c r="A91" s="81" t="s">
        <v>2087</v>
      </c>
      <c r="B91" s="83" t="s">
        <v>691</v>
      </c>
      <c r="C91" s="80">
        <f>VLOOKUP(GroupVertices[[#This Row],[Vertex]],Vertices[],MATCH("ID",Vertices[[#Headers],[Vertex]:[Top Word Pairs in Comment by Salience]],0),FALSE)</f>
        <v>357</v>
      </c>
    </row>
    <row r="92" spans="1:3" ht="15">
      <c r="A92" s="81" t="s">
        <v>2087</v>
      </c>
      <c r="B92" s="83" t="s">
        <v>690</v>
      </c>
      <c r="C92" s="80">
        <f>VLOOKUP(GroupVertices[[#This Row],[Vertex]],Vertices[],MATCH("ID",Vertices[[#Headers],[Vertex]:[Top Word Pairs in Comment by Salience]],0),FALSE)</f>
        <v>356</v>
      </c>
    </row>
    <row r="93" spans="1:3" ht="15">
      <c r="A93" s="81" t="s">
        <v>2087</v>
      </c>
      <c r="B93" s="83" t="s">
        <v>689</v>
      </c>
      <c r="C93" s="80">
        <f>VLOOKUP(GroupVertices[[#This Row],[Vertex]],Vertices[],MATCH("ID",Vertices[[#Headers],[Vertex]:[Top Word Pairs in Comment by Salience]],0),FALSE)</f>
        <v>355</v>
      </c>
    </row>
    <row r="94" spans="1:3" ht="15">
      <c r="A94" s="81" t="s">
        <v>2087</v>
      </c>
      <c r="B94" s="83" t="s">
        <v>688</v>
      </c>
      <c r="C94" s="80">
        <f>VLOOKUP(GroupVertices[[#This Row],[Vertex]],Vertices[],MATCH("ID",Vertices[[#Headers],[Vertex]:[Top Word Pairs in Comment by Salience]],0),FALSE)</f>
        <v>354</v>
      </c>
    </row>
    <row r="95" spans="1:3" ht="15">
      <c r="A95" s="81" t="s">
        <v>2087</v>
      </c>
      <c r="B95" s="83" t="s">
        <v>687</v>
      </c>
      <c r="C95" s="80">
        <f>VLOOKUP(GroupVertices[[#This Row],[Vertex]],Vertices[],MATCH("ID",Vertices[[#Headers],[Vertex]:[Top Word Pairs in Comment by Salience]],0),FALSE)</f>
        <v>353</v>
      </c>
    </row>
    <row r="96" spans="1:3" ht="15">
      <c r="A96" s="81" t="s">
        <v>2087</v>
      </c>
      <c r="B96" s="83" t="s">
        <v>686</v>
      </c>
      <c r="C96" s="80">
        <f>VLOOKUP(GroupVertices[[#This Row],[Vertex]],Vertices[],MATCH("ID",Vertices[[#Headers],[Vertex]:[Top Word Pairs in Comment by Salience]],0),FALSE)</f>
        <v>352</v>
      </c>
    </row>
    <row r="97" spans="1:3" ht="15">
      <c r="A97" s="81" t="s">
        <v>2087</v>
      </c>
      <c r="B97" s="83" t="s">
        <v>685</v>
      </c>
      <c r="C97" s="80">
        <f>VLOOKUP(GroupVertices[[#This Row],[Vertex]],Vertices[],MATCH("ID",Vertices[[#Headers],[Vertex]:[Top Word Pairs in Comment by Salience]],0),FALSE)</f>
        <v>351</v>
      </c>
    </row>
    <row r="98" spans="1:3" ht="15">
      <c r="A98" s="81" t="s">
        <v>2087</v>
      </c>
      <c r="B98" s="83" t="s">
        <v>684</v>
      </c>
      <c r="C98" s="80">
        <f>VLOOKUP(GroupVertices[[#This Row],[Vertex]],Vertices[],MATCH("ID",Vertices[[#Headers],[Vertex]:[Top Word Pairs in Comment by Salience]],0),FALSE)</f>
        <v>350</v>
      </c>
    </row>
    <row r="99" spans="1:3" ht="15">
      <c r="A99" s="81" t="s">
        <v>2087</v>
      </c>
      <c r="B99" s="83" t="s">
        <v>683</v>
      </c>
      <c r="C99" s="80">
        <f>VLOOKUP(GroupVertices[[#This Row],[Vertex]],Vertices[],MATCH("ID",Vertices[[#Headers],[Vertex]:[Top Word Pairs in Comment by Salience]],0),FALSE)</f>
        <v>349</v>
      </c>
    </row>
    <row r="100" spans="1:3" ht="15">
      <c r="A100" s="81" t="s">
        <v>2087</v>
      </c>
      <c r="B100" s="83" t="s">
        <v>682</v>
      </c>
      <c r="C100" s="80">
        <f>VLOOKUP(GroupVertices[[#This Row],[Vertex]],Vertices[],MATCH("ID",Vertices[[#Headers],[Vertex]:[Top Word Pairs in Comment by Salience]],0),FALSE)</f>
        <v>348</v>
      </c>
    </row>
    <row r="101" spans="1:3" ht="15">
      <c r="A101" s="81" t="s">
        <v>2087</v>
      </c>
      <c r="B101" s="83" t="s">
        <v>681</v>
      </c>
      <c r="C101" s="80">
        <f>VLOOKUP(GroupVertices[[#This Row],[Vertex]],Vertices[],MATCH("ID",Vertices[[#Headers],[Vertex]:[Top Word Pairs in Comment by Salience]],0),FALSE)</f>
        <v>347</v>
      </c>
    </row>
    <row r="102" spans="1:3" ht="15">
      <c r="A102" s="81" t="s">
        <v>2087</v>
      </c>
      <c r="B102" s="83" t="s">
        <v>680</v>
      </c>
      <c r="C102" s="80">
        <f>VLOOKUP(GroupVertices[[#This Row],[Vertex]],Vertices[],MATCH("ID",Vertices[[#Headers],[Vertex]:[Top Word Pairs in Comment by Salience]],0),FALSE)</f>
        <v>346</v>
      </c>
    </row>
    <row r="103" spans="1:3" ht="15">
      <c r="A103" s="81" t="s">
        <v>2087</v>
      </c>
      <c r="B103" s="83" t="s">
        <v>679</v>
      </c>
      <c r="C103" s="80">
        <f>VLOOKUP(GroupVertices[[#This Row],[Vertex]],Vertices[],MATCH("ID",Vertices[[#Headers],[Vertex]:[Top Word Pairs in Comment by Salience]],0),FALSE)</f>
        <v>345</v>
      </c>
    </row>
    <row r="104" spans="1:3" ht="15">
      <c r="A104" s="81" t="s">
        <v>2087</v>
      </c>
      <c r="B104" s="83" t="s">
        <v>678</v>
      </c>
      <c r="C104" s="80">
        <f>VLOOKUP(GroupVertices[[#This Row],[Vertex]],Vertices[],MATCH("ID",Vertices[[#Headers],[Vertex]:[Top Word Pairs in Comment by Salience]],0),FALSE)</f>
        <v>344</v>
      </c>
    </row>
    <row r="105" spans="1:3" ht="15">
      <c r="A105" s="81" t="s">
        <v>2087</v>
      </c>
      <c r="B105" s="83" t="s">
        <v>677</v>
      </c>
      <c r="C105" s="80">
        <f>VLOOKUP(GroupVertices[[#This Row],[Vertex]],Vertices[],MATCH("ID",Vertices[[#Headers],[Vertex]:[Top Word Pairs in Comment by Salience]],0),FALSE)</f>
        <v>343</v>
      </c>
    </row>
    <row r="106" spans="1:3" ht="15">
      <c r="A106" s="81" t="s">
        <v>2087</v>
      </c>
      <c r="B106" s="83" t="s">
        <v>676</v>
      </c>
      <c r="C106" s="80">
        <f>VLOOKUP(GroupVertices[[#This Row],[Vertex]],Vertices[],MATCH("ID",Vertices[[#Headers],[Vertex]:[Top Word Pairs in Comment by Salience]],0),FALSE)</f>
        <v>342</v>
      </c>
    </row>
    <row r="107" spans="1:3" ht="15">
      <c r="A107" s="81" t="s">
        <v>2087</v>
      </c>
      <c r="B107" s="83" t="s">
        <v>675</v>
      </c>
      <c r="C107" s="80">
        <f>VLOOKUP(GroupVertices[[#This Row],[Vertex]],Vertices[],MATCH("ID",Vertices[[#Headers],[Vertex]:[Top Word Pairs in Comment by Salience]],0),FALSE)</f>
        <v>341</v>
      </c>
    </row>
    <row r="108" spans="1:3" ht="15">
      <c r="A108" s="81" t="s">
        <v>2087</v>
      </c>
      <c r="B108" s="83" t="s">
        <v>674</v>
      </c>
      <c r="C108" s="80">
        <f>VLOOKUP(GroupVertices[[#This Row],[Vertex]],Vertices[],MATCH("ID",Vertices[[#Headers],[Vertex]:[Top Word Pairs in Comment by Salience]],0),FALSE)</f>
        <v>340</v>
      </c>
    </row>
    <row r="109" spans="1:3" ht="15">
      <c r="A109" s="81" t="s">
        <v>2087</v>
      </c>
      <c r="B109" s="83" t="s">
        <v>669</v>
      </c>
      <c r="C109" s="80">
        <f>VLOOKUP(GroupVertices[[#This Row],[Vertex]],Vertices[],MATCH("ID",Vertices[[#Headers],[Vertex]:[Top Word Pairs in Comment by Salience]],0),FALSE)</f>
        <v>335</v>
      </c>
    </row>
    <row r="110" spans="1:3" ht="15">
      <c r="A110" s="81" t="s">
        <v>2087</v>
      </c>
      <c r="B110" s="83" t="s">
        <v>668</v>
      </c>
      <c r="C110" s="80">
        <f>VLOOKUP(GroupVertices[[#This Row],[Vertex]],Vertices[],MATCH("ID",Vertices[[#Headers],[Vertex]:[Top Word Pairs in Comment by Salience]],0),FALSE)</f>
        <v>334</v>
      </c>
    </row>
    <row r="111" spans="1:3" ht="15">
      <c r="A111" s="81" t="s">
        <v>2087</v>
      </c>
      <c r="B111" s="83" t="s">
        <v>667</v>
      </c>
      <c r="C111" s="80">
        <f>VLOOKUP(GroupVertices[[#This Row],[Vertex]],Vertices[],MATCH("ID",Vertices[[#Headers],[Vertex]:[Top Word Pairs in Comment by Salience]],0),FALSE)</f>
        <v>333</v>
      </c>
    </row>
    <row r="112" spans="1:3" ht="15">
      <c r="A112" s="81" t="s">
        <v>2087</v>
      </c>
      <c r="B112" s="83" t="s">
        <v>666</v>
      </c>
      <c r="C112" s="80">
        <f>VLOOKUP(GroupVertices[[#This Row],[Vertex]],Vertices[],MATCH("ID",Vertices[[#Headers],[Vertex]:[Top Word Pairs in Comment by Salience]],0),FALSE)</f>
        <v>332</v>
      </c>
    </row>
    <row r="113" spans="1:3" ht="15">
      <c r="A113" s="81" t="s">
        <v>2087</v>
      </c>
      <c r="B113" s="83" t="s">
        <v>665</v>
      </c>
      <c r="C113" s="80">
        <f>VLOOKUP(GroupVertices[[#This Row],[Vertex]],Vertices[],MATCH("ID",Vertices[[#Headers],[Vertex]:[Top Word Pairs in Comment by Salience]],0),FALSE)</f>
        <v>331</v>
      </c>
    </row>
    <row r="114" spans="1:3" ht="15">
      <c r="A114" s="81" t="s">
        <v>2087</v>
      </c>
      <c r="B114" s="83" t="s">
        <v>664</v>
      </c>
      <c r="C114" s="80">
        <f>VLOOKUP(GroupVertices[[#This Row],[Vertex]],Vertices[],MATCH("ID",Vertices[[#Headers],[Vertex]:[Top Word Pairs in Comment by Salience]],0),FALSE)</f>
        <v>330</v>
      </c>
    </row>
    <row r="115" spans="1:3" ht="15">
      <c r="A115" s="81" t="s">
        <v>2087</v>
      </c>
      <c r="B115" s="83" t="s">
        <v>663</v>
      </c>
      <c r="C115" s="80">
        <f>VLOOKUP(GroupVertices[[#This Row],[Vertex]],Vertices[],MATCH("ID",Vertices[[#Headers],[Vertex]:[Top Word Pairs in Comment by Salience]],0),FALSE)</f>
        <v>329</v>
      </c>
    </row>
    <row r="116" spans="1:3" ht="15">
      <c r="A116" s="81" t="s">
        <v>2087</v>
      </c>
      <c r="B116" s="83" t="s">
        <v>662</v>
      </c>
      <c r="C116" s="80">
        <f>VLOOKUP(GroupVertices[[#This Row],[Vertex]],Vertices[],MATCH("ID",Vertices[[#Headers],[Vertex]:[Top Word Pairs in Comment by Salience]],0),FALSE)</f>
        <v>328</v>
      </c>
    </row>
    <row r="117" spans="1:3" ht="15">
      <c r="A117" s="81" t="s">
        <v>2087</v>
      </c>
      <c r="B117" s="83" t="s">
        <v>661</v>
      </c>
      <c r="C117" s="80">
        <f>VLOOKUP(GroupVertices[[#This Row],[Vertex]],Vertices[],MATCH("ID",Vertices[[#Headers],[Vertex]:[Top Word Pairs in Comment by Salience]],0),FALSE)</f>
        <v>327</v>
      </c>
    </row>
    <row r="118" spans="1:3" ht="15">
      <c r="A118" s="81" t="s">
        <v>2087</v>
      </c>
      <c r="B118" s="83" t="s">
        <v>660</v>
      </c>
      <c r="C118" s="80">
        <f>VLOOKUP(GroupVertices[[#This Row],[Vertex]],Vertices[],MATCH("ID",Vertices[[#Headers],[Vertex]:[Top Word Pairs in Comment by Salience]],0),FALSE)</f>
        <v>326</v>
      </c>
    </row>
    <row r="119" spans="1:3" ht="15">
      <c r="A119" s="81" t="s">
        <v>2087</v>
      </c>
      <c r="B119" s="83" t="s">
        <v>659</v>
      </c>
      <c r="C119" s="80">
        <f>VLOOKUP(GroupVertices[[#This Row],[Vertex]],Vertices[],MATCH("ID",Vertices[[#Headers],[Vertex]:[Top Word Pairs in Comment by Salience]],0),FALSE)</f>
        <v>325</v>
      </c>
    </row>
    <row r="120" spans="1:3" ht="15">
      <c r="A120" s="81" t="s">
        <v>2087</v>
      </c>
      <c r="B120" s="83" t="s">
        <v>658</v>
      </c>
      <c r="C120" s="80">
        <f>VLOOKUP(GroupVertices[[#This Row],[Vertex]],Vertices[],MATCH("ID",Vertices[[#Headers],[Vertex]:[Top Word Pairs in Comment by Salience]],0),FALSE)</f>
        <v>324</v>
      </c>
    </row>
    <row r="121" spans="1:3" ht="15">
      <c r="A121" s="81" t="s">
        <v>2087</v>
      </c>
      <c r="B121" s="83" t="s">
        <v>657</v>
      </c>
      <c r="C121" s="80">
        <f>VLOOKUP(GroupVertices[[#This Row],[Vertex]],Vertices[],MATCH("ID",Vertices[[#Headers],[Vertex]:[Top Word Pairs in Comment by Salience]],0),FALSE)</f>
        <v>323</v>
      </c>
    </row>
    <row r="122" spans="1:3" ht="15">
      <c r="A122" s="81" t="s">
        <v>2087</v>
      </c>
      <c r="B122" s="83" t="s">
        <v>656</v>
      </c>
      <c r="C122" s="80">
        <f>VLOOKUP(GroupVertices[[#This Row],[Vertex]],Vertices[],MATCH("ID",Vertices[[#Headers],[Vertex]:[Top Word Pairs in Comment by Salience]],0),FALSE)</f>
        <v>322</v>
      </c>
    </row>
    <row r="123" spans="1:3" ht="15">
      <c r="A123" s="81" t="s">
        <v>2087</v>
      </c>
      <c r="B123" s="83" t="s">
        <v>655</v>
      </c>
      <c r="C123" s="80">
        <f>VLOOKUP(GroupVertices[[#This Row],[Vertex]],Vertices[],MATCH("ID",Vertices[[#Headers],[Vertex]:[Top Word Pairs in Comment by Salience]],0),FALSE)</f>
        <v>321</v>
      </c>
    </row>
    <row r="124" spans="1:3" ht="15">
      <c r="A124" s="81" t="s">
        <v>2087</v>
      </c>
      <c r="B124" s="83" t="s">
        <v>654</v>
      </c>
      <c r="C124" s="80">
        <f>VLOOKUP(GroupVertices[[#This Row],[Vertex]],Vertices[],MATCH("ID",Vertices[[#Headers],[Vertex]:[Top Word Pairs in Comment by Salience]],0),FALSE)</f>
        <v>320</v>
      </c>
    </row>
    <row r="125" spans="1:3" ht="15">
      <c r="A125" s="81" t="s">
        <v>2087</v>
      </c>
      <c r="B125" s="83" t="s">
        <v>653</v>
      </c>
      <c r="C125" s="80">
        <f>VLOOKUP(GroupVertices[[#This Row],[Vertex]],Vertices[],MATCH("ID",Vertices[[#Headers],[Vertex]:[Top Word Pairs in Comment by Salience]],0),FALSE)</f>
        <v>319</v>
      </c>
    </row>
    <row r="126" spans="1:3" ht="15">
      <c r="A126" s="81" t="s">
        <v>2087</v>
      </c>
      <c r="B126" s="83" t="s">
        <v>652</v>
      </c>
      <c r="C126" s="80">
        <f>VLOOKUP(GroupVertices[[#This Row],[Vertex]],Vertices[],MATCH("ID",Vertices[[#Headers],[Vertex]:[Top Word Pairs in Comment by Salience]],0),FALSE)</f>
        <v>318</v>
      </c>
    </row>
    <row r="127" spans="1:3" ht="15">
      <c r="A127" s="81" t="s">
        <v>2087</v>
      </c>
      <c r="B127" s="83" t="s">
        <v>651</v>
      </c>
      <c r="C127" s="80">
        <f>VLOOKUP(GroupVertices[[#This Row],[Vertex]],Vertices[],MATCH("ID",Vertices[[#Headers],[Vertex]:[Top Word Pairs in Comment by Salience]],0),FALSE)</f>
        <v>317</v>
      </c>
    </row>
    <row r="128" spans="1:3" ht="15">
      <c r="A128" s="81" t="s">
        <v>2087</v>
      </c>
      <c r="B128" s="83" t="s">
        <v>647</v>
      </c>
      <c r="C128" s="80">
        <f>VLOOKUP(GroupVertices[[#This Row],[Vertex]],Vertices[],MATCH("ID",Vertices[[#Headers],[Vertex]:[Top Word Pairs in Comment by Salience]],0),FALSE)</f>
        <v>313</v>
      </c>
    </row>
    <row r="129" spans="1:3" ht="15">
      <c r="A129" s="81" t="s">
        <v>2087</v>
      </c>
      <c r="B129" s="83" t="s">
        <v>646</v>
      </c>
      <c r="C129" s="80">
        <f>VLOOKUP(GroupVertices[[#This Row],[Vertex]],Vertices[],MATCH("ID",Vertices[[#Headers],[Vertex]:[Top Word Pairs in Comment by Salience]],0),FALSE)</f>
        <v>312</v>
      </c>
    </row>
    <row r="130" spans="1:3" ht="15">
      <c r="A130" s="81" t="s">
        <v>2087</v>
      </c>
      <c r="B130" s="83" t="s">
        <v>641</v>
      </c>
      <c r="C130" s="80">
        <f>VLOOKUP(GroupVertices[[#This Row],[Vertex]],Vertices[],MATCH("ID",Vertices[[#Headers],[Vertex]:[Top Word Pairs in Comment by Salience]],0),FALSE)</f>
        <v>307</v>
      </c>
    </row>
    <row r="131" spans="1:3" ht="15">
      <c r="A131" s="81" t="s">
        <v>2087</v>
      </c>
      <c r="B131" s="83" t="s">
        <v>640</v>
      </c>
      <c r="C131" s="80">
        <f>VLOOKUP(GroupVertices[[#This Row],[Vertex]],Vertices[],MATCH("ID",Vertices[[#Headers],[Vertex]:[Top Word Pairs in Comment by Salience]],0),FALSE)</f>
        <v>306</v>
      </c>
    </row>
    <row r="132" spans="1:3" ht="15">
      <c r="A132" s="81" t="s">
        <v>2087</v>
      </c>
      <c r="B132" s="83" t="s">
        <v>628</v>
      </c>
      <c r="C132" s="80">
        <f>VLOOKUP(GroupVertices[[#This Row],[Vertex]],Vertices[],MATCH("ID",Vertices[[#Headers],[Vertex]:[Top Word Pairs in Comment by Salience]],0),FALSE)</f>
        <v>294</v>
      </c>
    </row>
    <row r="133" spans="1:3" ht="15">
      <c r="A133" s="81" t="s">
        <v>2087</v>
      </c>
      <c r="B133" s="83" t="s">
        <v>627</v>
      </c>
      <c r="C133" s="80">
        <f>VLOOKUP(GroupVertices[[#This Row],[Vertex]],Vertices[],MATCH("ID",Vertices[[#Headers],[Vertex]:[Top Word Pairs in Comment by Salience]],0),FALSE)</f>
        <v>293</v>
      </c>
    </row>
    <row r="134" spans="1:3" ht="15">
      <c r="A134" s="81" t="s">
        <v>2087</v>
      </c>
      <c r="B134" s="83" t="s">
        <v>626</v>
      </c>
      <c r="C134" s="80">
        <f>VLOOKUP(GroupVertices[[#This Row],[Vertex]],Vertices[],MATCH("ID",Vertices[[#Headers],[Vertex]:[Top Word Pairs in Comment by Salience]],0),FALSE)</f>
        <v>292</v>
      </c>
    </row>
    <row r="135" spans="1:3" ht="15">
      <c r="A135" s="81" t="s">
        <v>2087</v>
      </c>
      <c r="B135" s="83" t="s">
        <v>625</v>
      </c>
      <c r="C135" s="80">
        <f>VLOOKUP(GroupVertices[[#This Row],[Vertex]],Vertices[],MATCH("ID",Vertices[[#Headers],[Vertex]:[Top Word Pairs in Comment by Salience]],0),FALSE)</f>
        <v>291</v>
      </c>
    </row>
    <row r="136" spans="1:3" ht="15">
      <c r="A136" s="81" t="s">
        <v>2087</v>
      </c>
      <c r="B136" s="83" t="s">
        <v>623</v>
      </c>
      <c r="C136" s="80">
        <f>VLOOKUP(GroupVertices[[#This Row],[Vertex]],Vertices[],MATCH("ID",Vertices[[#Headers],[Vertex]:[Top Word Pairs in Comment by Salience]],0),FALSE)</f>
        <v>289</v>
      </c>
    </row>
    <row r="137" spans="1:3" ht="15">
      <c r="A137" s="81" t="s">
        <v>2087</v>
      </c>
      <c r="B137" s="83" t="s">
        <v>622</v>
      </c>
      <c r="C137" s="80">
        <f>VLOOKUP(GroupVertices[[#This Row],[Vertex]],Vertices[],MATCH("ID",Vertices[[#Headers],[Vertex]:[Top Word Pairs in Comment by Salience]],0),FALSE)</f>
        <v>288</v>
      </c>
    </row>
    <row r="138" spans="1:3" ht="15">
      <c r="A138" s="81" t="s">
        <v>2087</v>
      </c>
      <c r="B138" s="83" t="s">
        <v>621</v>
      </c>
      <c r="C138" s="80">
        <f>VLOOKUP(GroupVertices[[#This Row],[Vertex]],Vertices[],MATCH("ID",Vertices[[#Headers],[Vertex]:[Top Word Pairs in Comment by Salience]],0),FALSE)</f>
        <v>287</v>
      </c>
    </row>
    <row r="139" spans="1:3" ht="15">
      <c r="A139" s="81" t="s">
        <v>2087</v>
      </c>
      <c r="B139" s="83" t="s">
        <v>599</v>
      </c>
      <c r="C139" s="80">
        <f>VLOOKUP(GroupVertices[[#This Row],[Vertex]],Vertices[],MATCH("ID",Vertices[[#Headers],[Vertex]:[Top Word Pairs in Comment by Salience]],0),FALSE)</f>
        <v>265</v>
      </c>
    </row>
    <row r="140" spans="1:3" ht="15">
      <c r="A140" s="81" t="s">
        <v>2087</v>
      </c>
      <c r="B140" s="83" t="s">
        <v>595</v>
      </c>
      <c r="C140" s="80">
        <f>VLOOKUP(GroupVertices[[#This Row],[Vertex]],Vertices[],MATCH("ID",Vertices[[#Headers],[Vertex]:[Top Word Pairs in Comment by Salience]],0),FALSE)</f>
        <v>261</v>
      </c>
    </row>
    <row r="141" spans="1:3" ht="15">
      <c r="A141" s="81" t="s">
        <v>2087</v>
      </c>
      <c r="B141" s="83" t="s">
        <v>594</v>
      </c>
      <c r="C141" s="80">
        <f>VLOOKUP(GroupVertices[[#This Row],[Vertex]],Vertices[],MATCH("ID",Vertices[[#Headers],[Vertex]:[Top Word Pairs in Comment by Salience]],0),FALSE)</f>
        <v>260</v>
      </c>
    </row>
    <row r="142" spans="1:3" ht="15">
      <c r="A142" s="81" t="s">
        <v>2087</v>
      </c>
      <c r="B142" s="83" t="s">
        <v>593</v>
      </c>
      <c r="C142" s="80">
        <f>VLOOKUP(GroupVertices[[#This Row],[Vertex]],Vertices[],MATCH("ID",Vertices[[#Headers],[Vertex]:[Top Word Pairs in Comment by Salience]],0),FALSE)</f>
        <v>259</v>
      </c>
    </row>
    <row r="143" spans="1:3" ht="15">
      <c r="A143" s="81" t="s">
        <v>2087</v>
      </c>
      <c r="B143" s="83" t="s">
        <v>591</v>
      </c>
      <c r="C143" s="80">
        <f>VLOOKUP(GroupVertices[[#This Row],[Vertex]],Vertices[],MATCH("ID",Vertices[[#Headers],[Vertex]:[Top Word Pairs in Comment by Salience]],0),FALSE)</f>
        <v>257</v>
      </c>
    </row>
    <row r="144" spans="1:3" ht="15">
      <c r="A144" s="81" t="s">
        <v>2087</v>
      </c>
      <c r="B144" s="83" t="s">
        <v>590</v>
      </c>
      <c r="C144" s="80">
        <f>VLOOKUP(GroupVertices[[#This Row],[Vertex]],Vertices[],MATCH("ID",Vertices[[#Headers],[Vertex]:[Top Word Pairs in Comment by Salience]],0),FALSE)</f>
        <v>256</v>
      </c>
    </row>
    <row r="145" spans="1:3" ht="15">
      <c r="A145" s="81" t="s">
        <v>2087</v>
      </c>
      <c r="B145" s="83" t="s">
        <v>587</v>
      </c>
      <c r="C145" s="80">
        <f>VLOOKUP(GroupVertices[[#This Row],[Vertex]],Vertices[],MATCH("ID",Vertices[[#Headers],[Vertex]:[Top Word Pairs in Comment by Salience]],0),FALSE)</f>
        <v>253</v>
      </c>
    </row>
    <row r="146" spans="1:3" ht="15">
      <c r="A146" s="81" t="s">
        <v>2087</v>
      </c>
      <c r="B146" s="83" t="s">
        <v>586</v>
      </c>
      <c r="C146" s="80">
        <f>VLOOKUP(GroupVertices[[#This Row],[Vertex]],Vertices[],MATCH("ID",Vertices[[#Headers],[Vertex]:[Top Word Pairs in Comment by Salience]],0),FALSE)</f>
        <v>252</v>
      </c>
    </row>
    <row r="147" spans="1:3" ht="15">
      <c r="A147" s="81" t="s">
        <v>2087</v>
      </c>
      <c r="B147" s="83" t="s">
        <v>585</v>
      </c>
      <c r="C147" s="80">
        <f>VLOOKUP(GroupVertices[[#This Row],[Vertex]],Vertices[],MATCH("ID",Vertices[[#Headers],[Vertex]:[Top Word Pairs in Comment by Salience]],0),FALSE)</f>
        <v>251</v>
      </c>
    </row>
    <row r="148" spans="1:3" ht="15">
      <c r="A148" s="81" t="s">
        <v>2087</v>
      </c>
      <c r="B148" s="83" t="s">
        <v>584</v>
      </c>
      <c r="C148" s="80">
        <f>VLOOKUP(GroupVertices[[#This Row],[Vertex]],Vertices[],MATCH("ID",Vertices[[#Headers],[Vertex]:[Top Word Pairs in Comment by Salience]],0),FALSE)</f>
        <v>250</v>
      </c>
    </row>
    <row r="149" spans="1:3" ht="15">
      <c r="A149" s="81" t="s">
        <v>2087</v>
      </c>
      <c r="B149" s="83" t="s">
        <v>577</v>
      </c>
      <c r="C149" s="80">
        <f>VLOOKUP(GroupVertices[[#This Row],[Vertex]],Vertices[],MATCH("ID",Vertices[[#Headers],[Vertex]:[Top Word Pairs in Comment by Salience]],0),FALSE)</f>
        <v>243</v>
      </c>
    </row>
    <row r="150" spans="1:3" ht="15">
      <c r="A150" s="81" t="s">
        <v>2087</v>
      </c>
      <c r="B150" s="83" t="s">
        <v>576</v>
      </c>
      <c r="C150" s="80">
        <f>VLOOKUP(GroupVertices[[#This Row],[Vertex]],Vertices[],MATCH("ID",Vertices[[#Headers],[Vertex]:[Top Word Pairs in Comment by Salience]],0),FALSE)</f>
        <v>242</v>
      </c>
    </row>
    <row r="151" spans="1:3" ht="15">
      <c r="A151" s="81" t="s">
        <v>2087</v>
      </c>
      <c r="B151" s="83" t="s">
        <v>575</v>
      </c>
      <c r="C151" s="80">
        <f>VLOOKUP(GroupVertices[[#This Row],[Vertex]],Vertices[],MATCH("ID",Vertices[[#Headers],[Vertex]:[Top Word Pairs in Comment by Salience]],0),FALSE)</f>
        <v>241</v>
      </c>
    </row>
    <row r="152" spans="1:3" ht="15">
      <c r="A152" s="81" t="s">
        <v>2087</v>
      </c>
      <c r="B152" s="83" t="s">
        <v>574</v>
      </c>
      <c r="C152" s="80">
        <f>VLOOKUP(GroupVertices[[#This Row],[Vertex]],Vertices[],MATCH("ID",Vertices[[#Headers],[Vertex]:[Top Word Pairs in Comment by Salience]],0),FALSE)</f>
        <v>240</v>
      </c>
    </row>
    <row r="153" spans="1:3" ht="15">
      <c r="A153" s="81" t="s">
        <v>2087</v>
      </c>
      <c r="B153" s="83" t="s">
        <v>573</v>
      </c>
      <c r="C153" s="80">
        <f>VLOOKUP(GroupVertices[[#This Row],[Vertex]],Vertices[],MATCH("ID",Vertices[[#Headers],[Vertex]:[Top Word Pairs in Comment by Salience]],0),FALSE)</f>
        <v>239</v>
      </c>
    </row>
    <row r="154" spans="1:3" ht="15">
      <c r="A154" s="81" t="s">
        <v>2087</v>
      </c>
      <c r="B154" s="83" t="s">
        <v>572</v>
      </c>
      <c r="C154" s="80">
        <f>VLOOKUP(GroupVertices[[#This Row],[Vertex]],Vertices[],MATCH("ID",Vertices[[#Headers],[Vertex]:[Top Word Pairs in Comment by Salience]],0),FALSE)</f>
        <v>238</v>
      </c>
    </row>
    <row r="155" spans="1:3" ht="15">
      <c r="A155" s="81" t="s">
        <v>2087</v>
      </c>
      <c r="B155" s="83" t="s">
        <v>571</v>
      </c>
      <c r="C155" s="80">
        <f>VLOOKUP(GroupVertices[[#This Row],[Vertex]],Vertices[],MATCH("ID",Vertices[[#Headers],[Vertex]:[Top Word Pairs in Comment by Salience]],0),FALSE)</f>
        <v>237</v>
      </c>
    </row>
    <row r="156" spans="1:3" ht="15">
      <c r="A156" s="81" t="s">
        <v>2087</v>
      </c>
      <c r="B156" s="83" t="s">
        <v>570</v>
      </c>
      <c r="C156" s="80">
        <f>VLOOKUP(GroupVertices[[#This Row],[Vertex]],Vertices[],MATCH("ID",Vertices[[#Headers],[Vertex]:[Top Word Pairs in Comment by Salience]],0),FALSE)</f>
        <v>236</v>
      </c>
    </row>
    <row r="157" spans="1:3" ht="15">
      <c r="A157" s="81" t="s">
        <v>2087</v>
      </c>
      <c r="B157" s="83" t="s">
        <v>569</v>
      </c>
      <c r="C157" s="80">
        <f>VLOOKUP(GroupVertices[[#This Row],[Vertex]],Vertices[],MATCH("ID",Vertices[[#Headers],[Vertex]:[Top Word Pairs in Comment by Salience]],0),FALSE)</f>
        <v>235</v>
      </c>
    </row>
    <row r="158" spans="1:3" ht="15">
      <c r="A158" s="81" t="s">
        <v>2087</v>
      </c>
      <c r="B158" s="83" t="s">
        <v>568</v>
      </c>
      <c r="C158" s="80">
        <f>VLOOKUP(GroupVertices[[#This Row],[Vertex]],Vertices[],MATCH("ID",Vertices[[#Headers],[Vertex]:[Top Word Pairs in Comment by Salience]],0),FALSE)</f>
        <v>234</v>
      </c>
    </row>
    <row r="159" spans="1:3" ht="15">
      <c r="A159" s="81" t="s">
        <v>2087</v>
      </c>
      <c r="B159" s="83" t="s">
        <v>567</v>
      </c>
      <c r="C159" s="80">
        <f>VLOOKUP(GroupVertices[[#This Row],[Vertex]],Vertices[],MATCH("ID",Vertices[[#Headers],[Vertex]:[Top Word Pairs in Comment by Salience]],0),FALSE)</f>
        <v>233</v>
      </c>
    </row>
    <row r="160" spans="1:3" ht="15">
      <c r="A160" s="81" t="s">
        <v>2087</v>
      </c>
      <c r="B160" s="83" t="s">
        <v>566</v>
      </c>
      <c r="C160" s="80">
        <f>VLOOKUP(GroupVertices[[#This Row],[Vertex]],Vertices[],MATCH("ID",Vertices[[#Headers],[Vertex]:[Top Word Pairs in Comment by Salience]],0),FALSE)</f>
        <v>232</v>
      </c>
    </row>
    <row r="161" spans="1:3" ht="15">
      <c r="A161" s="81" t="s">
        <v>2087</v>
      </c>
      <c r="B161" s="83" t="s">
        <v>565</v>
      </c>
      <c r="C161" s="80">
        <f>VLOOKUP(GroupVertices[[#This Row],[Vertex]],Vertices[],MATCH("ID",Vertices[[#Headers],[Vertex]:[Top Word Pairs in Comment by Salience]],0),FALSE)</f>
        <v>231</v>
      </c>
    </row>
    <row r="162" spans="1:3" ht="15">
      <c r="A162" s="81" t="s">
        <v>2087</v>
      </c>
      <c r="B162" s="83" t="s">
        <v>564</v>
      </c>
      <c r="C162" s="80">
        <f>VLOOKUP(GroupVertices[[#This Row],[Vertex]],Vertices[],MATCH("ID",Vertices[[#Headers],[Vertex]:[Top Word Pairs in Comment by Salience]],0),FALSE)</f>
        <v>230</v>
      </c>
    </row>
    <row r="163" spans="1:3" ht="15">
      <c r="A163" s="81" t="s">
        <v>2087</v>
      </c>
      <c r="B163" s="83" t="s">
        <v>563</v>
      </c>
      <c r="C163" s="80">
        <f>VLOOKUP(GroupVertices[[#This Row],[Vertex]],Vertices[],MATCH("ID",Vertices[[#Headers],[Vertex]:[Top Word Pairs in Comment by Salience]],0),FALSE)</f>
        <v>229</v>
      </c>
    </row>
    <row r="164" spans="1:3" ht="15">
      <c r="A164" s="81" t="s">
        <v>2087</v>
      </c>
      <c r="B164" s="83" t="s">
        <v>562</v>
      </c>
      <c r="C164" s="80">
        <f>VLOOKUP(GroupVertices[[#This Row],[Vertex]],Vertices[],MATCH("ID",Vertices[[#Headers],[Vertex]:[Top Word Pairs in Comment by Salience]],0),FALSE)</f>
        <v>228</v>
      </c>
    </row>
    <row r="165" spans="1:3" ht="15">
      <c r="A165" s="81" t="s">
        <v>2087</v>
      </c>
      <c r="B165" s="83" t="s">
        <v>561</v>
      </c>
      <c r="C165" s="80">
        <f>VLOOKUP(GroupVertices[[#This Row],[Vertex]],Vertices[],MATCH("ID",Vertices[[#Headers],[Vertex]:[Top Word Pairs in Comment by Salience]],0),FALSE)</f>
        <v>227</v>
      </c>
    </row>
    <row r="166" spans="1:3" ht="15">
      <c r="A166" s="81" t="s">
        <v>2087</v>
      </c>
      <c r="B166" s="83" t="s">
        <v>560</v>
      </c>
      <c r="C166" s="80">
        <f>VLOOKUP(GroupVertices[[#This Row],[Vertex]],Vertices[],MATCH("ID",Vertices[[#Headers],[Vertex]:[Top Word Pairs in Comment by Salience]],0),FALSE)</f>
        <v>226</v>
      </c>
    </row>
    <row r="167" spans="1:3" ht="15">
      <c r="A167" s="81" t="s">
        <v>2087</v>
      </c>
      <c r="B167" s="83" t="s">
        <v>559</v>
      </c>
      <c r="C167" s="80">
        <f>VLOOKUP(GroupVertices[[#This Row],[Vertex]],Vertices[],MATCH("ID",Vertices[[#Headers],[Vertex]:[Top Word Pairs in Comment by Salience]],0),FALSE)</f>
        <v>225</v>
      </c>
    </row>
    <row r="168" spans="1:3" ht="15">
      <c r="A168" s="81" t="s">
        <v>2087</v>
      </c>
      <c r="B168" s="83" t="s">
        <v>558</v>
      </c>
      <c r="C168" s="80">
        <f>VLOOKUP(GroupVertices[[#This Row],[Vertex]],Vertices[],MATCH("ID",Vertices[[#Headers],[Vertex]:[Top Word Pairs in Comment by Salience]],0),FALSE)</f>
        <v>224</v>
      </c>
    </row>
    <row r="169" spans="1:3" ht="15">
      <c r="A169" s="81" t="s">
        <v>2087</v>
      </c>
      <c r="B169" s="83" t="s">
        <v>557</v>
      </c>
      <c r="C169" s="80">
        <f>VLOOKUP(GroupVertices[[#This Row],[Vertex]],Vertices[],MATCH("ID",Vertices[[#Headers],[Vertex]:[Top Word Pairs in Comment by Salience]],0),FALSE)</f>
        <v>223</v>
      </c>
    </row>
    <row r="170" spans="1:3" ht="15">
      <c r="A170" s="81" t="s">
        <v>2087</v>
      </c>
      <c r="B170" s="83" t="s">
        <v>556</v>
      </c>
      <c r="C170" s="80">
        <f>VLOOKUP(GroupVertices[[#This Row],[Vertex]],Vertices[],MATCH("ID",Vertices[[#Headers],[Vertex]:[Top Word Pairs in Comment by Salience]],0),FALSE)</f>
        <v>222</v>
      </c>
    </row>
    <row r="171" spans="1:3" ht="15">
      <c r="A171" s="81" t="s">
        <v>2087</v>
      </c>
      <c r="B171" s="83" t="s">
        <v>555</v>
      </c>
      <c r="C171" s="80">
        <f>VLOOKUP(GroupVertices[[#This Row],[Vertex]],Vertices[],MATCH("ID",Vertices[[#Headers],[Vertex]:[Top Word Pairs in Comment by Salience]],0),FALSE)</f>
        <v>221</v>
      </c>
    </row>
    <row r="172" spans="1:3" ht="15">
      <c r="A172" s="81" t="s">
        <v>2087</v>
      </c>
      <c r="B172" s="83" t="s">
        <v>554</v>
      </c>
      <c r="C172" s="80">
        <f>VLOOKUP(GroupVertices[[#This Row],[Vertex]],Vertices[],MATCH("ID",Vertices[[#Headers],[Vertex]:[Top Word Pairs in Comment by Salience]],0),FALSE)</f>
        <v>220</v>
      </c>
    </row>
    <row r="173" spans="1:3" ht="15">
      <c r="A173" s="81" t="s">
        <v>2087</v>
      </c>
      <c r="B173" s="83" t="s">
        <v>553</v>
      </c>
      <c r="C173" s="80">
        <f>VLOOKUP(GroupVertices[[#This Row],[Vertex]],Vertices[],MATCH("ID",Vertices[[#Headers],[Vertex]:[Top Word Pairs in Comment by Salience]],0),FALSE)</f>
        <v>219</v>
      </c>
    </row>
    <row r="174" spans="1:3" ht="15">
      <c r="A174" s="81" t="s">
        <v>2087</v>
      </c>
      <c r="B174" s="83" t="s">
        <v>552</v>
      </c>
      <c r="C174" s="80">
        <f>VLOOKUP(GroupVertices[[#This Row],[Vertex]],Vertices[],MATCH("ID",Vertices[[#Headers],[Vertex]:[Top Word Pairs in Comment by Salience]],0),FALSE)</f>
        <v>218</v>
      </c>
    </row>
    <row r="175" spans="1:3" ht="15">
      <c r="A175" s="81" t="s">
        <v>2087</v>
      </c>
      <c r="B175" s="83" t="s">
        <v>551</v>
      </c>
      <c r="C175" s="80">
        <f>VLOOKUP(GroupVertices[[#This Row],[Vertex]],Vertices[],MATCH("ID",Vertices[[#Headers],[Vertex]:[Top Word Pairs in Comment by Salience]],0),FALSE)</f>
        <v>217</v>
      </c>
    </row>
    <row r="176" spans="1:3" ht="15">
      <c r="A176" s="81" t="s">
        <v>2087</v>
      </c>
      <c r="B176" s="83" t="s">
        <v>550</v>
      </c>
      <c r="C176" s="80">
        <f>VLOOKUP(GroupVertices[[#This Row],[Vertex]],Vertices[],MATCH("ID",Vertices[[#Headers],[Vertex]:[Top Word Pairs in Comment by Salience]],0),FALSE)</f>
        <v>216</v>
      </c>
    </row>
    <row r="177" spans="1:3" ht="15">
      <c r="A177" s="81" t="s">
        <v>2087</v>
      </c>
      <c r="B177" s="83" t="s">
        <v>549</v>
      </c>
      <c r="C177" s="80">
        <f>VLOOKUP(GroupVertices[[#This Row],[Vertex]],Vertices[],MATCH("ID",Vertices[[#Headers],[Vertex]:[Top Word Pairs in Comment by Salience]],0),FALSE)</f>
        <v>215</v>
      </c>
    </row>
    <row r="178" spans="1:3" ht="15">
      <c r="A178" s="81" t="s">
        <v>2087</v>
      </c>
      <c r="B178" s="83" t="s">
        <v>548</v>
      </c>
      <c r="C178" s="80">
        <f>VLOOKUP(GroupVertices[[#This Row],[Vertex]],Vertices[],MATCH("ID",Vertices[[#Headers],[Vertex]:[Top Word Pairs in Comment by Salience]],0),FALSE)</f>
        <v>214</v>
      </c>
    </row>
    <row r="179" spans="1:3" ht="15">
      <c r="A179" s="81" t="s">
        <v>2087</v>
      </c>
      <c r="B179" s="83" t="s">
        <v>547</v>
      </c>
      <c r="C179" s="80">
        <f>VLOOKUP(GroupVertices[[#This Row],[Vertex]],Vertices[],MATCH("ID",Vertices[[#Headers],[Vertex]:[Top Word Pairs in Comment by Salience]],0),FALSE)</f>
        <v>213</v>
      </c>
    </row>
    <row r="180" spans="1:3" ht="15">
      <c r="A180" s="81" t="s">
        <v>2087</v>
      </c>
      <c r="B180" s="83" t="s">
        <v>546</v>
      </c>
      <c r="C180" s="80">
        <f>VLOOKUP(GroupVertices[[#This Row],[Vertex]],Vertices[],MATCH("ID",Vertices[[#Headers],[Vertex]:[Top Word Pairs in Comment by Salience]],0),FALSE)</f>
        <v>212</v>
      </c>
    </row>
    <row r="181" spans="1:3" ht="15">
      <c r="A181" s="81" t="s">
        <v>2087</v>
      </c>
      <c r="B181" s="83" t="s">
        <v>545</v>
      </c>
      <c r="C181" s="80">
        <f>VLOOKUP(GroupVertices[[#This Row],[Vertex]],Vertices[],MATCH("ID",Vertices[[#Headers],[Vertex]:[Top Word Pairs in Comment by Salience]],0),FALSE)</f>
        <v>211</v>
      </c>
    </row>
    <row r="182" spans="1:3" ht="15">
      <c r="A182" s="81" t="s">
        <v>2087</v>
      </c>
      <c r="B182" s="83" t="s">
        <v>544</v>
      </c>
      <c r="C182" s="80">
        <f>VLOOKUP(GroupVertices[[#This Row],[Vertex]],Vertices[],MATCH("ID",Vertices[[#Headers],[Vertex]:[Top Word Pairs in Comment by Salience]],0),FALSE)</f>
        <v>210</v>
      </c>
    </row>
    <row r="183" spans="1:3" ht="15">
      <c r="A183" s="81" t="s">
        <v>2087</v>
      </c>
      <c r="B183" s="83" t="s">
        <v>543</v>
      </c>
      <c r="C183" s="80">
        <f>VLOOKUP(GroupVertices[[#This Row],[Vertex]],Vertices[],MATCH("ID",Vertices[[#Headers],[Vertex]:[Top Word Pairs in Comment by Salience]],0),FALSE)</f>
        <v>209</v>
      </c>
    </row>
    <row r="184" spans="1:3" ht="15">
      <c r="A184" s="81" t="s">
        <v>2087</v>
      </c>
      <c r="B184" s="83" t="s">
        <v>542</v>
      </c>
      <c r="C184" s="80">
        <f>VLOOKUP(GroupVertices[[#This Row],[Vertex]],Vertices[],MATCH("ID",Vertices[[#Headers],[Vertex]:[Top Word Pairs in Comment by Salience]],0),FALSE)</f>
        <v>208</v>
      </c>
    </row>
    <row r="185" spans="1:3" ht="15">
      <c r="A185" s="81" t="s">
        <v>2087</v>
      </c>
      <c r="B185" s="83" t="s">
        <v>541</v>
      </c>
      <c r="C185" s="80">
        <f>VLOOKUP(GroupVertices[[#This Row],[Vertex]],Vertices[],MATCH("ID",Vertices[[#Headers],[Vertex]:[Top Word Pairs in Comment by Salience]],0),FALSE)</f>
        <v>207</v>
      </c>
    </row>
    <row r="186" spans="1:3" ht="15">
      <c r="A186" s="81" t="s">
        <v>2087</v>
      </c>
      <c r="B186" s="83" t="s">
        <v>540</v>
      </c>
      <c r="C186" s="80">
        <f>VLOOKUP(GroupVertices[[#This Row],[Vertex]],Vertices[],MATCH("ID",Vertices[[#Headers],[Vertex]:[Top Word Pairs in Comment by Salience]],0),FALSE)</f>
        <v>206</v>
      </c>
    </row>
    <row r="187" spans="1:3" ht="15">
      <c r="A187" s="81" t="s">
        <v>2087</v>
      </c>
      <c r="B187" s="83" t="s">
        <v>539</v>
      </c>
      <c r="C187" s="80">
        <f>VLOOKUP(GroupVertices[[#This Row],[Vertex]],Vertices[],MATCH("ID",Vertices[[#Headers],[Vertex]:[Top Word Pairs in Comment by Salience]],0),FALSE)</f>
        <v>205</v>
      </c>
    </row>
    <row r="188" spans="1:3" ht="15">
      <c r="A188" s="81" t="s">
        <v>2087</v>
      </c>
      <c r="B188" s="83" t="s">
        <v>538</v>
      </c>
      <c r="C188" s="80">
        <f>VLOOKUP(GroupVertices[[#This Row],[Vertex]],Vertices[],MATCH("ID",Vertices[[#Headers],[Vertex]:[Top Word Pairs in Comment by Salience]],0),FALSE)</f>
        <v>204</v>
      </c>
    </row>
    <row r="189" spans="1:3" ht="15">
      <c r="A189" s="81" t="s">
        <v>2087</v>
      </c>
      <c r="B189" s="83" t="s">
        <v>537</v>
      </c>
      <c r="C189" s="80">
        <f>VLOOKUP(GroupVertices[[#This Row],[Vertex]],Vertices[],MATCH("ID",Vertices[[#Headers],[Vertex]:[Top Word Pairs in Comment by Salience]],0),FALSE)</f>
        <v>203</v>
      </c>
    </row>
    <row r="190" spans="1:3" ht="15">
      <c r="A190" s="81" t="s">
        <v>2087</v>
      </c>
      <c r="B190" s="83" t="s">
        <v>536</v>
      </c>
      <c r="C190" s="80">
        <f>VLOOKUP(GroupVertices[[#This Row],[Vertex]],Vertices[],MATCH("ID",Vertices[[#Headers],[Vertex]:[Top Word Pairs in Comment by Salience]],0),FALSE)</f>
        <v>202</v>
      </c>
    </row>
    <row r="191" spans="1:3" ht="15">
      <c r="A191" s="81" t="s">
        <v>2087</v>
      </c>
      <c r="B191" s="83" t="s">
        <v>535</v>
      </c>
      <c r="C191" s="80">
        <f>VLOOKUP(GroupVertices[[#This Row],[Vertex]],Vertices[],MATCH("ID",Vertices[[#Headers],[Vertex]:[Top Word Pairs in Comment by Salience]],0),FALSE)</f>
        <v>201</v>
      </c>
    </row>
    <row r="192" spans="1:3" ht="15">
      <c r="A192" s="81" t="s">
        <v>2087</v>
      </c>
      <c r="B192" s="83" t="s">
        <v>534</v>
      </c>
      <c r="C192" s="80">
        <f>VLOOKUP(GroupVertices[[#This Row],[Vertex]],Vertices[],MATCH("ID",Vertices[[#Headers],[Vertex]:[Top Word Pairs in Comment by Salience]],0),FALSE)</f>
        <v>200</v>
      </c>
    </row>
    <row r="193" spans="1:3" ht="15">
      <c r="A193" s="81" t="s">
        <v>2087</v>
      </c>
      <c r="B193" s="83" t="s">
        <v>533</v>
      </c>
      <c r="C193" s="80">
        <f>VLOOKUP(GroupVertices[[#This Row],[Vertex]],Vertices[],MATCH("ID",Vertices[[#Headers],[Vertex]:[Top Word Pairs in Comment by Salience]],0),FALSE)</f>
        <v>199</v>
      </c>
    </row>
    <row r="194" spans="1:3" ht="15">
      <c r="A194" s="81" t="s">
        <v>2087</v>
      </c>
      <c r="B194" s="83" t="s">
        <v>532</v>
      </c>
      <c r="C194" s="80">
        <f>VLOOKUP(GroupVertices[[#This Row],[Vertex]],Vertices[],MATCH("ID",Vertices[[#Headers],[Vertex]:[Top Word Pairs in Comment by Salience]],0),FALSE)</f>
        <v>198</v>
      </c>
    </row>
    <row r="195" spans="1:3" ht="15">
      <c r="A195" s="81" t="s">
        <v>2087</v>
      </c>
      <c r="B195" s="83" t="s">
        <v>531</v>
      </c>
      <c r="C195" s="80">
        <f>VLOOKUP(GroupVertices[[#This Row],[Vertex]],Vertices[],MATCH("ID",Vertices[[#Headers],[Vertex]:[Top Word Pairs in Comment by Salience]],0),FALSE)</f>
        <v>197</v>
      </c>
    </row>
    <row r="196" spans="1:3" ht="15">
      <c r="A196" s="81" t="s">
        <v>2087</v>
      </c>
      <c r="B196" s="83" t="s">
        <v>530</v>
      </c>
      <c r="C196" s="80">
        <f>VLOOKUP(GroupVertices[[#This Row],[Vertex]],Vertices[],MATCH("ID",Vertices[[#Headers],[Vertex]:[Top Word Pairs in Comment by Salience]],0),FALSE)</f>
        <v>196</v>
      </c>
    </row>
    <row r="197" spans="1:3" ht="15">
      <c r="A197" s="81" t="s">
        <v>2087</v>
      </c>
      <c r="B197" s="83" t="s">
        <v>529</v>
      </c>
      <c r="C197" s="80">
        <f>VLOOKUP(GroupVertices[[#This Row],[Vertex]],Vertices[],MATCH("ID",Vertices[[#Headers],[Vertex]:[Top Word Pairs in Comment by Salience]],0),FALSE)</f>
        <v>195</v>
      </c>
    </row>
    <row r="198" spans="1:3" ht="15">
      <c r="A198" s="81" t="s">
        <v>2087</v>
      </c>
      <c r="B198" s="83" t="s">
        <v>528</v>
      </c>
      <c r="C198" s="80">
        <f>VLOOKUP(GroupVertices[[#This Row],[Vertex]],Vertices[],MATCH("ID",Vertices[[#Headers],[Vertex]:[Top Word Pairs in Comment by Salience]],0),FALSE)</f>
        <v>194</v>
      </c>
    </row>
    <row r="199" spans="1:3" ht="15">
      <c r="A199" s="81" t="s">
        <v>2087</v>
      </c>
      <c r="B199" s="83" t="s">
        <v>527</v>
      </c>
      <c r="C199" s="80">
        <f>VLOOKUP(GroupVertices[[#This Row],[Vertex]],Vertices[],MATCH("ID",Vertices[[#Headers],[Vertex]:[Top Word Pairs in Comment by Salience]],0),FALSE)</f>
        <v>193</v>
      </c>
    </row>
    <row r="200" spans="1:3" ht="15">
      <c r="A200" s="81" t="s">
        <v>2087</v>
      </c>
      <c r="B200" s="83" t="s">
        <v>526</v>
      </c>
      <c r="C200" s="80">
        <f>VLOOKUP(GroupVertices[[#This Row],[Vertex]],Vertices[],MATCH("ID",Vertices[[#Headers],[Vertex]:[Top Word Pairs in Comment by Salience]],0),FALSE)</f>
        <v>192</v>
      </c>
    </row>
    <row r="201" spans="1:3" ht="15">
      <c r="A201" s="81" t="s">
        <v>2087</v>
      </c>
      <c r="B201" s="83" t="s">
        <v>525</v>
      </c>
      <c r="C201" s="80">
        <f>VLOOKUP(GroupVertices[[#This Row],[Vertex]],Vertices[],MATCH("ID",Vertices[[#Headers],[Vertex]:[Top Word Pairs in Comment by Salience]],0),FALSE)</f>
        <v>191</v>
      </c>
    </row>
    <row r="202" spans="1:3" ht="15">
      <c r="A202" s="81" t="s">
        <v>2087</v>
      </c>
      <c r="B202" s="83" t="s">
        <v>524</v>
      </c>
      <c r="C202" s="80">
        <f>VLOOKUP(GroupVertices[[#This Row],[Vertex]],Vertices[],MATCH("ID",Vertices[[#Headers],[Vertex]:[Top Word Pairs in Comment by Salience]],0),FALSE)</f>
        <v>190</v>
      </c>
    </row>
    <row r="203" spans="1:3" ht="15">
      <c r="A203" s="81" t="s">
        <v>2087</v>
      </c>
      <c r="B203" s="83" t="s">
        <v>523</v>
      </c>
      <c r="C203" s="80">
        <f>VLOOKUP(GroupVertices[[#This Row],[Vertex]],Vertices[],MATCH("ID",Vertices[[#Headers],[Vertex]:[Top Word Pairs in Comment by Salience]],0),FALSE)</f>
        <v>189</v>
      </c>
    </row>
    <row r="204" spans="1:3" ht="15">
      <c r="A204" s="81" t="s">
        <v>2087</v>
      </c>
      <c r="B204" s="83" t="s">
        <v>522</v>
      </c>
      <c r="C204" s="80">
        <f>VLOOKUP(GroupVertices[[#This Row],[Vertex]],Vertices[],MATCH("ID",Vertices[[#Headers],[Vertex]:[Top Word Pairs in Comment by Salience]],0),FALSE)</f>
        <v>188</v>
      </c>
    </row>
    <row r="205" spans="1:3" ht="15">
      <c r="A205" s="81" t="s">
        <v>2087</v>
      </c>
      <c r="B205" s="83" t="s">
        <v>521</v>
      </c>
      <c r="C205" s="80">
        <f>VLOOKUP(GroupVertices[[#This Row],[Vertex]],Vertices[],MATCH("ID",Vertices[[#Headers],[Vertex]:[Top Word Pairs in Comment by Salience]],0),FALSE)</f>
        <v>187</v>
      </c>
    </row>
    <row r="206" spans="1:3" ht="15">
      <c r="A206" s="81" t="s">
        <v>2087</v>
      </c>
      <c r="B206" s="83" t="s">
        <v>520</v>
      </c>
      <c r="C206" s="80">
        <f>VLOOKUP(GroupVertices[[#This Row],[Vertex]],Vertices[],MATCH("ID",Vertices[[#Headers],[Vertex]:[Top Word Pairs in Comment by Salience]],0),FALSE)</f>
        <v>186</v>
      </c>
    </row>
    <row r="207" spans="1:3" ht="15">
      <c r="A207" s="81" t="s">
        <v>2087</v>
      </c>
      <c r="B207" s="83" t="s">
        <v>519</v>
      </c>
      <c r="C207" s="80">
        <f>VLOOKUP(GroupVertices[[#This Row],[Vertex]],Vertices[],MATCH("ID",Vertices[[#Headers],[Vertex]:[Top Word Pairs in Comment by Salience]],0),FALSE)</f>
        <v>185</v>
      </c>
    </row>
    <row r="208" spans="1:3" ht="15">
      <c r="A208" s="81" t="s">
        <v>2087</v>
      </c>
      <c r="B208" s="83" t="s">
        <v>518</v>
      </c>
      <c r="C208" s="80">
        <f>VLOOKUP(GroupVertices[[#This Row],[Vertex]],Vertices[],MATCH("ID",Vertices[[#Headers],[Vertex]:[Top Word Pairs in Comment by Salience]],0),FALSE)</f>
        <v>184</v>
      </c>
    </row>
    <row r="209" spans="1:3" ht="15">
      <c r="A209" s="81" t="s">
        <v>2087</v>
      </c>
      <c r="B209" s="83" t="s">
        <v>517</v>
      </c>
      <c r="C209" s="80">
        <f>VLOOKUP(GroupVertices[[#This Row],[Vertex]],Vertices[],MATCH("ID",Vertices[[#Headers],[Vertex]:[Top Word Pairs in Comment by Salience]],0),FALSE)</f>
        <v>183</v>
      </c>
    </row>
    <row r="210" spans="1:3" ht="15">
      <c r="A210" s="81" t="s">
        <v>2087</v>
      </c>
      <c r="B210" s="83" t="s">
        <v>516</v>
      </c>
      <c r="C210" s="80">
        <f>VLOOKUP(GroupVertices[[#This Row],[Vertex]],Vertices[],MATCH("ID",Vertices[[#Headers],[Vertex]:[Top Word Pairs in Comment by Salience]],0),FALSE)</f>
        <v>182</v>
      </c>
    </row>
    <row r="211" spans="1:3" ht="15">
      <c r="A211" s="81" t="s">
        <v>2087</v>
      </c>
      <c r="B211" s="83" t="s">
        <v>515</v>
      </c>
      <c r="C211" s="80">
        <f>VLOOKUP(GroupVertices[[#This Row],[Vertex]],Vertices[],MATCH("ID",Vertices[[#Headers],[Vertex]:[Top Word Pairs in Comment by Salience]],0),FALSE)</f>
        <v>181</v>
      </c>
    </row>
    <row r="212" spans="1:3" ht="15">
      <c r="A212" s="81" t="s">
        <v>2087</v>
      </c>
      <c r="B212" s="83" t="s">
        <v>514</v>
      </c>
      <c r="C212" s="80">
        <f>VLOOKUP(GroupVertices[[#This Row],[Vertex]],Vertices[],MATCH("ID",Vertices[[#Headers],[Vertex]:[Top Word Pairs in Comment by Salience]],0),FALSE)</f>
        <v>180</v>
      </c>
    </row>
    <row r="213" spans="1:3" ht="15">
      <c r="A213" s="81" t="s">
        <v>2087</v>
      </c>
      <c r="B213" s="83" t="s">
        <v>513</v>
      </c>
      <c r="C213" s="80">
        <f>VLOOKUP(GroupVertices[[#This Row],[Vertex]],Vertices[],MATCH("ID",Vertices[[#Headers],[Vertex]:[Top Word Pairs in Comment by Salience]],0),FALSE)</f>
        <v>179</v>
      </c>
    </row>
    <row r="214" spans="1:3" ht="15">
      <c r="A214" s="81" t="s">
        <v>2087</v>
      </c>
      <c r="B214" s="83" t="s">
        <v>512</v>
      </c>
      <c r="C214" s="80">
        <f>VLOOKUP(GroupVertices[[#This Row],[Vertex]],Vertices[],MATCH("ID",Vertices[[#Headers],[Vertex]:[Top Word Pairs in Comment by Salience]],0),FALSE)</f>
        <v>178</v>
      </c>
    </row>
    <row r="215" spans="1:3" ht="15">
      <c r="A215" s="81" t="s">
        <v>2087</v>
      </c>
      <c r="B215" s="83" t="s">
        <v>511</v>
      </c>
      <c r="C215" s="80">
        <f>VLOOKUP(GroupVertices[[#This Row],[Vertex]],Vertices[],MATCH("ID",Vertices[[#Headers],[Vertex]:[Top Word Pairs in Comment by Salience]],0),FALSE)</f>
        <v>177</v>
      </c>
    </row>
    <row r="216" spans="1:3" ht="15">
      <c r="A216" s="81" t="s">
        <v>2087</v>
      </c>
      <c r="B216" s="83" t="s">
        <v>510</v>
      </c>
      <c r="C216" s="80">
        <f>VLOOKUP(GroupVertices[[#This Row],[Vertex]],Vertices[],MATCH("ID",Vertices[[#Headers],[Vertex]:[Top Word Pairs in Comment by Salience]],0),FALSE)</f>
        <v>176</v>
      </c>
    </row>
    <row r="217" spans="1:3" ht="15">
      <c r="A217" s="81" t="s">
        <v>2087</v>
      </c>
      <c r="B217" s="83" t="s">
        <v>509</v>
      </c>
      <c r="C217" s="80">
        <f>VLOOKUP(GroupVertices[[#This Row],[Vertex]],Vertices[],MATCH("ID",Vertices[[#Headers],[Vertex]:[Top Word Pairs in Comment by Salience]],0),FALSE)</f>
        <v>175</v>
      </c>
    </row>
    <row r="218" spans="1:3" ht="15">
      <c r="A218" s="81" t="s">
        <v>2087</v>
      </c>
      <c r="B218" s="83" t="s">
        <v>508</v>
      </c>
      <c r="C218" s="80">
        <f>VLOOKUP(GroupVertices[[#This Row],[Vertex]],Vertices[],MATCH("ID",Vertices[[#Headers],[Vertex]:[Top Word Pairs in Comment by Salience]],0),FALSE)</f>
        <v>174</v>
      </c>
    </row>
    <row r="219" spans="1:3" ht="15">
      <c r="A219" s="81" t="s">
        <v>2087</v>
      </c>
      <c r="B219" s="83" t="s">
        <v>507</v>
      </c>
      <c r="C219" s="80">
        <f>VLOOKUP(GroupVertices[[#This Row],[Vertex]],Vertices[],MATCH("ID",Vertices[[#Headers],[Vertex]:[Top Word Pairs in Comment by Salience]],0),FALSE)</f>
        <v>173</v>
      </c>
    </row>
    <row r="220" spans="1:3" ht="15">
      <c r="A220" s="81" t="s">
        <v>2087</v>
      </c>
      <c r="B220" s="83" t="s">
        <v>506</v>
      </c>
      <c r="C220" s="80">
        <f>VLOOKUP(GroupVertices[[#This Row],[Vertex]],Vertices[],MATCH("ID",Vertices[[#Headers],[Vertex]:[Top Word Pairs in Comment by Salience]],0),FALSE)</f>
        <v>172</v>
      </c>
    </row>
    <row r="221" spans="1:3" ht="15">
      <c r="A221" s="81" t="s">
        <v>2087</v>
      </c>
      <c r="B221" s="83" t="s">
        <v>505</v>
      </c>
      <c r="C221" s="80">
        <f>VLOOKUP(GroupVertices[[#This Row],[Vertex]],Vertices[],MATCH("ID",Vertices[[#Headers],[Vertex]:[Top Word Pairs in Comment by Salience]],0),FALSE)</f>
        <v>171</v>
      </c>
    </row>
    <row r="222" spans="1:3" ht="15">
      <c r="A222" s="81" t="s">
        <v>2087</v>
      </c>
      <c r="B222" s="83" t="s">
        <v>501</v>
      </c>
      <c r="C222" s="80">
        <f>VLOOKUP(GroupVertices[[#This Row],[Vertex]],Vertices[],MATCH("ID",Vertices[[#Headers],[Vertex]:[Top Word Pairs in Comment by Salience]],0),FALSE)</f>
        <v>167</v>
      </c>
    </row>
    <row r="223" spans="1:3" ht="15">
      <c r="A223" s="81" t="s">
        <v>2087</v>
      </c>
      <c r="B223" s="83" t="s">
        <v>500</v>
      </c>
      <c r="C223" s="80">
        <f>VLOOKUP(GroupVertices[[#This Row],[Vertex]],Vertices[],MATCH("ID",Vertices[[#Headers],[Vertex]:[Top Word Pairs in Comment by Salience]],0),FALSE)</f>
        <v>166</v>
      </c>
    </row>
    <row r="224" spans="1:3" ht="15">
      <c r="A224" s="81" t="s">
        <v>2087</v>
      </c>
      <c r="B224" s="83" t="s">
        <v>499</v>
      </c>
      <c r="C224" s="80">
        <f>VLOOKUP(GroupVertices[[#This Row],[Vertex]],Vertices[],MATCH("ID",Vertices[[#Headers],[Vertex]:[Top Word Pairs in Comment by Salience]],0),FALSE)</f>
        <v>165</v>
      </c>
    </row>
    <row r="225" spans="1:3" ht="15">
      <c r="A225" s="81" t="s">
        <v>2087</v>
      </c>
      <c r="B225" s="83" t="s">
        <v>498</v>
      </c>
      <c r="C225" s="80">
        <f>VLOOKUP(GroupVertices[[#This Row],[Vertex]],Vertices[],MATCH("ID",Vertices[[#Headers],[Vertex]:[Top Word Pairs in Comment by Salience]],0),FALSE)</f>
        <v>164</v>
      </c>
    </row>
    <row r="226" spans="1:3" ht="15">
      <c r="A226" s="81" t="s">
        <v>2087</v>
      </c>
      <c r="B226" s="83" t="s">
        <v>497</v>
      </c>
      <c r="C226" s="80">
        <f>VLOOKUP(GroupVertices[[#This Row],[Vertex]],Vertices[],MATCH("ID",Vertices[[#Headers],[Vertex]:[Top Word Pairs in Comment by Salience]],0),FALSE)</f>
        <v>163</v>
      </c>
    </row>
    <row r="227" spans="1:3" ht="15">
      <c r="A227" s="81" t="s">
        <v>2087</v>
      </c>
      <c r="B227" s="83" t="s">
        <v>496</v>
      </c>
      <c r="C227" s="80">
        <f>VLOOKUP(GroupVertices[[#This Row],[Vertex]],Vertices[],MATCH("ID",Vertices[[#Headers],[Vertex]:[Top Word Pairs in Comment by Salience]],0),FALSE)</f>
        <v>162</v>
      </c>
    </row>
    <row r="228" spans="1:3" ht="15">
      <c r="A228" s="81" t="s">
        <v>2087</v>
      </c>
      <c r="B228" s="83" t="s">
        <v>495</v>
      </c>
      <c r="C228" s="80">
        <f>VLOOKUP(GroupVertices[[#This Row],[Vertex]],Vertices[],MATCH("ID",Vertices[[#Headers],[Vertex]:[Top Word Pairs in Comment by Salience]],0),FALSE)</f>
        <v>161</v>
      </c>
    </row>
    <row r="229" spans="1:3" ht="15">
      <c r="A229" s="81" t="s">
        <v>2087</v>
      </c>
      <c r="B229" s="83" t="s">
        <v>494</v>
      </c>
      <c r="C229" s="80">
        <f>VLOOKUP(GroupVertices[[#This Row],[Vertex]],Vertices[],MATCH("ID",Vertices[[#Headers],[Vertex]:[Top Word Pairs in Comment by Salience]],0),FALSE)</f>
        <v>160</v>
      </c>
    </row>
    <row r="230" spans="1:3" ht="15">
      <c r="A230" s="81" t="s">
        <v>2087</v>
      </c>
      <c r="B230" s="83" t="s">
        <v>493</v>
      </c>
      <c r="C230" s="80">
        <f>VLOOKUP(GroupVertices[[#This Row],[Vertex]],Vertices[],MATCH("ID",Vertices[[#Headers],[Vertex]:[Top Word Pairs in Comment by Salience]],0),FALSE)</f>
        <v>159</v>
      </c>
    </row>
    <row r="231" spans="1:3" ht="15">
      <c r="A231" s="81" t="s">
        <v>2087</v>
      </c>
      <c r="B231" s="83" t="s">
        <v>492</v>
      </c>
      <c r="C231" s="80">
        <f>VLOOKUP(GroupVertices[[#This Row],[Vertex]],Vertices[],MATCH("ID",Vertices[[#Headers],[Vertex]:[Top Word Pairs in Comment by Salience]],0),FALSE)</f>
        <v>158</v>
      </c>
    </row>
    <row r="232" spans="1:3" ht="15">
      <c r="A232" s="81" t="s">
        <v>2087</v>
      </c>
      <c r="B232" s="83" t="s">
        <v>491</v>
      </c>
      <c r="C232" s="80">
        <f>VLOOKUP(GroupVertices[[#This Row],[Vertex]],Vertices[],MATCH("ID",Vertices[[#Headers],[Vertex]:[Top Word Pairs in Comment by Salience]],0),FALSE)</f>
        <v>157</v>
      </c>
    </row>
    <row r="233" spans="1:3" ht="15">
      <c r="A233" s="81" t="s">
        <v>2087</v>
      </c>
      <c r="B233" s="83" t="s">
        <v>490</v>
      </c>
      <c r="C233" s="80">
        <f>VLOOKUP(GroupVertices[[#This Row],[Vertex]],Vertices[],MATCH("ID",Vertices[[#Headers],[Vertex]:[Top Word Pairs in Comment by Salience]],0),FALSE)</f>
        <v>156</v>
      </c>
    </row>
    <row r="234" spans="1:3" ht="15">
      <c r="A234" s="81" t="s">
        <v>2087</v>
      </c>
      <c r="B234" s="83" t="s">
        <v>489</v>
      </c>
      <c r="C234" s="80">
        <f>VLOOKUP(GroupVertices[[#This Row],[Vertex]],Vertices[],MATCH("ID",Vertices[[#Headers],[Vertex]:[Top Word Pairs in Comment by Salience]],0),FALSE)</f>
        <v>155</v>
      </c>
    </row>
    <row r="235" spans="1:3" ht="15">
      <c r="A235" s="81" t="s">
        <v>2087</v>
      </c>
      <c r="B235" s="83" t="s">
        <v>488</v>
      </c>
      <c r="C235" s="80">
        <f>VLOOKUP(GroupVertices[[#This Row],[Vertex]],Vertices[],MATCH("ID",Vertices[[#Headers],[Vertex]:[Top Word Pairs in Comment by Salience]],0),FALSE)</f>
        <v>154</v>
      </c>
    </row>
    <row r="236" spans="1:3" ht="15">
      <c r="A236" s="81" t="s">
        <v>2087</v>
      </c>
      <c r="B236" s="83" t="s">
        <v>487</v>
      </c>
      <c r="C236" s="80">
        <f>VLOOKUP(GroupVertices[[#This Row],[Vertex]],Vertices[],MATCH("ID",Vertices[[#Headers],[Vertex]:[Top Word Pairs in Comment by Salience]],0),FALSE)</f>
        <v>153</v>
      </c>
    </row>
    <row r="237" spans="1:3" ht="15">
      <c r="A237" s="81" t="s">
        <v>2087</v>
      </c>
      <c r="B237" s="83" t="s">
        <v>486</v>
      </c>
      <c r="C237" s="80">
        <f>VLOOKUP(GroupVertices[[#This Row],[Vertex]],Vertices[],MATCH("ID",Vertices[[#Headers],[Vertex]:[Top Word Pairs in Comment by Salience]],0),FALSE)</f>
        <v>152</v>
      </c>
    </row>
    <row r="238" spans="1:3" ht="15">
      <c r="A238" s="81" t="s">
        <v>2087</v>
      </c>
      <c r="B238" s="83" t="s">
        <v>485</v>
      </c>
      <c r="C238" s="80">
        <f>VLOOKUP(GroupVertices[[#This Row],[Vertex]],Vertices[],MATCH("ID",Vertices[[#Headers],[Vertex]:[Top Word Pairs in Comment by Salience]],0),FALSE)</f>
        <v>151</v>
      </c>
    </row>
    <row r="239" spans="1:3" ht="15">
      <c r="A239" s="81" t="s">
        <v>2087</v>
      </c>
      <c r="B239" s="83" t="s">
        <v>484</v>
      </c>
      <c r="C239" s="80">
        <f>VLOOKUP(GroupVertices[[#This Row],[Vertex]],Vertices[],MATCH("ID",Vertices[[#Headers],[Vertex]:[Top Word Pairs in Comment by Salience]],0),FALSE)</f>
        <v>150</v>
      </c>
    </row>
    <row r="240" spans="1:3" ht="15">
      <c r="A240" s="81" t="s">
        <v>2087</v>
      </c>
      <c r="B240" s="83" t="s">
        <v>483</v>
      </c>
      <c r="C240" s="80">
        <f>VLOOKUP(GroupVertices[[#This Row],[Vertex]],Vertices[],MATCH("ID",Vertices[[#Headers],[Vertex]:[Top Word Pairs in Comment by Salience]],0),FALSE)</f>
        <v>149</v>
      </c>
    </row>
    <row r="241" spans="1:3" ht="15">
      <c r="A241" s="81" t="s">
        <v>2087</v>
      </c>
      <c r="B241" s="83" t="s">
        <v>482</v>
      </c>
      <c r="C241" s="80">
        <f>VLOOKUP(GroupVertices[[#This Row],[Vertex]],Vertices[],MATCH("ID",Vertices[[#Headers],[Vertex]:[Top Word Pairs in Comment by Salience]],0),FALSE)</f>
        <v>148</v>
      </c>
    </row>
    <row r="242" spans="1:3" ht="15">
      <c r="A242" s="81" t="s">
        <v>2087</v>
      </c>
      <c r="B242" s="83" t="s">
        <v>481</v>
      </c>
      <c r="C242" s="80">
        <f>VLOOKUP(GroupVertices[[#This Row],[Vertex]],Vertices[],MATCH("ID",Vertices[[#Headers],[Vertex]:[Top Word Pairs in Comment by Salience]],0),FALSE)</f>
        <v>147</v>
      </c>
    </row>
    <row r="243" spans="1:3" ht="15">
      <c r="A243" s="81" t="s">
        <v>2087</v>
      </c>
      <c r="B243" s="83" t="s">
        <v>480</v>
      </c>
      <c r="C243" s="80">
        <f>VLOOKUP(GroupVertices[[#This Row],[Vertex]],Vertices[],MATCH("ID",Vertices[[#Headers],[Vertex]:[Top Word Pairs in Comment by Salience]],0),FALSE)</f>
        <v>146</v>
      </c>
    </row>
    <row r="244" spans="1:3" ht="15">
      <c r="A244" s="81" t="s">
        <v>2087</v>
      </c>
      <c r="B244" s="83" t="s">
        <v>479</v>
      </c>
      <c r="C244" s="80">
        <f>VLOOKUP(GroupVertices[[#This Row],[Vertex]],Vertices[],MATCH("ID",Vertices[[#Headers],[Vertex]:[Top Word Pairs in Comment by Salience]],0),FALSE)</f>
        <v>145</v>
      </c>
    </row>
    <row r="245" spans="1:3" ht="15">
      <c r="A245" s="81" t="s">
        <v>2087</v>
      </c>
      <c r="B245" s="83" t="s">
        <v>478</v>
      </c>
      <c r="C245" s="80">
        <f>VLOOKUP(GroupVertices[[#This Row],[Vertex]],Vertices[],MATCH("ID",Vertices[[#Headers],[Vertex]:[Top Word Pairs in Comment by Salience]],0),FALSE)</f>
        <v>144</v>
      </c>
    </row>
    <row r="246" spans="1:3" ht="15">
      <c r="A246" s="81" t="s">
        <v>2087</v>
      </c>
      <c r="B246" s="83" t="s">
        <v>477</v>
      </c>
      <c r="C246" s="80">
        <f>VLOOKUP(GroupVertices[[#This Row],[Vertex]],Vertices[],MATCH("ID",Vertices[[#Headers],[Vertex]:[Top Word Pairs in Comment by Salience]],0),FALSE)</f>
        <v>143</v>
      </c>
    </row>
    <row r="247" spans="1:3" ht="15">
      <c r="A247" s="81" t="s">
        <v>2087</v>
      </c>
      <c r="B247" s="83" t="s">
        <v>476</v>
      </c>
      <c r="C247" s="80">
        <f>VLOOKUP(GroupVertices[[#This Row],[Vertex]],Vertices[],MATCH("ID",Vertices[[#Headers],[Vertex]:[Top Word Pairs in Comment by Salience]],0),FALSE)</f>
        <v>142</v>
      </c>
    </row>
    <row r="248" spans="1:3" ht="15">
      <c r="A248" s="81" t="s">
        <v>2087</v>
      </c>
      <c r="B248" s="83" t="s">
        <v>475</v>
      </c>
      <c r="C248" s="80">
        <f>VLOOKUP(GroupVertices[[#This Row],[Vertex]],Vertices[],MATCH("ID",Vertices[[#Headers],[Vertex]:[Top Word Pairs in Comment by Salience]],0),FALSE)</f>
        <v>141</v>
      </c>
    </row>
    <row r="249" spans="1:3" ht="15">
      <c r="A249" s="81" t="s">
        <v>2087</v>
      </c>
      <c r="B249" s="83" t="s">
        <v>474</v>
      </c>
      <c r="C249" s="80">
        <f>VLOOKUP(GroupVertices[[#This Row],[Vertex]],Vertices[],MATCH("ID",Vertices[[#Headers],[Vertex]:[Top Word Pairs in Comment by Salience]],0),FALSE)</f>
        <v>140</v>
      </c>
    </row>
    <row r="250" spans="1:3" ht="15">
      <c r="A250" s="81" t="s">
        <v>2087</v>
      </c>
      <c r="B250" s="83" t="s">
        <v>473</v>
      </c>
      <c r="C250" s="80">
        <f>VLOOKUP(GroupVertices[[#This Row],[Vertex]],Vertices[],MATCH("ID",Vertices[[#Headers],[Vertex]:[Top Word Pairs in Comment by Salience]],0),FALSE)</f>
        <v>139</v>
      </c>
    </row>
    <row r="251" spans="1:3" ht="15">
      <c r="A251" s="81" t="s">
        <v>2087</v>
      </c>
      <c r="B251" s="83" t="s">
        <v>472</v>
      </c>
      <c r="C251" s="80">
        <f>VLOOKUP(GroupVertices[[#This Row],[Vertex]],Vertices[],MATCH("ID",Vertices[[#Headers],[Vertex]:[Top Word Pairs in Comment by Salience]],0),FALSE)</f>
        <v>138</v>
      </c>
    </row>
    <row r="252" spans="1:3" ht="15">
      <c r="A252" s="81" t="s">
        <v>2087</v>
      </c>
      <c r="B252" s="83" t="s">
        <v>471</v>
      </c>
      <c r="C252" s="80">
        <f>VLOOKUP(GroupVertices[[#This Row],[Vertex]],Vertices[],MATCH("ID",Vertices[[#Headers],[Vertex]:[Top Word Pairs in Comment by Salience]],0),FALSE)</f>
        <v>137</v>
      </c>
    </row>
    <row r="253" spans="1:3" ht="15">
      <c r="A253" s="81" t="s">
        <v>2087</v>
      </c>
      <c r="B253" s="83" t="s">
        <v>470</v>
      </c>
      <c r="C253" s="80">
        <f>VLOOKUP(GroupVertices[[#This Row],[Vertex]],Vertices[],MATCH("ID",Vertices[[#Headers],[Vertex]:[Top Word Pairs in Comment by Salience]],0),FALSE)</f>
        <v>136</v>
      </c>
    </row>
    <row r="254" spans="1:3" ht="15">
      <c r="A254" s="81" t="s">
        <v>2087</v>
      </c>
      <c r="B254" s="83" t="s">
        <v>469</v>
      </c>
      <c r="C254" s="80">
        <f>VLOOKUP(GroupVertices[[#This Row],[Vertex]],Vertices[],MATCH("ID",Vertices[[#Headers],[Vertex]:[Top Word Pairs in Comment by Salience]],0),FALSE)</f>
        <v>135</v>
      </c>
    </row>
    <row r="255" spans="1:3" ht="15">
      <c r="A255" s="81" t="s">
        <v>2087</v>
      </c>
      <c r="B255" s="83" t="s">
        <v>466</v>
      </c>
      <c r="C255" s="80">
        <f>VLOOKUP(GroupVertices[[#This Row],[Vertex]],Vertices[],MATCH("ID",Vertices[[#Headers],[Vertex]:[Top Word Pairs in Comment by Salience]],0),FALSE)</f>
        <v>132</v>
      </c>
    </row>
    <row r="256" spans="1:3" ht="15">
      <c r="A256" s="81" t="s">
        <v>2087</v>
      </c>
      <c r="B256" s="83" t="s">
        <v>464</v>
      </c>
      <c r="C256" s="80">
        <f>VLOOKUP(GroupVertices[[#This Row],[Vertex]],Vertices[],MATCH("ID",Vertices[[#Headers],[Vertex]:[Top Word Pairs in Comment by Salience]],0),FALSE)</f>
        <v>131</v>
      </c>
    </row>
    <row r="257" spans="1:3" ht="15">
      <c r="A257" s="81" t="s">
        <v>2087</v>
      </c>
      <c r="B257" s="83" t="s">
        <v>463</v>
      </c>
      <c r="C257" s="80">
        <f>VLOOKUP(GroupVertices[[#This Row],[Vertex]],Vertices[],MATCH("ID",Vertices[[#Headers],[Vertex]:[Top Word Pairs in Comment by Salience]],0),FALSE)</f>
        <v>130</v>
      </c>
    </row>
    <row r="258" spans="1:3" ht="15">
      <c r="A258" s="81" t="s">
        <v>2087</v>
      </c>
      <c r="B258" s="83" t="s">
        <v>462</v>
      </c>
      <c r="C258" s="80">
        <f>VLOOKUP(GroupVertices[[#This Row],[Vertex]],Vertices[],MATCH("ID",Vertices[[#Headers],[Vertex]:[Top Word Pairs in Comment by Salience]],0),FALSE)</f>
        <v>129</v>
      </c>
    </row>
    <row r="259" spans="1:3" ht="15">
      <c r="A259" s="81" t="s">
        <v>2087</v>
      </c>
      <c r="B259" s="83" t="s">
        <v>461</v>
      </c>
      <c r="C259" s="80">
        <f>VLOOKUP(GroupVertices[[#This Row],[Vertex]],Vertices[],MATCH("ID",Vertices[[#Headers],[Vertex]:[Top Word Pairs in Comment by Salience]],0),FALSE)</f>
        <v>128</v>
      </c>
    </row>
    <row r="260" spans="1:3" ht="15">
      <c r="A260" s="81" t="s">
        <v>2087</v>
      </c>
      <c r="B260" s="83" t="s">
        <v>460</v>
      </c>
      <c r="C260" s="80">
        <f>VLOOKUP(GroupVertices[[#This Row],[Vertex]],Vertices[],MATCH("ID",Vertices[[#Headers],[Vertex]:[Top Word Pairs in Comment by Salience]],0),FALSE)</f>
        <v>127</v>
      </c>
    </row>
    <row r="261" spans="1:3" ht="15">
      <c r="A261" s="81" t="s">
        <v>2087</v>
      </c>
      <c r="B261" s="83" t="s">
        <v>459</v>
      </c>
      <c r="C261" s="80">
        <f>VLOOKUP(GroupVertices[[#This Row],[Vertex]],Vertices[],MATCH("ID",Vertices[[#Headers],[Vertex]:[Top Word Pairs in Comment by Salience]],0),FALSE)</f>
        <v>126</v>
      </c>
    </row>
    <row r="262" spans="1:3" ht="15">
      <c r="A262" s="81" t="s">
        <v>2087</v>
      </c>
      <c r="B262" s="83" t="s">
        <v>458</v>
      </c>
      <c r="C262" s="80">
        <f>VLOOKUP(GroupVertices[[#This Row],[Vertex]],Vertices[],MATCH("ID",Vertices[[#Headers],[Vertex]:[Top Word Pairs in Comment by Salience]],0),FALSE)</f>
        <v>125</v>
      </c>
    </row>
    <row r="263" spans="1:3" ht="15">
      <c r="A263" s="81" t="s">
        <v>2087</v>
      </c>
      <c r="B263" s="83" t="s">
        <v>457</v>
      </c>
      <c r="C263" s="80">
        <f>VLOOKUP(GroupVertices[[#This Row],[Vertex]],Vertices[],MATCH("ID",Vertices[[#Headers],[Vertex]:[Top Word Pairs in Comment by Salience]],0),FALSE)</f>
        <v>124</v>
      </c>
    </row>
    <row r="264" spans="1:3" ht="15">
      <c r="A264" s="81" t="s">
        <v>2087</v>
      </c>
      <c r="B264" s="83" t="s">
        <v>454</v>
      </c>
      <c r="C264" s="80">
        <f>VLOOKUP(GroupVertices[[#This Row],[Vertex]],Vertices[],MATCH("ID",Vertices[[#Headers],[Vertex]:[Top Word Pairs in Comment by Salience]],0),FALSE)</f>
        <v>120</v>
      </c>
    </row>
    <row r="265" spans="1:3" ht="15">
      <c r="A265" s="81" t="s">
        <v>2087</v>
      </c>
      <c r="B265" s="83" t="s">
        <v>453</v>
      </c>
      <c r="C265" s="80">
        <f>VLOOKUP(GroupVertices[[#This Row],[Vertex]],Vertices[],MATCH("ID",Vertices[[#Headers],[Vertex]:[Top Word Pairs in Comment by Salience]],0),FALSE)</f>
        <v>119</v>
      </c>
    </row>
    <row r="266" spans="1:3" ht="15">
      <c r="A266" s="81" t="s">
        <v>2087</v>
      </c>
      <c r="B266" s="83" t="s">
        <v>452</v>
      </c>
      <c r="C266" s="80">
        <f>VLOOKUP(GroupVertices[[#This Row],[Vertex]],Vertices[],MATCH("ID",Vertices[[#Headers],[Vertex]:[Top Word Pairs in Comment by Salience]],0),FALSE)</f>
        <v>118</v>
      </c>
    </row>
    <row r="267" spans="1:3" ht="15">
      <c r="A267" s="81" t="s">
        <v>2087</v>
      </c>
      <c r="B267" s="83" t="s">
        <v>451</v>
      </c>
      <c r="C267" s="80">
        <f>VLOOKUP(GroupVertices[[#This Row],[Vertex]],Vertices[],MATCH("ID",Vertices[[#Headers],[Vertex]:[Top Word Pairs in Comment by Salience]],0),FALSE)</f>
        <v>117</v>
      </c>
    </row>
    <row r="268" spans="1:3" ht="15">
      <c r="A268" s="81" t="s">
        <v>2087</v>
      </c>
      <c r="B268" s="83" t="s">
        <v>450</v>
      </c>
      <c r="C268" s="80">
        <f>VLOOKUP(GroupVertices[[#This Row],[Vertex]],Vertices[],MATCH("ID",Vertices[[#Headers],[Vertex]:[Top Word Pairs in Comment by Salience]],0),FALSE)</f>
        <v>116</v>
      </c>
    </row>
    <row r="269" spans="1:3" ht="15">
      <c r="A269" s="81" t="s">
        <v>2087</v>
      </c>
      <c r="B269" s="83" t="s">
        <v>449</v>
      </c>
      <c r="C269" s="80">
        <f>VLOOKUP(GroupVertices[[#This Row],[Vertex]],Vertices[],MATCH("ID",Vertices[[#Headers],[Vertex]:[Top Word Pairs in Comment by Salience]],0),FALSE)</f>
        <v>115</v>
      </c>
    </row>
    <row r="270" spans="1:3" ht="15">
      <c r="A270" s="81" t="s">
        <v>2087</v>
      </c>
      <c r="B270" s="83" t="s">
        <v>448</v>
      </c>
      <c r="C270" s="80">
        <f>VLOOKUP(GroupVertices[[#This Row],[Vertex]],Vertices[],MATCH("ID",Vertices[[#Headers],[Vertex]:[Top Word Pairs in Comment by Salience]],0),FALSE)</f>
        <v>114</v>
      </c>
    </row>
    <row r="271" spans="1:3" ht="15">
      <c r="A271" s="81" t="s">
        <v>2087</v>
      </c>
      <c r="B271" s="83" t="s">
        <v>447</v>
      </c>
      <c r="C271" s="80">
        <f>VLOOKUP(GroupVertices[[#This Row],[Vertex]],Vertices[],MATCH("ID",Vertices[[#Headers],[Vertex]:[Top Word Pairs in Comment by Salience]],0),FALSE)</f>
        <v>113</v>
      </c>
    </row>
    <row r="272" spans="1:3" ht="15">
      <c r="A272" s="81" t="s">
        <v>2087</v>
      </c>
      <c r="B272" s="83" t="s">
        <v>446</v>
      </c>
      <c r="C272" s="80">
        <f>VLOOKUP(GroupVertices[[#This Row],[Vertex]],Vertices[],MATCH("ID",Vertices[[#Headers],[Vertex]:[Top Word Pairs in Comment by Salience]],0),FALSE)</f>
        <v>112</v>
      </c>
    </row>
    <row r="273" spans="1:3" ht="15">
      <c r="A273" s="81" t="s">
        <v>2087</v>
      </c>
      <c r="B273" s="83" t="s">
        <v>445</v>
      </c>
      <c r="C273" s="80">
        <f>VLOOKUP(GroupVertices[[#This Row],[Vertex]],Vertices[],MATCH("ID",Vertices[[#Headers],[Vertex]:[Top Word Pairs in Comment by Salience]],0),FALSE)</f>
        <v>111</v>
      </c>
    </row>
    <row r="274" spans="1:3" ht="15">
      <c r="A274" s="81" t="s">
        <v>2087</v>
      </c>
      <c r="B274" s="83" t="s">
        <v>444</v>
      </c>
      <c r="C274" s="80">
        <f>VLOOKUP(GroupVertices[[#This Row],[Vertex]],Vertices[],MATCH("ID",Vertices[[#Headers],[Vertex]:[Top Word Pairs in Comment by Salience]],0),FALSE)</f>
        <v>110</v>
      </c>
    </row>
    <row r="275" spans="1:3" ht="15">
      <c r="A275" s="81" t="s">
        <v>2087</v>
      </c>
      <c r="B275" s="83" t="s">
        <v>443</v>
      </c>
      <c r="C275" s="80">
        <f>VLOOKUP(GroupVertices[[#This Row],[Vertex]],Vertices[],MATCH("ID",Vertices[[#Headers],[Vertex]:[Top Word Pairs in Comment by Salience]],0),FALSE)</f>
        <v>109</v>
      </c>
    </row>
    <row r="276" spans="1:3" ht="15">
      <c r="A276" s="81" t="s">
        <v>2087</v>
      </c>
      <c r="B276" s="83" t="s">
        <v>442</v>
      </c>
      <c r="C276" s="80">
        <f>VLOOKUP(GroupVertices[[#This Row],[Vertex]],Vertices[],MATCH("ID",Vertices[[#Headers],[Vertex]:[Top Word Pairs in Comment by Salience]],0),FALSE)</f>
        <v>108</v>
      </c>
    </row>
    <row r="277" spans="1:3" ht="15">
      <c r="A277" s="81" t="s">
        <v>2087</v>
      </c>
      <c r="B277" s="83" t="s">
        <v>441</v>
      </c>
      <c r="C277" s="80">
        <f>VLOOKUP(GroupVertices[[#This Row],[Vertex]],Vertices[],MATCH("ID",Vertices[[#Headers],[Vertex]:[Top Word Pairs in Comment by Salience]],0),FALSE)</f>
        <v>107</v>
      </c>
    </row>
    <row r="278" spans="1:3" ht="15">
      <c r="A278" s="81" t="s">
        <v>2087</v>
      </c>
      <c r="B278" s="83" t="s">
        <v>440</v>
      </c>
      <c r="C278" s="80">
        <f>VLOOKUP(GroupVertices[[#This Row],[Vertex]],Vertices[],MATCH("ID",Vertices[[#Headers],[Vertex]:[Top Word Pairs in Comment by Salience]],0),FALSE)</f>
        <v>106</v>
      </c>
    </row>
    <row r="279" spans="1:3" ht="15">
      <c r="A279" s="81" t="s">
        <v>2087</v>
      </c>
      <c r="B279" s="83" t="s">
        <v>436</v>
      </c>
      <c r="C279" s="80">
        <f>VLOOKUP(GroupVertices[[#This Row],[Vertex]],Vertices[],MATCH("ID",Vertices[[#Headers],[Vertex]:[Top Word Pairs in Comment by Salience]],0),FALSE)</f>
        <v>102</v>
      </c>
    </row>
    <row r="280" spans="1:3" ht="15">
      <c r="A280" s="81" t="s">
        <v>2087</v>
      </c>
      <c r="B280" s="83" t="s">
        <v>435</v>
      </c>
      <c r="C280" s="80">
        <f>VLOOKUP(GroupVertices[[#This Row],[Vertex]],Vertices[],MATCH("ID",Vertices[[#Headers],[Vertex]:[Top Word Pairs in Comment by Salience]],0),FALSE)</f>
        <v>101</v>
      </c>
    </row>
    <row r="281" spans="1:3" ht="15">
      <c r="A281" s="81" t="s">
        <v>2087</v>
      </c>
      <c r="B281" s="83" t="s">
        <v>434</v>
      </c>
      <c r="C281" s="80">
        <f>VLOOKUP(GroupVertices[[#This Row],[Vertex]],Vertices[],MATCH("ID",Vertices[[#Headers],[Vertex]:[Top Word Pairs in Comment by Salience]],0),FALSE)</f>
        <v>100</v>
      </c>
    </row>
    <row r="282" spans="1:3" ht="15">
      <c r="A282" s="81" t="s">
        <v>2087</v>
      </c>
      <c r="B282" s="83" t="s">
        <v>433</v>
      </c>
      <c r="C282" s="80">
        <f>VLOOKUP(GroupVertices[[#This Row],[Vertex]],Vertices[],MATCH("ID",Vertices[[#Headers],[Vertex]:[Top Word Pairs in Comment by Salience]],0),FALSE)</f>
        <v>99</v>
      </c>
    </row>
    <row r="283" spans="1:3" ht="15">
      <c r="A283" s="81" t="s">
        <v>2087</v>
      </c>
      <c r="B283" s="83" t="s">
        <v>432</v>
      </c>
      <c r="C283" s="80">
        <f>VLOOKUP(GroupVertices[[#This Row],[Vertex]],Vertices[],MATCH("ID",Vertices[[#Headers],[Vertex]:[Top Word Pairs in Comment by Salience]],0),FALSE)</f>
        <v>98</v>
      </c>
    </row>
    <row r="284" spans="1:3" ht="15">
      <c r="A284" s="81" t="s">
        <v>2087</v>
      </c>
      <c r="B284" s="83" t="s">
        <v>431</v>
      </c>
      <c r="C284" s="80">
        <f>VLOOKUP(GroupVertices[[#This Row],[Vertex]],Vertices[],MATCH("ID",Vertices[[#Headers],[Vertex]:[Top Word Pairs in Comment by Salience]],0),FALSE)</f>
        <v>97</v>
      </c>
    </row>
    <row r="285" spans="1:3" ht="15">
      <c r="A285" s="81" t="s">
        <v>2087</v>
      </c>
      <c r="B285" s="83" t="s">
        <v>430</v>
      </c>
      <c r="C285" s="80">
        <f>VLOOKUP(GroupVertices[[#This Row],[Vertex]],Vertices[],MATCH("ID",Vertices[[#Headers],[Vertex]:[Top Word Pairs in Comment by Salience]],0),FALSE)</f>
        <v>96</v>
      </c>
    </row>
    <row r="286" spans="1:3" ht="15">
      <c r="A286" s="81" t="s">
        <v>2087</v>
      </c>
      <c r="B286" s="83" t="s">
        <v>429</v>
      </c>
      <c r="C286" s="80">
        <f>VLOOKUP(GroupVertices[[#This Row],[Vertex]],Vertices[],MATCH("ID",Vertices[[#Headers],[Vertex]:[Top Word Pairs in Comment by Salience]],0),FALSE)</f>
        <v>95</v>
      </c>
    </row>
    <row r="287" spans="1:3" ht="15">
      <c r="A287" s="81" t="s">
        <v>2087</v>
      </c>
      <c r="B287" s="83" t="s">
        <v>428</v>
      </c>
      <c r="C287" s="80">
        <f>VLOOKUP(GroupVertices[[#This Row],[Vertex]],Vertices[],MATCH("ID",Vertices[[#Headers],[Vertex]:[Top Word Pairs in Comment by Salience]],0),FALSE)</f>
        <v>94</v>
      </c>
    </row>
    <row r="288" spans="1:3" ht="15">
      <c r="A288" s="81" t="s">
        <v>2087</v>
      </c>
      <c r="B288" s="83" t="s">
        <v>427</v>
      </c>
      <c r="C288" s="80">
        <f>VLOOKUP(GroupVertices[[#This Row],[Vertex]],Vertices[],MATCH("ID",Vertices[[#Headers],[Vertex]:[Top Word Pairs in Comment by Salience]],0),FALSE)</f>
        <v>93</v>
      </c>
    </row>
    <row r="289" spans="1:3" ht="15">
      <c r="A289" s="81" t="s">
        <v>2087</v>
      </c>
      <c r="B289" s="83" t="s">
        <v>426</v>
      </c>
      <c r="C289" s="80">
        <f>VLOOKUP(GroupVertices[[#This Row],[Vertex]],Vertices[],MATCH("ID",Vertices[[#Headers],[Vertex]:[Top Word Pairs in Comment by Salience]],0),FALSE)</f>
        <v>92</v>
      </c>
    </row>
    <row r="290" spans="1:3" ht="15">
      <c r="A290" s="81" t="s">
        <v>2087</v>
      </c>
      <c r="B290" s="83" t="s">
        <v>425</v>
      </c>
      <c r="C290" s="80">
        <f>VLOOKUP(GroupVertices[[#This Row],[Vertex]],Vertices[],MATCH("ID",Vertices[[#Headers],[Vertex]:[Top Word Pairs in Comment by Salience]],0),FALSE)</f>
        <v>91</v>
      </c>
    </row>
    <row r="291" spans="1:3" ht="15">
      <c r="A291" s="81" t="s">
        <v>2087</v>
      </c>
      <c r="B291" s="83" t="s">
        <v>424</v>
      </c>
      <c r="C291" s="80">
        <f>VLOOKUP(GroupVertices[[#This Row],[Vertex]],Vertices[],MATCH("ID",Vertices[[#Headers],[Vertex]:[Top Word Pairs in Comment by Salience]],0),FALSE)</f>
        <v>90</v>
      </c>
    </row>
    <row r="292" spans="1:3" ht="15">
      <c r="A292" s="81" t="s">
        <v>2087</v>
      </c>
      <c r="B292" s="83" t="s">
        <v>423</v>
      </c>
      <c r="C292" s="80">
        <f>VLOOKUP(GroupVertices[[#This Row],[Vertex]],Vertices[],MATCH("ID",Vertices[[#Headers],[Vertex]:[Top Word Pairs in Comment by Salience]],0),FALSE)</f>
        <v>89</v>
      </c>
    </row>
    <row r="293" spans="1:3" ht="15">
      <c r="A293" s="81" t="s">
        <v>2087</v>
      </c>
      <c r="B293" s="83" t="s">
        <v>422</v>
      </c>
      <c r="C293" s="80">
        <f>VLOOKUP(GroupVertices[[#This Row],[Vertex]],Vertices[],MATCH("ID",Vertices[[#Headers],[Vertex]:[Top Word Pairs in Comment by Salience]],0),FALSE)</f>
        <v>88</v>
      </c>
    </row>
    <row r="294" spans="1:3" ht="15">
      <c r="A294" s="81" t="s">
        <v>2087</v>
      </c>
      <c r="B294" s="83" t="s">
        <v>421</v>
      </c>
      <c r="C294" s="80">
        <f>VLOOKUP(GroupVertices[[#This Row],[Vertex]],Vertices[],MATCH("ID",Vertices[[#Headers],[Vertex]:[Top Word Pairs in Comment by Salience]],0),FALSE)</f>
        <v>87</v>
      </c>
    </row>
    <row r="295" spans="1:3" ht="15">
      <c r="A295" s="81" t="s">
        <v>2087</v>
      </c>
      <c r="B295" s="83" t="s">
        <v>420</v>
      </c>
      <c r="C295" s="80">
        <f>VLOOKUP(GroupVertices[[#This Row],[Vertex]],Vertices[],MATCH("ID",Vertices[[#Headers],[Vertex]:[Top Word Pairs in Comment by Salience]],0),FALSE)</f>
        <v>86</v>
      </c>
    </row>
    <row r="296" spans="1:3" ht="15">
      <c r="A296" s="81" t="s">
        <v>2087</v>
      </c>
      <c r="B296" s="83" t="s">
        <v>419</v>
      </c>
      <c r="C296" s="80">
        <f>VLOOKUP(GroupVertices[[#This Row],[Vertex]],Vertices[],MATCH("ID",Vertices[[#Headers],[Vertex]:[Top Word Pairs in Comment by Salience]],0),FALSE)</f>
        <v>85</v>
      </c>
    </row>
    <row r="297" spans="1:3" ht="15">
      <c r="A297" s="81" t="s">
        <v>2087</v>
      </c>
      <c r="B297" s="83" t="s">
        <v>418</v>
      </c>
      <c r="C297" s="80">
        <f>VLOOKUP(GroupVertices[[#This Row],[Vertex]],Vertices[],MATCH("ID",Vertices[[#Headers],[Vertex]:[Top Word Pairs in Comment by Salience]],0),FALSE)</f>
        <v>84</v>
      </c>
    </row>
    <row r="298" spans="1:3" ht="15">
      <c r="A298" s="81" t="s">
        <v>2087</v>
      </c>
      <c r="B298" s="83" t="s">
        <v>417</v>
      </c>
      <c r="C298" s="80">
        <f>VLOOKUP(GroupVertices[[#This Row],[Vertex]],Vertices[],MATCH("ID",Vertices[[#Headers],[Vertex]:[Top Word Pairs in Comment by Salience]],0),FALSE)</f>
        <v>83</v>
      </c>
    </row>
    <row r="299" spans="1:3" ht="15">
      <c r="A299" s="81" t="s">
        <v>2087</v>
      </c>
      <c r="B299" s="83" t="s">
        <v>416</v>
      </c>
      <c r="C299" s="80">
        <f>VLOOKUP(GroupVertices[[#This Row],[Vertex]],Vertices[],MATCH("ID",Vertices[[#Headers],[Vertex]:[Top Word Pairs in Comment by Salience]],0),FALSE)</f>
        <v>82</v>
      </c>
    </row>
    <row r="300" spans="1:3" ht="15">
      <c r="A300" s="81" t="s">
        <v>2087</v>
      </c>
      <c r="B300" s="83" t="s">
        <v>415</v>
      </c>
      <c r="C300" s="80">
        <f>VLOOKUP(GroupVertices[[#This Row],[Vertex]],Vertices[],MATCH("ID",Vertices[[#Headers],[Vertex]:[Top Word Pairs in Comment by Salience]],0),FALSE)</f>
        <v>81</v>
      </c>
    </row>
    <row r="301" spans="1:3" ht="15">
      <c r="A301" s="81" t="s">
        <v>2087</v>
      </c>
      <c r="B301" s="83" t="s">
        <v>414</v>
      </c>
      <c r="C301" s="80">
        <f>VLOOKUP(GroupVertices[[#This Row],[Vertex]],Vertices[],MATCH("ID",Vertices[[#Headers],[Vertex]:[Top Word Pairs in Comment by Salience]],0),FALSE)</f>
        <v>80</v>
      </c>
    </row>
    <row r="302" spans="1:3" ht="15">
      <c r="A302" s="81" t="s">
        <v>2087</v>
      </c>
      <c r="B302" s="83" t="s">
        <v>413</v>
      </c>
      <c r="C302" s="80">
        <f>VLOOKUP(GroupVertices[[#This Row],[Vertex]],Vertices[],MATCH("ID",Vertices[[#Headers],[Vertex]:[Top Word Pairs in Comment by Salience]],0),FALSE)</f>
        <v>79</v>
      </c>
    </row>
    <row r="303" spans="1:3" ht="15">
      <c r="A303" s="81" t="s">
        <v>2087</v>
      </c>
      <c r="B303" s="83" t="s">
        <v>412</v>
      </c>
      <c r="C303" s="80">
        <f>VLOOKUP(GroupVertices[[#This Row],[Vertex]],Vertices[],MATCH("ID",Vertices[[#Headers],[Vertex]:[Top Word Pairs in Comment by Salience]],0),FALSE)</f>
        <v>78</v>
      </c>
    </row>
    <row r="304" spans="1:3" ht="15">
      <c r="A304" s="81" t="s">
        <v>2087</v>
      </c>
      <c r="B304" s="83" t="s">
        <v>411</v>
      </c>
      <c r="C304" s="80">
        <f>VLOOKUP(GroupVertices[[#This Row],[Vertex]],Vertices[],MATCH("ID",Vertices[[#Headers],[Vertex]:[Top Word Pairs in Comment by Salience]],0),FALSE)</f>
        <v>77</v>
      </c>
    </row>
    <row r="305" spans="1:3" ht="15">
      <c r="A305" s="81" t="s">
        <v>2087</v>
      </c>
      <c r="B305" s="83" t="s">
        <v>410</v>
      </c>
      <c r="C305" s="80">
        <f>VLOOKUP(GroupVertices[[#This Row],[Vertex]],Vertices[],MATCH("ID",Vertices[[#Headers],[Vertex]:[Top Word Pairs in Comment by Salience]],0),FALSE)</f>
        <v>76</v>
      </c>
    </row>
    <row r="306" spans="1:3" ht="15">
      <c r="A306" s="81" t="s">
        <v>2087</v>
      </c>
      <c r="B306" s="83" t="s">
        <v>409</v>
      </c>
      <c r="C306" s="80">
        <f>VLOOKUP(GroupVertices[[#This Row],[Vertex]],Vertices[],MATCH("ID",Vertices[[#Headers],[Vertex]:[Top Word Pairs in Comment by Salience]],0),FALSE)</f>
        <v>75</v>
      </c>
    </row>
    <row r="307" spans="1:3" ht="15">
      <c r="A307" s="81" t="s">
        <v>2087</v>
      </c>
      <c r="B307" s="83" t="s">
        <v>408</v>
      </c>
      <c r="C307" s="80">
        <f>VLOOKUP(GroupVertices[[#This Row],[Vertex]],Vertices[],MATCH("ID",Vertices[[#Headers],[Vertex]:[Top Word Pairs in Comment by Salience]],0),FALSE)</f>
        <v>74</v>
      </c>
    </row>
    <row r="308" spans="1:3" ht="15">
      <c r="A308" s="81" t="s">
        <v>2087</v>
      </c>
      <c r="B308" s="83" t="s">
        <v>407</v>
      </c>
      <c r="C308" s="80">
        <f>VLOOKUP(GroupVertices[[#This Row],[Vertex]],Vertices[],MATCH("ID",Vertices[[#Headers],[Vertex]:[Top Word Pairs in Comment by Salience]],0),FALSE)</f>
        <v>73</v>
      </c>
    </row>
    <row r="309" spans="1:3" ht="15">
      <c r="A309" s="81" t="s">
        <v>2087</v>
      </c>
      <c r="B309" s="83" t="s">
        <v>406</v>
      </c>
      <c r="C309" s="80">
        <f>VLOOKUP(GroupVertices[[#This Row],[Vertex]],Vertices[],MATCH("ID",Vertices[[#Headers],[Vertex]:[Top Word Pairs in Comment by Salience]],0),FALSE)</f>
        <v>72</v>
      </c>
    </row>
    <row r="310" spans="1:3" ht="15">
      <c r="A310" s="81" t="s">
        <v>2087</v>
      </c>
      <c r="B310" s="83" t="s">
        <v>405</v>
      </c>
      <c r="C310" s="80">
        <f>VLOOKUP(GroupVertices[[#This Row],[Vertex]],Vertices[],MATCH("ID",Vertices[[#Headers],[Vertex]:[Top Word Pairs in Comment by Salience]],0),FALSE)</f>
        <v>71</v>
      </c>
    </row>
    <row r="311" spans="1:3" ht="15">
      <c r="A311" s="81" t="s">
        <v>2087</v>
      </c>
      <c r="B311" s="83" t="s">
        <v>404</v>
      </c>
      <c r="C311" s="80">
        <f>VLOOKUP(GroupVertices[[#This Row],[Vertex]],Vertices[],MATCH("ID",Vertices[[#Headers],[Vertex]:[Top Word Pairs in Comment by Salience]],0),FALSE)</f>
        <v>70</v>
      </c>
    </row>
    <row r="312" spans="1:3" ht="15">
      <c r="A312" s="81" t="s">
        <v>2087</v>
      </c>
      <c r="B312" s="83" t="s">
        <v>403</v>
      </c>
      <c r="C312" s="80">
        <f>VLOOKUP(GroupVertices[[#This Row],[Vertex]],Vertices[],MATCH("ID",Vertices[[#Headers],[Vertex]:[Top Word Pairs in Comment by Salience]],0),FALSE)</f>
        <v>69</v>
      </c>
    </row>
    <row r="313" spans="1:3" ht="15">
      <c r="A313" s="81" t="s">
        <v>2087</v>
      </c>
      <c r="B313" s="83" t="s">
        <v>402</v>
      </c>
      <c r="C313" s="80">
        <f>VLOOKUP(GroupVertices[[#This Row],[Vertex]],Vertices[],MATCH("ID",Vertices[[#Headers],[Vertex]:[Top Word Pairs in Comment by Salience]],0),FALSE)</f>
        <v>68</v>
      </c>
    </row>
    <row r="314" spans="1:3" ht="15">
      <c r="A314" s="81" t="s">
        <v>2087</v>
      </c>
      <c r="B314" s="83" t="s">
        <v>401</v>
      </c>
      <c r="C314" s="80">
        <f>VLOOKUP(GroupVertices[[#This Row],[Vertex]],Vertices[],MATCH("ID",Vertices[[#Headers],[Vertex]:[Top Word Pairs in Comment by Salience]],0),FALSE)</f>
        <v>67</v>
      </c>
    </row>
    <row r="315" spans="1:3" ht="15">
      <c r="A315" s="81" t="s">
        <v>2087</v>
      </c>
      <c r="B315" s="83" t="s">
        <v>400</v>
      </c>
      <c r="C315" s="80">
        <f>VLOOKUP(GroupVertices[[#This Row],[Vertex]],Vertices[],MATCH("ID",Vertices[[#Headers],[Vertex]:[Top Word Pairs in Comment by Salience]],0),FALSE)</f>
        <v>66</v>
      </c>
    </row>
    <row r="316" spans="1:3" ht="15">
      <c r="A316" s="81" t="s">
        <v>2087</v>
      </c>
      <c r="B316" s="83" t="s">
        <v>399</v>
      </c>
      <c r="C316" s="80">
        <f>VLOOKUP(GroupVertices[[#This Row],[Vertex]],Vertices[],MATCH("ID",Vertices[[#Headers],[Vertex]:[Top Word Pairs in Comment by Salience]],0),FALSE)</f>
        <v>65</v>
      </c>
    </row>
    <row r="317" spans="1:3" ht="15">
      <c r="A317" s="81" t="s">
        <v>2087</v>
      </c>
      <c r="B317" s="83" t="s">
        <v>398</v>
      </c>
      <c r="C317" s="80">
        <f>VLOOKUP(GroupVertices[[#This Row],[Vertex]],Vertices[],MATCH("ID",Vertices[[#Headers],[Vertex]:[Top Word Pairs in Comment by Salience]],0),FALSE)</f>
        <v>64</v>
      </c>
    </row>
    <row r="318" spans="1:3" ht="15">
      <c r="A318" s="81" t="s">
        <v>2087</v>
      </c>
      <c r="B318" s="83" t="s">
        <v>397</v>
      </c>
      <c r="C318" s="80">
        <f>VLOOKUP(GroupVertices[[#This Row],[Vertex]],Vertices[],MATCH("ID",Vertices[[#Headers],[Vertex]:[Top Word Pairs in Comment by Salience]],0),FALSE)</f>
        <v>63</v>
      </c>
    </row>
    <row r="319" spans="1:3" ht="15">
      <c r="A319" s="81" t="s">
        <v>2087</v>
      </c>
      <c r="B319" s="83" t="s">
        <v>396</v>
      </c>
      <c r="C319" s="80">
        <f>VLOOKUP(GroupVertices[[#This Row],[Vertex]],Vertices[],MATCH("ID",Vertices[[#Headers],[Vertex]:[Top Word Pairs in Comment by Salience]],0),FALSE)</f>
        <v>62</v>
      </c>
    </row>
    <row r="320" spans="1:3" ht="15">
      <c r="A320" s="81" t="s">
        <v>2087</v>
      </c>
      <c r="B320" s="83" t="s">
        <v>395</v>
      </c>
      <c r="C320" s="80">
        <f>VLOOKUP(GroupVertices[[#This Row],[Vertex]],Vertices[],MATCH("ID",Vertices[[#Headers],[Vertex]:[Top Word Pairs in Comment by Salience]],0),FALSE)</f>
        <v>61</v>
      </c>
    </row>
    <row r="321" spans="1:3" ht="15">
      <c r="A321" s="81" t="s">
        <v>2087</v>
      </c>
      <c r="B321" s="83" t="s">
        <v>394</v>
      </c>
      <c r="C321" s="80">
        <f>VLOOKUP(GroupVertices[[#This Row],[Vertex]],Vertices[],MATCH("ID",Vertices[[#Headers],[Vertex]:[Top Word Pairs in Comment by Salience]],0),FALSE)</f>
        <v>60</v>
      </c>
    </row>
    <row r="322" spans="1:3" ht="15">
      <c r="A322" s="81" t="s">
        <v>2087</v>
      </c>
      <c r="B322" s="83" t="s">
        <v>393</v>
      </c>
      <c r="C322" s="80">
        <f>VLOOKUP(GroupVertices[[#This Row],[Vertex]],Vertices[],MATCH("ID",Vertices[[#Headers],[Vertex]:[Top Word Pairs in Comment by Salience]],0),FALSE)</f>
        <v>59</v>
      </c>
    </row>
    <row r="323" spans="1:3" ht="15">
      <c r="A323" s="81" t="s">
        <v>2087</v>
      </c>
      <c r="B323" s="83" t="s">
        <v>392</v>
      </c>
      <c r="C323" s="80">
        <f>VLOOKUP(GroupVertices[[#This Row],[Vertex]],Vertices[],MATCH("ID",Vertices[[#Headers],[Vertex]:[Top Word Pairs in Comment by Salience]],0),FALSE)</f>
        <v>58</v>
      </c>
    </row>
    <row r="324" spans="1:3" ht="15">
      <c r="A324" s="81" t="s">
        <v>2087</v>
      </c>
      <c r="B324" s="83" t="s">
        <v>391</v>
      </c>
      <c r="C324" s="80">
        <f>VLOOKUP(GroupVertices[[#This Row],[Vertex]],Vertices[],MATCH("ID",Vertices[[#Headers],[Vertex]:[Top Word Pairs in Comment by Salience]],0),FALSE)</f>
        <v>57</v>
      </c>
    </row>
    <row r="325" spans="1:3" ht="15">
      <c r="A325" s="81" t="s">
        <v>2087</v>
      </c>
      <c r="B325" s="83" t="s">
        <v>390</v>
      </c>
      <c r="C325" s="80">
        <f>VLOOKUP(GroupVertices[[#This Row],[Vertex]],Vertices[],MATCH("ID",Vertices[[#Headers],[Vertex]:[Top Word Pairs in Comment by Salience]],0),FALSE)</f>
        <v>56</v>
      </c>
    </row>
    <row r="326" spans="1:3" ht="15">
      <c r="A326" s="81" t="s">
        <v>2087</v>
      </c>
      <c r="B326" s="83" t="s">
        <v>389</v>
      </c>
      <c r="C326" s="80">
        <f>VLOOKUP(GroupVertices[[#This Row],[Vertex]],Vertices[],MATCH("ID",Vertices[[#Headers],[Vertex]:[Top Word Pairs in Comment by Salience]],0),FALSE)</f>
        <v>55</v>
      </c>
    </row>
    <row r="327" spans="1:3" ht="15">
      <c r="A327" s="81" t="s">
        <v>2087</v>
      </c>
      <c r="B327" s="83" t="s">
        <v>388</v>
      </c>
      <c r="C327" s="80">
        <f>VLOOKUP(GroupVertices[[#This Row],[Vertex]],Vertices[],MATCH("ID",Vertices[[#Headers],[Vertex]:[Top Word Pairs in Comment by Salience]],0),FALSE)</f>
        <v>54</v>
      </c>
    </row>
    <row r="328" spans="1:3" ht="15">
      <c r="A328" s="81" t="s">
        <v>2087</v>
      </c>
      <c r="B328" s="83" t="s">
        <v>387</v>
      </c>
      <c r="C328" s="80">
        <f>VLOOKUP(GroupVertices[[#This Row],[Vertex]],Vertices[],MATCH("ID",Vertices[[#Headers],[Vertex]:[Top Word Pairs in Comment by Salience]],0),FALSE)</f>
        <v>53</v>
      </c>
    </row>
    <row r="329" spans="1:3" ht="15">
      <c r="A329" s="81" t="s">
        <v>2087</v>
      </c>
      <c r="B329" s="83" t="s">
        <v>386</v>
      </c>
      <c r="C329" s="80">
        <f>VLOOKUP(GroupVertices[[#This Row],[Vertex]],Vertices[],MATCH("ID",Vertices[[#Headers],[Vertex]:[Top Word Pairs in Comment by Salience]],0),FALSE)</f>
        <v>52</v>
      </c>
    </row>
    <row r="330" spans="1:3" ht="15">
      <c r="A330" s="81" t="s">
        <v>2087</v>
      </c>
      <c r="B330" s="83" t="s">
        <v>385</v>
      </c>
      <c r="C330" s="80">
        <f>VLOOKUP(GroupVertices[[#This Row],[Vertex]],Vertices[],MATCH("ID",Vertices[[#Headers],[Vertex]:[Top Word Pairs in Comment by Salience]],0),FALSE)</f>
        <v>51</v>
      </c>
    </row>
    <row r="331" spans="1:3" ht="15">
      <c r="A331" s="81" t="s">
        <v>2087</v>
      </c>
      <c r="B331" s="83" t="s">
        <v>384</v>
      </c>
      <c r="C331" s="80">
        <f>VLOOKUP(GroupVertices[[#This Row],[Vertex]],Vertices[],MATCH("ID",Vertices[[#Headers],[Vertex]:[Top Word Pairs in Comment by Salience]],0),FALSE)</f>
        <v>50</v>
      </c>
    </row>
    <row r="332" spans="1:3" ht="15">
      <c r="A332" s="81" t="s">
        <v>2087</v>
      </c>
      <c r="B332" s="83" t="s">
        <v>383</v>
      </c>
      <c r="C332" s="80">
        <f>VLOOKUP(GroupVertices[[#This Row],[Vertex]],Vertices[],MATCH("ID",Vertices[[#Headers],[Vertex]:[Top Word Pairs in Comment by Salience]],0),FALSE)</f>
        <v>49</v>
      </c>
    </row>
    <row r="333" spans="1:3" ht="15">
      <c r="A333" s="81" t="s">
        <v>2087</v>
      </c>
      <c r="B333" s="83" t="s">
        <v>382</v>
      </c>
      <c r="C333" s="80">
        <f>VLOOKUP(GroupVertices[[#This Row],[Vertex]],Vertices[],MATCH("ID",Vertices[[#Headers],[Vertex]:[Top Word Pairs in Comment by Salience]],0),FALSE)</f>
        <v>48</v>
      </c>
    </row>
    <row r="334" spans="1:3" ht="15">
      <c r="A334" s="81" t="s">
        <v>2087</v>
      </c>
      <c r="B334" s="83" t="s">
        <v>381</v>
      </c>
      <c r="C334" s="80">
        <f>VLOOKUP(GroupVertices[[#This Row],[Vertex]],Vertices[],MATCH("ID",Vertices[[#Headers],[Vertex]:[Top Word Pairs in Comment by Salience]],0),FALSE)</f>
        <v>47</v>
      </c>
    </row>
    <row r="335" spans="1:3" ht="15">
      <c r="A335" s="81" t="s">
        <v>2087</v>
      </c>
      <c r="B335" s="83" t="s">
        <v>380</v>
      </c>
      <c r="C335" s="80">
        <f>VLOOKUP(GroupVertices[[#This Row],[Vertex]],Vertices[],MATCH("ID",Vertices[[#Headers],[Vertex]:[Top Word Pairs in Comment by Salience]],0),FALSE)</f>
        <v>46</v>
      </c>
    </row>
    <row r="336" spans="1:3" ht="15">
      <c r="A336" s="81" t="s">
        <v>2087</v>
      </c>
      <c r="B336" s="83" t="s">
        <v>379</v>
      </c>
      <c r="C336" s="80">
        <f>VLOOKUP(GroupVertices[[#This Row],[Vertex]],Vertices[],MATCH("ID",Vertices[[#Headers],[Vertex]:[Top Word Pairs in Comment by Salience]],0),FALSE)</f>
        <v>45</v>
      </c>
    </row>
    <row r="337" spans="1:3" ht="15">
      <c r="A337" s="81" t="s">
        <v>2087</v>
      </c>
      <c r="B337" s="83" t="s">
        <v>378</v>
      </c>
      <c r="C337" s="80">
        <f>VLOOKUP(GroupVertices[[#This Row],[Vertex]],Vertices[],MATCH("ID",Vertices[[#Headers],[Vertex]:[Top Word Pairs in Comment by Salience]],0),FALSE)</f>
        <v>44</v>
      </c>
    </row>
    <row r="338" spans="1:3" ht="15">
      <c r="A338" s="81" t="s">
        <v>2087</v>
      </c>
      <c r="B338" s="83" t="s">
        <v>377</v>
      </c>
      <c r="C338" s="80">
        <f>VLOOKUP(GroupVertices[[#This Row],[Vertex]],Vertices[],MATCH("ID",Vertices[[#Headers],[Vertex]:[Top Word Pairs in Comment by Salience]],0),FALSE)</f>
        <v>43</v>
      </c>
    </row>
    <row r="339" spans="1:3" ht="15">
      <c r="A339" s="81" t="s">
        <v>2087</v>
      </c>
      <c r="B339" s="83" t="s">
        <v>376</v>
      </c>
      <c r="C339" s="80">
        <f>VLOOKUP(GroupVertices[[#This Row],[Vertex]],Vertices[],MATCH("ID",Vertices[[#Headers],[Vertex]:[Top Word Pairs in Comment by Salience]],0),FALSE)</f>
        <v>42</v>
      </c>
    </row>
    <row r="340" spans="1:3" ht="15">
      <c r="A340" s="81" t="s">
        <v>2087</v>
      </c>
      <c r="B340" s="83" t="s">
        <v>375</v>
      </c>
      <c r="C340" s="80">
        <f>VLOOKUP(GroupVertices[[#This Row],[Vertex]],Vertices[],MATCH("ID",Vertices[[#Headers],[Vertex]:[Top Word Pairs in Comment by Salience]],0),FALSE)</f>
        <v>41</v>
      </c>
    </row>
    <row r="341" spans="1:3" ht="15">
      <c r="A341" s="81" t="s">
        <v>2087</v>
      </c>
      <c r="B341" s="83" t="s">
        <v>374</v>
      </c>
      <c r="C341" s="80">
        <f>VLOOKUP(GroupVertices[[#This Row],[Vertex]],Vertices[],MATCH("ID",Vertices[[#Headers],[Vertex]:[Top Word Pairs in Comment by Salience]],0),FALSE)</f>
        <v>40</v>
      </c>
    </row>
    <row r="342" spans="1:3" ht="15">
      <c r="A342" s="81" t="s">
        <v>2087</v>
      </c>
      <c r="B342" s="83" t="s">
        <v>373</v>
      </c>
      <c r="C342" s="80">
        <f>VLOOKUP(GroupVertices[[#This Row],[Vertex]],Vertices[],MATCH("ID",Vertices[[#Headers],[Vertex]:[Top Word Pairs in Comment by Salience]],0),FALSE)</f>
        <v>39</v>
      </c>
    </row>
    <row r="343" spans="1:3" ht="15">
      <c r="A343" s="81" t="s">
        <v>2087</v>
      </c>
      <c r="B343" s="83" t="s">
        <v>372</v>
      </c>
      <c r="C343" s="80">
        <f>VLOOKUP(GroupVertices[[#This Row],[Vertex]],Vertices[],MATCH("ID",Vertices[[#Headers],[Vertex]:[Top Word Pairs in Comment by Salience]],0),FALSE)</f>
        <v>38</v>
      </c>
    </row>
    <row r="344" spans="1:3" ht="15">
      <c r="A344" s="81" t="s">
        <v>2087</v>
      </c>
      <c r="B344" s="83" t="s">
        <v>371</v>
      </c>
      <c r="C344" s="80">
        <f>VLOOKUP(GroupVertices[[#This Row],[Vertex]],Vertices[],MATCH("ID",Vertices[[#Headers],[Vertex]:[Top Word Pairs in Comment by Salience]],0),FALSE)</f>
        <v>37</v>
      </c>
    </row>
    <row r="345" spans="1:3" ht="15">
      <c r="A345" s="81" t="s">
        <v>2087</v>
      </c>
      <c r="B345" s="83" t="s">
        <v>370</v>
      </c>
      <c r="C345" s="80">
        <f>VLOOKUP(GroupVertices[[#This Row],[Vertex]],Vertices[],MATCH("ID",Vertices[[#Headers],[Vertex]:[Top Word Pairs in Comment by Salience]],0),FALSE)</f>
        <v>36</v>
      </c>
    </row>
    <row r="346" spans="1:3" ht="15">
      <c r="A346" s="81" t="s">
        <v>2087</v>
      </c>
      <c r="B346" s="83" t="s">
        <v>369</v>
      </c>
      <c r="C346" s="80">
        <f>VLOOKUP(GroupVertices[[#This Row],[Vertex]],Vertices[],MATCH("ID",Vertices[[#Headers],[Vertex]:[Top Word Pairs in Comment by Salience]],0),FALSE)</f>
        <v>35</v>
      </c>
    </row>
    <row r="347" spans="1:3" ht="15">
      <c r="A347" s="81" t="s">
        <v>2087</v>
      </c>
      <c r="B347" s="83" t="s">
        <v>368</v>
      </c>
      <c r="C347" s="80">
        <f>VLOOKUP(GroupVertices[[#This Row],[Vertex]],Vertices[],MATCH("ID",Vertices[[#Headers],[Vertex]:[Top Word Pairs in Comment by Salience]],0),FALSE)</f>
        <v>34</v>
      </c>
    </row>
    <row r="348" spans="1:3" ht="15">
      <c r="A348" s="81" t="s">
        <v>2087</v>
      </c>
      <c r="B348" s="83" t="s">
        <v>367</v>
      </c>
      <c r="C348" s="80">
        <f>VLOOKUP(GroupVertices[[#This Row],[Vertex]],Vertices[],MATCH("ID",Vertices[[#Headers],[Vertex]:[Top Word Pairs in Comment by Salience]],0),FALSE)</f>
        <v>33</v>
      </c>
    </row>
    <row r="349" spans="1:3" ht="15">
      <c r="A349" s="81" t="s">
        <v>2087</v>
      </c>
      <c r="B349" s="83" t="s">
        <v>366</v>
      </c>
      <c r="C349" s="80">
        <f>VLOOKUP(GroupVertices[[#This Row],[Vertex]],Vertices[],MATCH("ID",Vertices[[#Headers],[Vertex]:[Top Word Pairs in Comment by Salience]],0),FALSE)</f>
        <v>32</v>
      </c>
    </row>
    <row r="350" spans="1:3" ht="15">
      <c r="A350" s="81" t="s">
        <v>2087</v>
      </c>
      <c r="B350" s="83" t="s">
        <v>363</v>
      </c>
      <c r="C350" s="80">
        <f>VLOOKUP(GroupVertices[[#This Row],[Vertex]],Vertices[],MATCH("ID",Vertices[[#Headers],[Vertex]:[Top Word Pairs in Comment by Salience]],0),FALSE)</f>
        <v>29</v>
      </c>
    </row>
    <row r="351" spans="1:3" ht="15">
      <c r="A351" s="81" t="s">
        <v>2087</v>
      </c>
      <c r="B351" s="83" t="s">
        <v>362</v>
      </c>
      <c r="C351" s="80">
        <f>VLOOKUP(GroupVertices[[#This Row],[Vertex]],Vertices[],MATCH("ID",Vertices[[#Headers],[Vertex]:[Top Word Pairs in Comment by Salience]],0),FALSE)</f>
        <v>28</v>
      </c>
    </row>
    <row r="352" spans="1:3" ht="15">
      <c r="A352" s="81" t="s">
        <v>2087</v>
      </c>
      <c r="B352" s="83" t="s">
        <v>361</v>
      </c>
      <c r="C352" s="80">
        <f>VLOOKUP(GroupVertices[[#This Row],[Vertex]],Vertices[],MATCH("ID",Vertices[[#Headers],[Vertex]:[Top Word Pairs in Comment by Salience]],0),FALSE)</f>
        <v>27</v>
      </c>
    </row>
    <row r="353" spans="1:3" ht="15">
      <c r="A353" s="81" t="s">
        <v>2087</v>
      </c>
      <c r="B353" s="83" t="s">
        <v>360</v>
      </c>
      <c r="C353" s="80">
        <f>VLOOKUP(GroupVertices[[#This Row],[Vertex]],Vertices[],MATCH("ID",Vertices[[#Headers],[Vertex]:[Top Word Pairs in Comment by Salience]],0),FALSE)</f>
        <v>26</v>
      </c>
    </row>
    <row r="354" spans="1:3" ht="15">
      <c r="A354" s="81" t="s">
        <v>2087</v>
      </c>
      <c r="B354" s="83" t="s">
        <v>359</v>
      </c>
      <c r="C354" s="80">
        <f>VLOOKUP(GroupVertices[[#This Row],[Vertex]],Vertices[],MATCH("ID",Vertices[[#Headers],[Vertex]:[Top Word Pairs in Comment by Salience]],0),FALSE)</f>
        <v>25</v>
      </c>
    </row>
    <row r="355" spans="1:3" ht="15">
      <c r="A355" s="81" t="s">
        <v>2087</v>
      </c>
      <c r="B355" s="83" t="s">
        <v>358</v>
      </c>
      <c r="C355" s="80">
        <f>VLOOKUP(GroupVertices[[#This Row],[Vertex]],Vertices[],MATCH("ID",Vertices[[#Headers],[Vertex]:[Top Word Pairs in Comment by Salience]],0),FALSE)</f>
        <v>24</v>
      </c>
    </row>
    <row r="356" spans="1:3" ht="15">
      <c r="A356" s="81" t="s">
        <v>2087</v>
      </c>
      <c r="B356" s="83" t="s">
        <v>357</v>
      </c>
      <c r="C356" s="80">
        <f>VLOOKUP(GroupVertices[[#This Row],[Vertex]],Vertices[],MATCH("ID",Vertices[[#Headers],[Vertex]:[Top Word Pairs in Comment by Salience]],0),FALSE)</f>
        <v>23</v>
      </c>
    </row>
    <row r="357" spans="1:3" ht="15">
      <c r="A357" s="81" t="s">
        <v>2087</v>
      </c>
      <c r="B357" s="83" t="s">
        <v>356</v>
      </c>
      <c r="C357" s="80">
        <f>VLOOKUP(GroupVertices[[#This Row],[Vertex]],Vertices[],MATCH("ID",Vertices[[#Headers],[Vertex]:[Top Word Pairs in Comment by Salience]],0),FALSE)</f>
        <v>22</v>
      </c>
    </row>
    <row r="358" spans="1:3" ht="15">
      <c r="A358" s="81" t="s">
        <v>2087</v>
      </c>
      <c r="B358" s="83" t="s">
        <v>355</v>
      </c>
      <c r="C358" s="80">
        <f>VLOOKUP(GroupVertices[[#This Row],[Vertex]],Vertices[],MATCH("ID",Vertices[[#Headers],[Vertex]:[Top Word Pairs in Comment by Salience]],0),FALSE)</f>
        <v>21</v>
      </c>
    </row>
    <row r="359" spans="1:3" ht="15">
      <c r="A359" s="81" t="s">
        <v>2087</v>
      </c>
      <c r="B359" s="83" t="s">
        <v>354</v>
      </c>
      <c r="C359" s="80">
        <f>VLOOKUP(GroupVertices[[#This Row],[Vertex]],Vertices[],MATCH("ID",Vertices[[#Headers],[Vertex]:[Top Word Pairs in Comment by Salience]],0),FALSE)</f>
        <v>20</v>
      </c>
    </row>
    <row r="360" spans="1:3" ht="15">
      <c r="A360" s="81" t="s">
        <v>2087</v>
      </c>
      <c r="B360" s="83" t="s">
        <v>353</v>
      </c>
      <c r="C360" s="80">
        <f>VLOOKUP(GroupVertices[[#This Row],[Vertex]],Vertices[],MATCH("ID",Vertices[[#Headers],[Vertex]:[Top Word Pairs in Comment by Salience]],0),FALSE)</f>
        <v>19</v>
      </c>
    </row>
    <row r="361" spans="1:3" ht="15">
      <c r="A361" s="81" t="s">
        <v>2087</v>
      </c>
      <c r="B361" s="83" t="s">
        <v>352</v>
      </c>
      <c r="C361" s="80">
        <f>VLOOKUP(GroupVertices[[#This Row],[Vertex]],Vertices[],MATCH("ID",Vertices[[#Headers],[Vertex]:[Top Word Pairs in Comment by Salience]],0),FALSE)</f>
        <v>18</v>
      </c>
    </row>
    <row r="362" spans="1:3" ht="15">
      <c r="A362" s="81" t="s">
        <v>2087</v>
      </c>
      <c r="B362" s="83" t="s">
        <v>351</v>
      </c>
      <c r="C362" s="80">
        <f>VLOOKUP(GroupVertices[[#This Row],[Vertex]],Vertices[],MATCH("ID",Vertices[[#Headers],[Vertex]:[Top Word Pairs in Comment by Salience]],0),FALSE)</f>
        <v>17</v>
      </c>
    </row>
    <row r="363" spans="1:3" ht="15">
      <c r="A363" s="81" t="s">
        <v>2087</v>
      </c>
      <c r="B363" s="83" t="s">
        <v>350</v>
      </c>
      <c r="C363" s="80">
        <f>VLOOKUP(GroupVertices[[#This Row],[Vertex]],Vertices[],MATCH("ID",Vertices[[#Headers],[Vertex]:[Top Word Pairs in Comment by Salience]],0),FALSE)</f>
        <v>16</v>
      </c>
    </row>
    <row r="364" spans="1:3" ht="15">
      <c r="A364" s="81" t="s">
        <v>2087</v>
      </c>
      <c r="B364" s="83" t="s">
        <v>349</v>
      </c>
      <c r="C364" s="80">
        <f>VLOOKUP(GroupVertices[[#This Row],[Vertex]],Vertices[],MATCH("ID",Vertices[[#Headers],[Vertex]:[Top Word Pairs in Comment by Salience]],0),FALSE)</f>
        <v>15</v>
      </c>
    </row>
    <row r="365" spans="1:3" ht="15">
      <c r="A365" s="81" t="s">
        <v>2087</v>
      </c>
      <c r="B365" s="83" t="s">
        <v>348</v>
      </c>
      <c r="C365" s="80">
        <f>VLOOKUP(GroupVertices[[#This Row],[Vertex]],Vertices[],MATCH("ID",Vertices[[#Headers],[Vertex]:[Top Word Pairs in Comment by Salience]],0),FALSE)</f>
        <v>14</v>
      </c>
    </row>
    <row r="366" spans="1:3" ht="15">
      <c r="A366" s="81" t="s">
        <v>2087</v>
      </c>
      <c r="B366" s="83" t="s">
        <v>347</v>
      </c>
      <c r="C366" s="80">
        <f>VLOOKUP(GroupVertices[[#This Row],[Vertex]],Vertices[],MATCH("ID",Vertices[[#Headers],[Vertex]:[Top Word Pairs in Comment by Salience]],0),FALSE)</f>
        <v>13</v>
      </c>
    </row>
    <row r="367" spans="1:3" ht="15">
      <c r="A367" s="81" t="s">
        <v>2087</v>
      </c>
      <c r="B367" s="83" t="s">
        <v>346</v>
      </c>
      <c r="C367" s="80">
        <f>VLOOKUP(GroupVertices[[#This Row],[Vertex]],Vertices[],MATCH("ID",Vertices[[#Headers],[Vertex]:[Top Word Pairs in Comment by Salience]],0),FALSE)</f>
        <v>12</v>
      </c>
    </row>
    <row r="368" spans="1:3" ht="15">
      <c r="A368" s="81" t="s">
        <v>2087</v>
      </c>
      <c r="B368" s="83" t="s">
        <v>345</v>
      </c>
      <c r="C368" s="80">
        <f>VLOOKUP(GroupVertices[[#This Row],[Vertex]],Vertices[],MATCH("ID",Vertices[[#Headers],[Vertex]:[Top Word Pairs in Comment by Salience]],0),FALSE)</f>
        <v>11</v>
      </c>
    </row>
    <row r="369" spans="1:3" ht="15">
      <c r="A369" s="81" t="s">
        <v>2087</v>
      </c>
      <c r="B369" s="83" t="s">
        <v>344</v>
      </c>
      <c r="C369" s="80">
        <f>VLOOKUP(GroupVertices[[#This Row],[Vertex]],Vertices[],MATCH("ID",Vertices[[#Headers],[Vertex]:[Top Word Pairs in Comment by Salience]],0),FALSE)</f>
        <v>10</v>
      </c>
    </row>
    <row r="370" spans="1:3" ht="15">
      <c r="A370" s="81" t="s">
        <v>2087</v>
      </c>
      <c r="B370" s="83" t="s">
        <v>343</v>
      </c>
      <c r="C370" s="80">
        <f>VLOOKUP(GroupVertices[[#This Row],[Vertex]],Vertices[],MATCH("ID",Vertices[[#Headers],[Vertex]:[Top Word Pairs in Comment by Salience]],0),FALSE)</f>
        <v>9</v>
      </c>
    </row>
    <row r="371" spans="1:3" ht="15">
      <c r="A371" s="81" t="s">
        <v>2087</v>
      </c>
      <c r="B371" s="83" t="s">
        <v>342</v>
      </c>
      <c r="C371" s="80">
        <f>VLOOKUP(GroupVertices[[#This Row],[Vertex]],Vertices[],MATCH("ID",Vertices[[#Headers],[Vertex]:[Top Word Pairs in Comment by Salience]],0),FALSE)</f>
        <v>8</v>
      </c>
    </row>
    <row r="372" spans="1:3" ht="15">
      <c r="A372" s="81" t="s">
        <v>2087</v>
      </c>
      <c r="B372" s="83" t="s">
        <v>341</v>
      </c>
      <c r="C372" s="80">
        <f>VLOOKUP(GroupVertices[[#This Row],[Vertex]],Vertices[],MATCH("ID",Vertices[[#Headers],[Vertex]:[Top Word Pairs in Comment by Salience]],0),FALSE)</f>
        <v>7</v>
      </c>
    </row>
    <row r="373" spans="1:3" ht="15">
      <c r="A373" s="81" t="s">
        <v>2087</v>
      </c>
      <c r="B373" s="83" t="s">
        <v>340</v>
      </c>
      <c r="C373" s="80">
        <f>VLOOKUP(GroupVertices[[#This Row],[Vertex]],Vertices[],MATCH("ID",Vertices[[#Headers],[Vertex]:[Top Word Pairs in Comment by Salience]],0),FALSE)</f>
        <v>6</v>
      </c>
    </row>
    <row r="374" spans="1:3" ht="15">
      <c r="A374" s="81" t="s">
        <v>2087</v>
      </c>
      <c r="B374" s="83" t="s">
        <v>339</v>
      </c>
      <c r="C374" s="80">
        <f>VLOOKUP(GroupVertices[[#This Row],[Vertex]],Vertices[],MATCH("ID",Vertices[[#Headers],[Vertex]:[Top Word Pairs in Comment by Salience]],0),FALSE)</f>
        <v>5</v>
      </c>
    </row>
    <row r="375" spans="1:3" ht="15">
      <c r="A375" s="81" t="s">
        <v>2087</v>
      </c>
      <c r="B375" s="83" t="s">
        <v>787</v>
      </c>
      <c r="C375" s="80">
        <f>VLOOKUP(GroupVertices[[#This Row],[Vertex]],Vertices[],MATCH("ID",Vertices[[#Headers],[Vertex]:[Top Word Pairs in Comment by Salience]],0),FALSE)</f>
        <v>3</v>
      </c>
    </row>
    <row r="376" spans="1:3" ht="15">
      <c r="A376" s="81" t="s">
        <v>2088</v>
      </c>
      <c r="B376" s="83" t="s">
        <v>632</v>
      </c>
      <c r="C376" s="80">
        <f>VLOOKUP(GroupVertices[[#This Row],[Vertex]],Vertices[],MATCH("ID",Vertices[[#Headers],[Vertex]:[Top Word Pairs in Comment by Salience]],0),FALSE)</f>
        <v>299</v>
      </c>
    </row>
    <row r="377" spans="1:3" ht="15">
      <c r="A377" s="81" t="s">
        <v>2088</v>
      </c>
      <c r="B377" s="83" t="s">
        <v>633</v>
      </c>
      <c r="C377" s="80">
        <f>VLOOKUP(GroupVertices[[#This Row],[Vertex]],Vertices[],MATCH("ID",Vertices[[#Headers],[Vertex]:[Top Word Pairs in Comment by Salience]],0),FALSE)</f>
        <v>296</v>
      </c>
    </row>
    <row r="378" spans="1:3" ht="15">
      <c r="A378" s="81" t="s">
        <v>2088</v>
      </c>
      <c r="B378" s="83" t="s">
        <v>631</v>
      </c>
      <c r="C378" s="80">
        <f>VLOOKUP(GroupVertices[[#This Row],[Vertex]],Vertices[],MATCH("ID",Vertices[[#Headers],[Vertex]:[Top Word Pairs in Comment by Salience]],0),FALSE)</f>
        <v>298</v>
      </c>
    </row>
    <row r="379" spans="1:3" ht="15">
      <c r="A379" s="81" t="s">
        <v>2088</v>
      </c>
      <c r="B379" s="83" t="s">
        <v>630</v>
      </c>
      <c r="C379" s="80">
        <f>VLOOKUP(GroupVertices[[#This Row],[Vertex]],Vertices[],MATCH("ID",Vertices[[#Headers],[Vertex]:[Top Word Pairs in Comment by Salience]],0),FALSE)</f>
        <v>297</v>
      </c>
    </row>
    <row r="380" spans="1:3" ht="15">
      <c r="A380" s="81" t="s">
        <v>2088</v>
      </c>
      <c r="B380" s="83" t="s">
        <v>603</v>
      </c>
      <c r="C380" s="80">
        <f>VLOOKUP(GroupVertices[[#This Row],[Vertex]],Vertices[],MATCH("ID",Vertices[[#Headers],[Vertex]:[Top Word Pairs in Comment by Salience]],0),FALSE)</f>
        <v>269</v>
      </c>
    </row>
    <row r="381" spans="1:3" ht="15">
      <c r="A381" s="81" t="s">
        <v>2088</v>
      </c>
      <c r="B381" s="83" t="s">
        <v>629</v>
      </c>
      <c r="C381" s="80">
        <f>VLOOKUP(GroupVertices[[#This Row],[Vertex]],Vertices[],MATCH("ID",Vertices[[#Headers],[Vertex]:[Top Word Pairs in Comment by Salience]],0),FALSE)</f>
        <v>295</v>
      </c>
    </row>
    <row r="382" spans="1:3" ht="15">
      <c r="A382" s="81" t="s">
        <v>2088</v>
      </c>
      <c r="B382" s="83" t="s">
        <v>602</v>
      </c>
      <c r="C382" s="80">
        <f>VLOOKUP(GroupVertices[[#This Row],[Vertex]],Vertices[],MATCH("ID",Vertices[[#Headers],[Vertex]:[Top Word Pairs in Comment by Salience]],0),FALSE)</f>
        <v>267</v>
      </c>
    </row>
    <row r="383" spans="1:3" ht="15">
      <c r="A383" s="81" t="s">
        <v>2088</v>
      </c>
      <c r="B383" s="83" t="s">
        <v>601</v>
      </c>
      <c r="C383" s="80">
        <f>VLOOKUP(GroupVertices[[#This Row],[Vertex]],Vertices[],MATCH("ID",Vertices[[#Headers],[Vertex]:[Top Word Pairs in Comment by Salience]],0),FALSE)</f>
        <v>268</v>
      </c>
    </row>
    <row r="384" spans="1:3" ht="15">
      <c r="A384" s="81" t="s">
        <v>2088</v>
      </c>
      <c r="B384" s="83" t="s">
        <v>578</v>
      </c>
      <c r="C384" s="80">
        <f>VLOOKUP(GroupVertices[[#This Row],[Vertex]],Vertices[],MATCH("ID",Vertices[[#Headers],[Vertex]:[Top Word Pairs in Comment by Salience]],0),FALSE)</f>
        <v>244</v>
      </c>
    </row>
    <row r="385" spans="1:3" ht="15">
      <c r="A385" s="81" t="s">
        <v>2088</v>
      </c>
      <c r="B385" s="83" t="s">
        <v>600</v>
      </c>
      <c r="C385" s="80">
        <f>VLOOKUP(GroupVertices[[#This Row],[Vertex]],Vertices[],MATCH("ID",Vertices[[#Headers],[Vertex]:[Top Word Pairs in Comment by Salience]],0),FALSE)</f>
        <v>266</v>
      </c>
    </row>
    <row r="386" spans="1:3" ht="15">
      <c r="A386" s="81" t="s">
        <v>2088</v>
      </c>
      <c r="B386" s="83" t="s">
        <v>579</v>
      </c>
      <c r="C386" s="80">
        <f>VLOOKUP(GroupVertices[[#This Row],[Vertex]],Vertices[],MATCH("ID",Vertices[[#Headers],[Vertex]:[Top Word Pairs in Comment by Salience]],0),FALSE)</f>
        <v>246</v>
      </c>
    </row>
    <row r="387" spans="1:3" ht="15">
      <c r="A387" s="81" t="s">
        <v>2088</v>
      </c>
      <c r="B387" s="83" t="s">
        <v>580</v>
      </c>
      <c r="C387" s="80">
        <f>VLOOKUP(GroupVertices[[#This Row],[Vertex]],Vertices[],MATCH("ID",Vertices[[#Headers],[Vertex]:[Top Word Pairs in Comment by Salience]],0),FALSE)</f>
        <v>245</v>
      </c>
    </row>
    <row r="388" spans="1:3" ht="15">
      <c r="A388" s="81" t="s">
        <v>2089</v>
      </c>
      <c r="B388" s="83" t="s">
        <v>722</v>
      </c>
      <c r="C388" s="80">
        <f>VLOOKUP(GroupVertices[[#This Row],[Vertex]],Vertices[],MATCH("ID",Vertices[[#Headers],[Vertex]:[Top Word Pairs in Comment by Salience]],0),FALSE)</f>
        <v>388</v>
      </c>
    </row>
    <row r="389" spans="1:3" ht="15">
      <c r="A389" s="81" t="s">
        <v>2089</v>
      </c>
      <c r="B389" s="83" t="s">
        <v>438</v>
      </c>
      <c r="C389" s="80">
        <f>VLOOKUP(GroupVertices[[#This Row],[Vertex]],Vertices[],MATCH("ID",Vertices[[#Headers],[Vertex]:[Top Word Pairs in Comment by Salience]],0),FALSE)</f>
        <v>105</v>
      </c>
    </row>
    <row r="390" spans="1:3" ht="15">
      <c r="A390" s="81" t="s">
        <v>2089</v>
      </c>
      <c r="B390" s="83" t="s">
        <v>721</v>
      </c>
      <c r="C390" s="80">
        <f>VLOOKUP(GroupVertices[[#This Row],[Vertex]],Vertices[],MATCH("ID",Vertices[[#Headers],[Vertex]:[Top Word Pairs in Comment by Salience]],0),FALSE)</f>
        <v>387</v>
      </c>
    </row>
    <row r="391" spans="1:3" ht="15">
      <c r="A391" s="81" t="s">
        <v>2089</v>
      </c>
      <c r="B391" s="83" t="s">
        <v>610</v>
      </c>
      <c r="C391" s="80">
        <f>VLOOKUP(GroupVertices[[#This Row],[Vertex]],Vertices[],MATCH("ID",Vertices[[#Headers],[Vertex]:[Top Word Pairs in Comment by Salience]],0),FALSE)</f>
        <v>276</v>
      </c>
    </row>
    <row r="392" spans="1:3" ht="15">
      <c r="A392" s="81" t="s">
        <v>2089</v>
      </c>
      <c r="B392" s="83" t="s">
        <v>503</v>
      </c>
      <c r="C392" s="80">
        <f>VLOOKUP(GroupVertices[[#This Row],[Vertex]],Vertices[],MATCH("ID",Vertices[[#Headers],[Vertex]:[Top Word Pairs in Comment by Salience]],0),FALSE)</f>
        <v>170</v>
      </c>
    </row>
    <row r="393" spans="1:3" ht="15">
      <c r="A393" s="81" t="s">
        <v>2089</v>
      </c>
      <c r="B393" s="83" t="s">
        <v>609</v>
      </c>
      <c r="C393" s="80">
        <f>VLOOKUP(GroupVertices[[#This Row],[Vertex]],Vertices[],MATCH("ID",Vertices[[#Headers],[Vertex]:[Top Word Pairs in Comment by Salience]],0),FALSE)</f>
        <v>275</v>
      </c>
    </row>
    <row r="394" spans="1:3" ht="15">
      <c r="A394" s="81" t="s">
        <v>2089</v>
      </c>
      <c r="B394" s="83" t="s">
        <v>592</v>
      </c>
      <c r="C394" s="80">
        <f>VLOOKUP(GroupVertices[[#This Row],[Vertex]],Vertices[],MATCH("ID",Vertices[[#Headers],[Vertex]:[Top Word Pairs in Comment by Salience]],0),FALSE)</f>
        <v>258</v>
      </c>
    </row>
    <row r="395" spans="1:3" ht="15">
      <c r="A395" s="81" t="s">
        <v>2089</v>
      </c>
      <c r="B395" s="83" t="s">
        <v>504</v>
      </c>
      <c r="C395" s="80">
        <f>VLOOKUP(GroupVertices[[#This Row],[Vertex]],Vertices[],MATCH("ID",Vertices[[#Headers],[Vertex]:[Top Word Pairs in Comment by Salience]],0),FALSE)</f>
        <v>169</v>
      </c>
    </row>
    <row r="396" spans="1:3" ht="15">
      <c r="A396" s="81" t="s">
        <v>2089</v>
      </c>
      <c r="B396" s="83" t="s">
        <v>502</v>
      </c>
      <c r="C396" s="80">
        <f>VLOOKUP(GroupVertices[[#This Row],[Vertex]],Vertices[],MATCH("ID",Vertices[[#Headers],[Vertex]:[Top Word Pairs in Comment by Salience]],0),FALSE)</f>
        <v>168</v>
      </c>
    </row>
    <row r="397" spans="1:3" ht="15">
      <c r="A397" s="81" t="s">
        <v>2089</v>
      </c>
      <c r="B397" s="83" t="s">
        <v>439</v>
      </c>
      <c r="C397" s="80">
        <f>VLOOKUP(GroupVertices[[#This Row],[Vertex]],Vertices[],MATCH("ID",Vertices[[#Headers],[Vertex]:[Top Word Pairs in Comment by Salience]],0),FALSE)</f>
        <v>104</v>
      </c>
    </row>
    <row r="398" spans="1:3" ht="15">
      <c r="A398" s="81" t="s">
        <v>2089</v>
      </c>
      <c r="B398" s="83" t="s">
        <v>437</v>
      </c>
      <c r="C398" s="80">
        <f>VLOOKUP(GroupVertices[[#This Row],[Vertex]],Vertices[],MATCH("ID",Vertices[[#Headers],[Vertex]:[Top Word Pairs in Comment by Salience]],0),FALSE)</f>
        <v>103</v>
      </c>
    </row>
    <row r="399" spans="1:3" ht="15">
      <c r="A399" s="81" t="s">
        <v>2090</v>
      </c>
      <c r="B399" s="83" t="s">
        <v>619</v>
      </c>
      <c r="C399" s="80">
        <f>VLOOKUP(GroupVertices[[#This Row],[Vertex]],Vertices[],MATCH("ID",Vertices[[#Headers],[Vertex]:[Top Word Pairs in Comment by Salience]],0),FALSE)</f>
        <v>286</v>
      </c>
    </row>
    <row r="400" spans="1:3" ht="15">
      <c r="A400" s="81" t="s">
        <v>2090</v>
      </c>
      <c r="B400" s="83" t="s">
        <v>620</v>
      </c>
      <c r="C400" s="80">
        <f>VLOOKUP(GroupVertices[[#This Row],[Vertex]],Vertices[],MATCH("ID",Vertices[[#Headers],[Vertex]:[Top Word Pairs in Comment by Salience]],0),FALSE)</f>
        <v>278</v>
      </c>
    </row>
    <row r="401" spans="1:3" ht="15">
      <c r="A401" s="81" t="s">
        <v>2090</v>
      </c>
      <c r="B401" s="83" t="s">
        <v>618</v>
      </c>
      <c r="C401" s="80">
        <f>VLOOKUP(GroupVertices[[#This Row],[Vertex]],Vertices[],MATCH("ID",Vertices[[#Headers],[Vertex]:[Top Word Pairs in Comment by Salience]],0),FALSE)</f>
        <v>285</v>
      </c>
    </row>
    <row r="402" spans="1:3" ht="15">
      <c r="A402" s="81" t="s">
        <v>2090</v>
      </c>
      <c r="B402" s="83" t="s">
        <v>617</v>
      </c>
      <c r="C402" s="80">
        <f>VLOOKUP(GroupVertices[[#This Row],[Vertex]],Vertices[],MATCH("ID",Vertices[[#Headers],[Vertex]:[Top Word Pairs in Comment by Salience]],0),FALSE)</f>
        <v>284</v>
      </c>
    </row>
    <row r="403" spans="1:3" ht="15">
      <c r="A403" s="81" t="s">
        <v>2090</v>
      </c>
      <c r="B403" s="83" t="s">
        <v>616</v>
      </c>
      <c r="C403" s="80">
        <f>VLOOKUP(GroupVertices[[#This Row],[Vertex]],Vertices[],MATCH("ID",Vertices[[#Headers],[Vertex]:[Top Word Pairs in Comment by Salience]],0),FALSE)</f>
        <v>283</v>
      </c>
    </row>
    <row r="404" spans="1:3" ht="15">
      <c r="A404" s="81" t="s">
        <v>2090</v>
      </c>
      <c r="B404" s="83" t="s">
        <v>615</v>
      </c>
      <c r="C404" s="80">
        <f>VLOOKUP(GroupVertices[[#This Row],[Vertex]],Vertices[],MATCH("ID",Vertices[[#Headers],[Vertex]:[Top Word Pairs in Comment by Salience]],0),FALSE)</f>
        <v>282</v>
      </c>
    </row>
    <row r="405" spans="1:3" ht="15">
      <c r="A405" s="81" t="s">
        <v>2090</v>
      </c>
      <c r="B405" s="83" t="s">
        <v>614</v>
      </c>
      <c r="C405" s="80">
        <f>VLOOKUP(GroupVertices[[#This Row],[Vertex]],Vertices[],MATCH("ID",Vertices[[#Headers],[Vertex]:[Top Word Pairs in Comment by Salience]],0),FALSE)</f>
        <v>281</v>
      </c>
    </row>
    <row r="406" spans="1:3" ht="15">
      <c r="A406" s="81" t="s">
        <v>2090</v>
      </c>
      <c r="B406" s="83" t="s">
        <v>613</v>
      </c>
      <c r="C406" s="80">
        <f>VLOOKUP(GroupVertices[[#This Row],[Vertex]],Vertices[],MATCH("ID",Vertices[[#Headers],[Vertex]:[Top Word Pairs in Comment by Salience]],0),FALSE)</f>
        <v>280</v>
      </c>
    </row>
    <row r="407" spans="1:3" ht="15">
      <c r="A407" s="81" t="s">
        <v>2090</v>
      </c>
      <c r="B407" s="83" t="s">
        <v>612</v>
      </c>
      <c r="C407" s="80">
        <f>VLOOKUP(GroupVertices[[#This Row],[Vertex]],Vertices[],MATCH("ID",Vertices[[#Headers],[Vertex]:[Top Word Pairs in Comment by Salience]],0),FALSE)</f>
        <v>279</v>
      </c>
    </row>
    <row r="408" spans="1:3" ht="15">
      <c r="A408" s="81" t="s">
        <v>2090</v>
      </c>
      <c r="B408" s="83" t="s">
        <v>611</v>
      </c>
      <c r="C408" s="80">
        <f>VLOOKUP(GroupVertices[[#This Row],[Vertex]],Vertices[],MATCH("ID",Vertices[[#Headers],[Vertex]:[Top Word Pairs in Comment by Salience]],0),FALSE)</f>
        <v>277</v>
      </c>
    </row>
    <row r="409" spans="1:3" ht="15">
      <c r="A409" s="81" t="s">
        <v>2091</v>
      </c>
      <c r="B409" s="83" t="s">
        <v>648</v>
      </c>
      <c r="C409" s="80">
        <f>VLOOKUP(GroupVertices[[#This Row],[Vertex]],Vertices[],MATCH("ID",Vertices[[#Headers],[Vertex]:[Top Word Pairs in Comment by Salience]],0),FALSE)</f>
        <v>314</v>
      </c>
    </row>
    <row r="410" spans="1:3" ht="15">
      <c r="A410" s="81" t="s">
        <v>2091</v>
      </c>
      <c r="B410" s="83" t="s">
        <v>637</v>
      </c>
      <c r="C410" s="80">
        <f>VLOOKUP(GroupVertices[[#This Row],[Vertex]],Vertices[],MATCH("ID",Vertices[[#Headers],[Vertex]:[Top Word Pairs in Comment by Salience]],0),FALSE)</f>
        <v>303</v>
      </c>
    </row>
    <row r="411" spans="1:3" ht="15">
      <c r="A411" s="81" t="s">
        <v>2091</v>
      </c>
      <c r="B411" s="83" t="s">
        <v>645</v>
      </c>
      <c r="C411" s="80">
        <f>VLOOKUP(GroupVertices[[#This Row],[Vertex]],Vertices[],MATCH("ID",Vertices[[#Headers],[Vertex]:[Top Word Pairs in Comment by Salience]],0),FALSE)</f>
        <v>311</v>
      </c>
    </row>
    <row r="412" spans="1:3" ht="15">
      <c r="A412" s="81" t="s">
        <v>2091</v>
      </c>
      <c r="B412" s="83" t="s">
        <v>639</v>
      </c>
      <c r="C412" s="80">
        <f>VLOOKUP(GroupVertices[[#This Row],[Vertex]],Vertices[],MATCH("ID",Vertices[[#Headers],[Vertex]:[Top Word Pairs in Comment by Salience]],0),FALSE)</f>
        <v>305</v>
      </c>
    </row>
    <row r="413" spans="1:3" ht="15">
      <c r="A413" s="81" t="s">
        <v>2091</v>
      </c>
      <c r="B413" s="83" t="s">
        <v>638</v>
      </c>
      <c r="C413" s="80">
        <f>VLOOKUP(GroupVertices[[#This Row],[Vertex]],Vertices[],MATCH("ID",Vertices[[#Headers],[Vertex]:[Top Word Pairs in Comment by Salience]],0),FALSE)</f>
        <v>304</v>
      </c>
    </row>
    <row r="414" spans="1:3" ht="15">
      <c r="A414" s="81" t="s">
        <v>2092</v>
      </c>
      <c r="B414" s="83" t="s">
        <v>607</v>
      </c>
      <c r="C414" s="80">
        <f>VLOOKUP(GroupVertices[[#This Row],[Vertex]],Vertices[],MATCH("ID",Vertices[[#Headers],[Vertex]:[Top Word Pairs in Comment by Salience]],0),FALSE)</f>
        <v>274</v>
      </c>
    </row>
    <row r="415" spans="1:3" ht="15">
      <c r="A415" s="81" t="s">
        <v>2092</v>
      </c>
      <c r="B415" s="83" t="s">
        <v>608</v>
      </c>
      <c r="C415" s="80">
        <f>VLOOKUP(GroupVertices[[#This Row],[Vertex]],Vertices[],MATCH("ID",Vertices[[#Headers],[Vertex]:[Top Word Pairs in Comment by Salience]],0),FALSE)</f>
        <v>271</v>
      </c>
    </row>
    <row r="416" spans="1:3" ht="15">
      <c r="A416" s="81" t="s">
        <v>2092</v>
      </c>
      <c r="B416" s="83" t="s">
        <v>606</v>
      </c>
      <c r="C416" s="80">
        <f>VLOOKUP(GroupVertices[[#This Row],[Vertex]],Vertices[],MATCH("ID",Vertices[[#Headers],[Vertex]:[Top Word Pairs in Comment by Salience]],0),FALSE)</f>
        <v>273</v>
      </c>
    </row>
    <row r="417" spans="1:3" ht="15">
      <c r="A417" s="81" t="s">
        <v>2092</v>
      </c>
      <c r="B417" s="83" t="s">
        <v>605</v>
      </c>
      <c r="C417" s="80">
        <f>VLOOKUP(GroupVertices[[#This Row],[Vertex]],Vertices[],MATCH("ID",Vertices[[#Headers],[Vertex]:[Top Word Pairs in Comment by Salience]],0),FALSE)</f>
        <v>272</v>
      </c>
    </row>
    <row r="418" spans="1:3" ht="15">
      <c r="A418" s="81" t="s">
        <v>2092</v>
      </c>
      <c r="B418" s="83" t="s">
        <v>604</v>
      </c>
      <c r="C418" s="80">
        <f>VLOOKUP(GroupVertices[[#This Row],[Vertex]],Vertices[],MATCH("ID",Vertices[[#Headers],[Vertex]:[Top Word Pairs in Comment by Salience]],0),FALSE)</f>
        <v>270</v>
      </c>
    </row>
    <row r="419" spans="1:3" ht="15">
      <c r="A419" s="81" t="s">
        <v>2093</v>
      </c>
      <c r="B419" s="83" t="s">
        <v>672</v>
      </c>
      <c r="C419" s="80">
        <f>VLOOKUP(GroupVertices[[#This Row],[Vertex]],Vertices[],MATCH("ID",Vertices[[#Headers],[Vertex]:[Top Word Pairs in Comment by Salience]],0),FALSE)</f>
        <v>339</v>
      </c>
    </row>
    <row r="420" spans="1:3" ht="15">
      <c r="A420" s="81" t="s">
        <v>2093</v>
      </c>
      <c r="B420" s="83" t="s">
        <v>673</v>
      </c>
      <c r="C420" s="80">
        <f>VLOOKUP(GroupVertices[[#This Row],[Vertex]],Vertices[],MATCH("ID",Vertices[[#Headers],[Vertex]:[Top Word Pairs in Comment by Salience]],0),FALSE)</f>
        <v>337</v>
      </c>
    </row>
    <row r="421" spans="1:3" ht="15">
      <c r="A421" s="81" t="s">
        <v>2093</v>
      </c>
      <c r="B421" s="83" t="s">
        <v>671</v>
      </c>
      <c r="C421" s="80">
        <f>VLOOKUP(GroupVertices[[#This Row],[Vertex]],Vertices[],MATCH("ID",Vertices[[#Headers],[Vertex]:[Top Word Pairs in Comment by Salience]],0),FALSE)</f>
        <v>338</v>
      </c>
    </row>
    <row r="422" spans="1:3" ht="15">
      <c r="A422" s="81" t="s">
        <v>2093</v>
      </c>
      <c r="B422" s="83" t="s">
        <v>670</v>
      </c>
      <c r="C422" s="80">
        <f>VLOOKUP(GroupVertices[[#This Row],[Vertex]],Vertices[],MATCH("ID",Vertices[[#Headers],[Vertex]:[Top Word Pairs in Comment by Salience]],0),FALSE)</f>
        <v>336</v>
      </c>
    </row>
    <row r="423" spans="1:3" ht="15">
      <c r="A423" s="81" t="s">
        <v>2094</v>
      </c>
      <c r="B423" s="83" t="s">
        <v>643</v>
      </c>
      <c r="C423" s="80">
        <f>VLOOKUP(GroupVertices[[#This Row],[Vertex]],Vertices[],MATCH("ID",Vertices[[#Headers],[Vertex]:[Top Word Pairs in Comment by Salience]],0),FALSE)</f>
        <v>310</v>
      </c>
    </row>
    <row r="424" spans="1:3" ht="15">
      <c r="A424" s="81" t="s">
        <v>2094</v>
      </c>
      <c r="B424" s="83" t="s">
        <v>644</v>
      </c>
      <c r="C424" s="80">
        <f>VLOOKUP(GroupVertices[[#This Row],[Vertex]],Vertices[],MATCH("ID",Vertices[[#Headers],[Vertex]:[Top Word Pairs in Comment by Salience]],0),FALSE)</f>
        <v>309</v>
      </c>
    </row>
    <row r="425" spans="1:3" ht="15">
      <c r="A425" s="81" t="s">
        <v>2094</v>
      </c>
      <c r="B425" s="83" t="s">
        <v>642</v>
      </c>
      <c r="C425" s="80">
        <f>VLOOKUP(GroupVertices[[#This Row],[Vertex]],Vertices[],MATCH("ID",Vertices[[#Headers],[Vertex]:[Top Word Pairs in Comment by Salience]],0),FALSE)</f>
        <v>308</v>
      </c>
    </row>
    <row r="426" spans="1:3" ht="15">
      <c r="A426" s="81" t="s">
        <v>2095</v>
      </c>
      <c r="B426" s="83" t="s">
        <v>635</v>
      </c>
      <c r="C426" s="80">
        <f>VLOOKUP(GroupVertices[[#This Row],[Vertex]],Vertices[],MATCH("ID",Vertices[[#Headers],[Vertex]:[Top Word Pairs in Comment by Salience]],0),FALSE)</f>
        <v>302</v>
      </c>
    </row>
    <row r="427" spans="1:3" ht="15">
      <c r="A427" s="81" t="s">
        <v>2095</v>
      </c>
      <c r="B427" s="83" t="s">
        <v>636</v>
      </c>
      <c r="C427" s="80">
        <f>VLOOKUP(GroupVertices[[#This Row],[Vertex]],Vertices[],MATCH("ID",Vertices[[#Headers],[Vertex]:[Top Word Pairs in Comment by Salience]],0),FALSE)</f>
        <v>301</v>
      </c>
    </row>
    <row r="428" spans="1:3" ht="15">
      <c r="A428" s="81" t="s">
        <v>2095</v>
      </c>
      <c r="B428" s="83" t="s">
        <v>634</v>
      </c>
      <c r="C428" s="80">
        <f>VLOOKUP(GroupVertices[[#This Row],[Vertex]],Vertices[],MATCH("ID",Vertices[[#Headers],[Vertex]:[Top Word Pairs in Comment by Salience]],0),FALSE)</f>
        <v>300</v>
      </c>
    </row>
    <row r="429" spans="1:3" ht="15">
      <c r="A429" s="81" t="s">
        <v>2096</v>
      </c>
      <c r="B429" s="83" t="s">
        <v>624</v>
      </c>
      <c r="C429" s="80">
        <f>VLOOKUP(GroupVertices[[#This Row],[Vertex]],Vertices[],MATCH("ID",Vertices[[#Headers],[Vertex]:[Top Word Pairs in Comment by Salience]],0),FALSE)</f>
        <v>290</v>
      </c>
    </row>
    <row r="430" spans="1:3" ht="15">
      <c r="A430" s="81" t="s">
        <v>2096</v>
      </c>
      <c r="B430" s="83" t="s">
        <v>588</v>
      </c>
      <c r="C430" s="80">
        <f>VLOOKUP(GroupVertices[[#This Row],[Vertex]],Vertices[],MATCH("ID",Vertices[[#Headers],[Vertex]:[Top Word Pairs in Comment by Salience]],0),FALSE)</f>
        <v>254</v>
      </c>
    </row>
    <row r="431" spans="1:3" ht="15">
      <c r="A431" s="81" t="s">
        <v>2096</v>
      </c>
      <c r="B431" s="83" t="s">
        <v>589</v>
      </c>
      <c r="C431" s="80">
        <f>VLOOKUP(GroupVertices[[#This Row],[Vertex]],Vertices[],MATCH("ID",Vertices[[#Headers],[Vertex]:[Top Word Pairs in Comment by Salience]],0),FALSE)</f>
        <v>255</v>
      </c>
    </row>
    <row r="432" spans="1:3" ht="15">
      <c r="A432" s="81" t="s">
        <v>2097</v>
      </c>
      <c r="B432" s="83" t="s">
        <v>597</v>
      </c>
      <c r="C432" s="80">
        <f>VLOOKUP(GroupVertices[[#This Row],[Vertex]],Vertices[],MATCH("ID",Vertices[[#Headers],[Vertex]:[Top Word Pairs in Comment by Salience]],0),FALSE)</f>
        <v>264</v>
      </c>
    </row>
    <row r="433" spans="1:3" ht="15">
      <c r="A433" s="81" t="s">
        <v>2097</v>
      </c>
      <c r="B433" s="83" t="s">
        <v>598</v>
      </c>
      <c r="C433" s="80">
        <f>VLOOKUP(GroupVertices[[#This Row],[Vertex]],Vertices[],MATCH("ID",Vertices[[#Headers],[Vertex]:[Top Word Pairs in Comment by Salience]],0),FALSE)</f>
        <v>263</v>
      </c>
    </row>
    <row r="434" spans="1:3" ht="15">
      <c r="A434" s="81" t="s">
        <v>2097</v>
      </c>
      <c r="B434" s="83" t="s">
        <v>596</v>
      </c>
      <c r="C434" s="80">
        <f>VLOOKUP(GroupVertices[[#This Row],[Vertex]],Vertices[],MATCH("ID",Vertices[[#Headers],[Vertex]:[Top Word Pairs in Comment by Salience]],0),FALSE)</f>
        <v>262</v>
      </c>
    </row>
    <row r="435" spans="1:3" ht="15">
      <c r="A435" s="81" t="s">
        <v>2098</v>
      </c>
      <c r="B435" s="83" t="s">
        <v>583</v>
      </c>
      <c r="C435" s="80">
        <f>VLOOKUP(GroupVertices[[#This Row],[Vertex]],Vertices[],MATCH("ID",Vertices[[#Headers],[Vertex]:[Top Word Pairs in Comment by Salience]],0),FALSE)</f>
        <v>249</v>
      </c>
    </row>
    <row r="436" spans="1:3" ht="15">
      <c r="A436" s="81" t="s">
        <v>2098</v>
      </c>
      <c r="B436" s="83" t="s">
        <v>581</v>
      </c>
      <c r="C436" s="80">
        <f>VLOOKUP(GroupVertices[[#This Row],[Vertex]],Vertices[],MATCH("ID",Vertices[[#Headers],[Vertex]:[Top Word Pairs in Comment by Salience]],0),FALSE)</f>
        <v>247</v>
      </c>
    </row>
    <row r="437" spans="1:3" ht="15">
      <c r="A437" s="81" t="s">
        <v>2098</v>
      </c>
      <c r="B437" s="83" t="s">
        <v>582</v>
      </c>
      <c r="C437" s="80">
        <f>VLOOKUP(GroupVertices[[#This Row],[Vertex]],Vertices[],MATCH("ID",Vertices[[#Headers],[Vertex]:[Top Word Pairs in Comment by Salience]],0),FALSE)</f>
        <v>248</v>
      </c>
    </row>
    <row r="438" spans="1:3" ht="15">
      <c r="A438" s="81" t="s">
        <v>2099</v>
      </c>
      <c r="B438" s="83" t="s">
        <v>456</v>
      </c>
      <c r="C438" s="80">
        <f>VLOOKUP(GroupVertices[[#This Row],[Vertex]],Vertices[],MATCH("ID",Vertices[[#Headers],[Vertex]:[Top Word Pairs in Comment by Salience]],0),FALSE)</f>
        <v>123</v>
      </c>
    </row>
    <row r="439" spans="1:3" ht="15">
      <c r="A439" s="81" t="s">
        <v>2099</v>
      </c>
      <c r="B439" s="83" t="s">
        <v>465</v>
      </c>
      <c r="C439" s="80">
        <f>VLOOKUP(GroupVertices[[#This Row],[Vertex]],Vertices[],MATCH("ID",Vertices[[#Headers],[Vertex]:[Top Word Pairs in Comment by Salience]],0),FALSE)</f>
        <v>122</v>
      </c>
    </row>
    <row r="440" spans="1:3" ht="15">
      <c r="A440" s="81" t="s">
        <v>2099</v>
      </c>
      <c r="B440" s="83" t="s">
        <v>455</v>
      </c>
      <c r="C440" s="80">
        <f>VLOOKUP(GroupVertices[[#This Row],[Vertex]],Vertices[],MATCH("ID",Vertices[[#Headers],[Vertex]:[Top Word Pairs in Comment by Salience]],0),FALSE)</f>
        <v>121</v>
      </c>
    </row>
    <row r="441" spans="1:3" ht="15">
      <c r="A441" s="81" t="s">
        <v>2100</v>
      </c>
      <c r="B441" s="83" t="s">
        <v>761</v>
      </c>
      <c r="C441" s="80">
        <f>VLOOKUP(GroupVertices[[#This Row],[Vertex]],Vertices[],MATCH("ID",Vertices[[#Headers],[Vertex]:[Top Word Pairs in Comment by Salience]],0),FALSE)</f>
        <v>427</v>
      </c>
    </row>
    <row r="442" spans="1:3" ht="15">
      <c r="A442" s="81" t="s">
        <v>2100</v>
      </c>
      <c r="B442" s="83" t="s">
        <v>760</v>
      </c>
      <c r="C442" s="80">
        <f>VLOOKUP(GroupVertices[[#This Row],[Vertex]],Vertices[],MATCH("ID",Vertices[[#Headers],[Vertex]:[Top Word Pairs in Comment by Salience]],0),FALSE)</f>
        <v>426</v>
      </c>
    </row>
    <row r="443" spans="1:3" ht="15">
      <c r="A443" s="81" t="s">
        <v>2101</v>
      </c>
      <c r="B443" s="83" t="s">
        <v>697</v>
      </c>
      <c r="C443" s="80">
        <f>VLOOKUP(GroupVertices[[#This Row],[Vertex]],Vertices[],MATCH("ID",Vertices[[#Headers],[Vertex]:[Top Word Pairs in Comment by Salience]],0),FALSE)</f>
        <v>363</v>
      </c>
    </row>
    <row r="444" spans="1:3" ht="15">
      <c r="A444" s="81" t="s">
        <v>2101</v>
      </c>
      <c r="B444" s="83" t="s">
        <v>696</v>
      </c>
      <c r="C444" s="80">
        <f>VLOOKUP(GroupVertices[[#This Row],[Vertex]],Vertices[],MATCH("ID",Vertices[[#Headers],[Vertex]:[Top Word Pairs in Comment by Salience]],0),FALSE)</f>
        <v>362</v>
      </c>
    </row>
    <row r="445" spans="1:3" ht="15">
      <c r="A445" s="81" t="s">
        <v>2102</v>
      </c>
      <c r="B445" s="83" t="s">
        <v>650</v>
      </c>
      <c r="C445" s="80">
        <f>VLOOKUP(GroupVertices[[#This Row],[Vertex]],Vertices[],MATCH("ID",Vertices[[#Headers],[Vertex]:[Top Word Pairs in Comment by Salience]],0),FALSE)</f>
        <v>316</v>
      </c>
    </row>
    <row r="446" spans="1:3" ht="15">
      <c r="A446" s="81" t="s">
        <v>2102</v>
      </c>
      <c r="B446" s="83" t="s">
        <v>649</v>
      </c>
      <c r="C446" s="80">
        <f>VLOOKUP(GroupVertices[[#This Row],[Vertex]],Vertices[],MATCH("ID",Vertices[[#Headers],[Vertex]:[Top Word Pairs in Comment by Salience]],0),FALSE)</f>
        <v>315</v>
      </c>
    </row>
    <row r="447" spans="1:3" ht="15">
      <c r="A447" s="81" t="s">
        <v>2103</v>
      </c>
      <c r="B447" s="83" t="s">
        <v>468</v>
      </c>
      <c r="C447" s="80">
        <f>VLOOKUP(GroupVertices[[#This Row],[Vertex]],Vertices[],MATCH("ID",Vertices[[#Headers],[Vertex]:[Top Word Pairs in Comment by Salience]],0),FALSE)</f>
        <v>134</v>
      </c>
    </row>
    <row r="448" spans="1:3" ht="15">
      <c r="A448" s="81" t="s">
        <v>2103</v>
      </c>
      <c r="B448" s="83" t="s">
        <v>467</v>
      </c>
      <c r="C448" s="80">
        <f>VLOOKUP(GroupVertices[[#This Row],[Vertex]],Vertices[],MATCH("ID",Vertices[[#Headers],[Vertex]:[Top Word Pairs in Comment by Salience]],0),FALSE)</f>
        <v>133</v>
      </c>
    </row>
    <row r="449" spans="1:3" ht="15">
      <c r="A449" s="81" t="s">
        <v>2104</v>
      </c>
      <c r="B449" s="83" t="s">
        <v>365</v>
      </c>
      <c r="C449" s="80">
        <f>VLOOKUP(GroupVertices[[#This Row],[Vertex]],Vertices[],MATCH("ID",Vertices[[#Headers],[Vertex]:[Top Word Pairs in Comment by Salience]],0),FALSE)</f>
        <v>31</v>
      </c>
    </row>
    <row r="450" spans="1:3" ht="15">
      <c r="A450" s="81" t="s">
        <v>2104</v>
      </c>
      <c r="B450" s="83" t="s">
        <v>364</v>
      </c>
      <c r="C450" s="80">
        <f>VLOOKUP(GroupVertices[[#This Row],[Vertex]],Vertices[],MATCH("ID",Vertices[[#Headers],[Vertex]:[Top Word Pairs in Comment by Salience]],0),FALSE)</f>
        <v>30</v>
      </c>
    </row>
  </sheetData>
  <dataValidations count="3" xWindow="58" yWindow="226">
    <dataValidation allowBlank="1" showInputMessage="1" showErrorMessage="1" promptTitle="Group Name" prompt="Enter the name of the group.  The group name must also be entered on the Groups worksheet." sqref="A2:A450"/>
    <dataValidation allowBlank="1" showInputMessage="1" showErrorMessage="1" promptTitle="Vertex Name" prompt="Enter the name of a vertex to include in the group." sqref="B2:B450"/>
    <dataValidation allowBlank="1" showInputMessage="1" promptTitle="Vertex ID" prompt="This is the value of the hidden ID cell in the Vertices worksheet.  It gets filled in by the items on the NodeXL, Analysis, Groups menu." sqref="C2:C4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3202</v>
      </c>
      <c r="B2" s="35" t="s">
        <v>302</v>
      </c>
      <c r="D2" s="32">
        <f>MIN(Vertices[Degree])</f>
        <v>0</v>
      </c>
      <c r="E2" s="3">
        <f>COUNTIF(Vertices[Degree],"&gt;= "&amp;D2)-COUNTIF(Vertices[Degree],"&gt;="&amp;D3)</f>
        <v>0</v>
      </c>
      <c r="F2" s="38">
        <f>MIN(Vertices[In-Degree])</f>
        <v>0</v>
      </c>
      <c r="G2" s="39">
        <f>COUNTIF(Vertices[In-Degree],"&gt;= "&amp;F2)-COUNTIF(Vertices[In-Degree],"&gt;="&amp;F3)</f>
        <v>448</v>
      </c>
      <c r="H2" s="38">
        <f>MIN(Vertices[Out-Degree])</f>
        <v>1</v>
      </c>
      <c r="I2" s="39">
        <f>COUNTIF(Vertices[Out-Degree],"&gt;= "&amp;H2)-COUNTIF(Vertices[Out-Degree],"&gt;="&amp;H3)</f>
        <v>430</v>
      </c>
      <c r="J2" s="38">
        <f>MIN(Vertices[Betweenness Centrality])</f>
        <v>0</v>
      </c>
      <c r="K2" s="39">
        <f>COUNTIF(Vertices[Betweenness Centrality],"&gt;= "&amp;J2)-COUNTIF(Vertices[Betweenness Centrality],"&gt;="&amp;J3)</f>
        <v>447</v>
      </c>
      <c r="L2" s="38">
        <f>MIN(Vertices[Closeness Centrality])</f>
        <v>0.324168</v>
      </c>
      <c r="M2" s="39">
        <f>COUNTIF(Vertices[Closeness Centrality],"&gt;= "&amp;L2)-COUNTIF(Vertices[Closeness Centrality],"&gt;="&amp;L3)</f>
        <v>42</v>
      </c>
      <c r="N2" s="38">
        <f>MIN(Vertices[Eigenvector Centrality])</f>
        <v>0.001665</v>
      </c>
      <c r="O2" s="39">
        <f>COUNTIF(Vertices[Eigenvector Centrality],"&gt;= "&amp;N2)-COUNTIF(Vertices[Eigenvector Centrality],"&gt;="&amp;N3)</f>
        <v>42</v>
      </c>
      <c r="P2" s="38">
        <f>MIN(Vertices[PageRank])</f>
        <v>0.001935</v>
      </c>
      <c r="Q2" s="39">
        <f>COUNTIF(Vertices[PageRank],"&gt;= "&amp;P2)-COUNTIF(Vertices[PageRank],"&gt;="&amp;P3)</f>
        <v>448</v>
      </c>
      <c r="R2" s="38">
        <f>MIN(Vertices[Clustering Coefficient])</f>
        <v>0</v>
      </c>
      <c r="S2" s="44">
        <f>COUNTIF(Vertices[Clustering Coefficient],"&gt;= "&amp;R2)-COUNTIF(Vertices[Clustering Coefficient],"&gt;="&amp;R3)</f>
        <v>435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11.970588235294118</v>
      </c>
      <c r="G3" s="41">
        <f>COUNTIF(Vertices[In-Degree],"&gt;= "&amp;F3)-COUNTIF(Vertices[In-Degree],"&gt;="&amp;F4)</f>
        <v>0</v>
      </c>
      <c r="H3" s="40">
        <f aca="true" t="shared" si="3" ref="H3:H35">H2+($H$36-$H$2)/BinDivisor</f>
        <v>1.1176470588235294</v>
      </c>
      <c r="I3" s="41">
        <f>COUNTIF(Vertices[Out-Degree],"&gt;= "&amp;H3)-COUNTIF(Vertices[Out-Degree],"&gt;="&amp;H4)</f>
        <v>0</v>
      </c>
      <c r="J3" s="40">
        <f aca="true" t="shared" si="4" ref="J3:J35">J2+($J$36-$J$2)/BinDivisor</f>
        <v>5880.75</v>
      </c>
      <c r="K3" s="41">
        <f>COUNTIF(Vertices[Betweenness Centrality],"&gt;= "&amp;J3)-COUNTIF(Vertices[Betweenness Centrality],"&gt;="&amp;J4)</f>
        <v>1</v>
      </c>
      <c r="L3" s="40">
        <f aca="true" t="shared" si="5" ref="L3:L35">L2+($L$36-$L$2)/BinDivisor</f>
        <v>0.3415244117647059</v>
      </c>
      <c r="M3" s="41">
        <f>COUNTIF(Vertices[Closeness Centrality],"&gt;= "&amp;L3)-COUNTIF(Vertices[Closeness Centrality],"&gt;="&amp;L4)</f>
        <v>0</v>
      </c>
      <c r="N3" s="40">
        <f aca="true" t="shared" si="6" ref="N3:N35">N2+($N$36-$N$2)/BinDivisor</f>
        <v>0.022551441176470587</v>
      </c>
      <c r="O3" s="41">
        <f>COUNTIF(Vertices[Eigenvector Centrality],"&gt;= "&amp;N3)-COUNTIF(Vertices[Eigenvector Centrality],"&gt;="&amp;N4)</f>
        <v>406</v>
      </c>
      <c r="P3" s="40">
        <f aca="true" t="shared" si="7" ref="P3:P35">P2+($P$36-$P$2)/BinDivisor</f>
        <v>0.005232852941176471</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449</v>
      </c>
      <c r="D4" s="33">
        <f t="shared" si="1"/>
        <v>0</v>
      </c>
      <c r="E4" s="3">
        <f>COUNTIF(Vertices[Degree],"&gt;= "&amp;D4)-COUNTIF(Vertices[Degree],"&gt;="&amp;D5)</f>
        <v>0</v>
      </c>
      <c r="F4" s="38">
        <f t="shared" si="2"/>
        <v>23.941176470588236</v>
      </c>
      <c r="G4" s="39">
        <f>COUNTIF(Vertices[In-Degree],"&gt;= "&amp;F4)-COUNTIF(Vertices[In-Degree],"&gt;="&amp;F5)</f>
        <v>0</v>
      </c>
      <c r="H4" s="38">
        <f t="shared" si="3"/>
        <v>1.2352941176470589</v>
      </c>
      <c r="I4" s="39">
        <f>COUNTIF(Vertices[Out-Degree],"&gt;= "&amp;H4)-COUNTIF(Vertices[Out-Degree],"&gt;="&amp;H5)</f>
        <v>0</v>
      </c>
      <c r="J4" s="38">
        <f t="shared" si="4"/>
        <v>11761.5</v>
      </c>
      <c r="K4" s="39">
        <f>COUNTIF(Vertices[Betweenness Centrality],"&gt;= "&amp;J4)-COUNTIF(Vertices[Betweenness Centrality],"&gt;="&amp;J5)</f>
        <v>0</v>
      </c>
      <c r="L4" s="38">
        <f t="shared" si="5"/>
        <v>0.35888082352941175</v>
      </c>
      <c r="M4" s="39">
        <f>COUNTIF(Vertices[Closeness Centrality],"&gt;= "&amp;L4)-COUNTIF(Vertices[Closeness Centrality],"&gt;="&amp;L5)</f>
        <v>0</v>
      </c>
      <c r="N4" s="38">
        <f t="shared" si="6"/>
        <v>0.04343788235294117</v>
      </c>
      <c r="O4" s="39">
        <f>COUNTIF(Vertices[Eigenvector Centrality],"&gt;= "&amp;N4)-COUNTIF(Vertices[Eigenvector Centrality],"&gt;="&amp;N5)</f>
        <v>0</v>
      </c>
      <c r="P4" s="38">
        <f t="shared" si="7"/>
        <v>0.00853070588235294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35.911764705882355</v>
      </c>
      <c r="G5" s="41">
        <f>COUNTIF(Vertices[In-Degree],"&gt;= "&amp;F5)-COUNTIF(Vertices[In-Degree],"&gt;="&amp;F6)</f>
        <v>0</v>
      </c>
      <c r="H5" s="40">
        <f t="shared" si="3"/>
        <v>1.3529411764705883</v>
      </c>
      <c r="I5" s="41">
        <f>COUNTIF(Vertices[Out-Degree],"&gt;= "&amp;H5)-COUNTIF(Vertices[Out-Degree],"&gt;="&amp;H6)</f>
        <v>0</v>
      </c>
      <c r="J5" s="40">
        <f t="shared" si="4"/>
        <v>17642.25</v>
      </c>
      <c r="K5" s="41">
        <f>COUNTIF(Vertices[Betweenness Centrality],"&gt;= "&amp;J5)-COUNTIF(Vertices[Betweenness Centrality],"&gt;="&amp;J6)</f>
        <v>0</v>
      </c>
      <c r="L5" s="40">
        <f t="shared" si="5"/>
        <v>0.3762372352941176</v>
      </c>
      <c r="M5" s="41">
        <f>COUNTIF(Vertices[Closeness Centrality],"&gt;= "&amp;L5)-COUNTIF(Vertices[Closeness Centrality],"&gt;="&amp;L6)</f>
        <v>0</v>
      </c>
      <c r="N5" s="40">
        <f t="shared" si="6"/>
        <v>0.06432432352941175</v>
      </c>
      <c r="O5" s="41">
        <f>COUNTIF(Vertices[Eigenvector Centrality],"&gt;= "&amp;N5)-COUNTIF(Vertices[Eigenvector Centrality],"&gt;="&amp;N6)</f>
        <v>0</v>
      </c>
      <c r="P5" s="40">
        <f t="shared" si="7"/>
        <v>0.01182855882352941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402</v>
      </c>
      <c r="D6" s="33">
        <f t="shared" si="1"/>
        <v>0</v>
      </c>
      <c r="E6" s="3">
        <f>COUNTIF(Vertices[Degree],"&gt;= "&amp;D6)-COUNTIF(Vertices[Degree],"&gt;="&amp;D7)</f>
        <v>0</v>
      </c>
      <c r="F6" s="38">
        <f t="shared" si="2"/>
        <v>47.88235294117647</v>
      </c>
      <c r="G6" s="39">
        <f>COUNTIF(Vertices[In-Degree],"&gt;= "&amp;F6)-COUNTIF(Vertices[In-Degree],"&gt;="&amp;F7)</f>
        <v>0</v>
      </c>
      <c r="H6" s="38">
        <f t="shared" si="3"/>
        <v>1.4705882352941178</v>
      </c>
      <c r="I6" s="39">
        <f>COUNTIF(Vertices[Out-Degree],"&gt;= "&amp;H6)-COUNTIF(Vertices[Out-Degree],"&gt;="&amp;H7)</f>
        <v>0</v>
      </c>
      <c r="J6" s="38">
        <f t="shared" si="4"/>
        <v>23523</v>
      </c>
      <c r="K6" s="39">
        <f>COUNTIF(Vertices[Betweenness Centrality],"&gt;= "&amp;J6)-COUNTIF(Vertices[Betweenness Centrality],"&gt;="&amp;J7)</f>
        <v>0</v>
      </c>
      <c r="L6" s="38">
        <f t="shared" si="5"/>
        <v>0.3935936470588235</v>
      </c>
      <c r="M6" s="39">
        <f>COUNTIF(Vertices[Closeness Centrality],"&gt;= "&amp;L6)-COUNTIF(Vertices[Closeness Centrality],"&gt;="&amp;L7)</f>
        <v>0</v>
      </c>
      <c r="N6" s="38">
        <f t="shared" si="6"/>
        <v>0.08521076470588235</v>
      </c>
      <c r="O6" s="39">
        <f>COUNTIF(Vertices[Eigenvector Centrality],"&gt;= "&amp;N6)-COUNTIF(Vertices[Eigenvector Centrality],"&gt;="&amp;N7)</f>
        <v>0</v>
      </c>
      <c r="P6" s="38">
        <f t="shared" si="7"/>
        <v>0.015126411764705881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219</v>
      </c>
      <c r="D7" s="33">
        <f t="shared" si="1"/>
        <v>0</v>
      </c>
      <c r="E7" s="3">
        <f>COUNTIF(Vertices[Degree],"&gt;= "&amp;D7)-COUNTIF(Vertices[Degree],"&gt;="&amp;D8)</f>
        <v>0</v>
      </c>
      <c r="F7" s="40">
        <f t="shared" si="2"/>
        <v>59.85294117647059</v>
      </c>
      <c r="G7" s="41">
        <f>COUNTIF(Vertices[In-Degree],"&gt;= "&amp;F7)-COUNTIF(Vertices[In-Degree],"&gt;="&amp;F8)</f>
        <v>0</v>
      </c>
      <c r="H7" s="40">
        <f t="shared" si="3"/>
        <v>1.5882352941176472</v>
      </c>
      <c r="I7" s="41">
        <f>COUNTIF(Vertices[Out-Degree],"&gt;= "&amp;H7)-COUNTIF(Vertices[Out-Degree],"&gt;="&amp;H8)</f>
        <v>0</v>
      </c>
      <c r="J7" s="40">
        <f t="shared" si="4"/>
        <v>29403.75</v>
      </c>
      <c r="K7" s="41">
        <f>COUNTIF(Vertices[Betweenness Centrality],"&gt;= "&amp;J7)-COUNTIF(Vertices[Betweenness Centrality],"&gt;="&amp;J8)</f>
        <v>0</v>
      </c>
      <c r="L7" s="40">
        <f t="shared" si="5"/>
        <v>0.41095005882352936</v>
      </c>
      <c r="M7" s="41">
        <f>COUNTIF(Vertices[Closeness Centrality],"&gt;= "&amp;L7)-COUNTIF(Vertices[Closeness Centrality],"&gt;="&amp;L8)</f>
        <v>0</v>
      </c>
      <c r="N7" s="40">
        <f t="shared" si="6"/>
        <v>0.10609720588235294</v>
      </c>
      <c r="O7" s="41">
        <f>COUNTIF(Vertices[Eigenvector Centrality],"&gt;= "&amp;N7)-COUNTIF(Vertices[Eigenvector Centrality],"&gt;="&amp;N8)</f>
        <v>0</v>
      </c>
      <c r="P7" s="40">
        <f t="shared" si="7"/>
        <v>0.018424264705882352</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71.82352941176471</v>
      </c>
      <c r="G8" s="39">
        <f>COUNTIF(Vertices[In-Degree],"&gt;= "&amp;F8)-COUNTIF(Vertices[In-Degree],"&gt;="&amp;F9)</f>
        <v>0</v>
      </c>
      <c r="H8" s="38">
        <f t="shared" si="3"/>
        <v>1.7058823529411766</v>
      </c>
      <c r="I8" s="39">
        <f>COUNTIF(Vertices[Out-Degree],"&gt;= "&amp;H8)-COUNTIF(Vertices[Out-Degree],"&gt;="&amp;H9)</f>
        <v>0</v>
      </c>
      <c r="J8" s="38">
        <f t="shared" si="4"/>
        <v>35284.5</v>
      </c>
      <c r="K8" s="39">
        <f>COUNTIF(Vertices[Betweenness Centrality],"&gt;= "&amp;J8)-COUNTIF(Vertices[Betweenness Centrality],"&gt;="&amp;J9)</f>
        <v>0</v>
      </c>
      <c r="L8" s="38">
        <f t="shared" si="5"/>
        <v>0.42830647058823523</v>
      </c>
      <c r="M8" s="39">
        <f>COUNTIF(Vertices[Closeness Centrality],"&gt;= "&amp;L8)-COUNTIF(Vertices[Closeness Centrality],"&gt;="&amp;L9)</f>
        <v>0</v>
      </c>
      <c r="N8" s="38">
        <f t="shared" si="6"/>
        <v>0.12698364705882353</v>
      </c>
      <c r="O8" s="39">
        <f>COUNTIF(Vertices[Eigenvector Centrality],"&gt;= "&amp;N8)-COUNTIF(Vertices[Eigenvector Centrality],"&gt;="&amp;N9)</f>
        <v>0</v>
      </c>
      <c r="P8" s="38">
        <f t="shared" si="7"/>
        <v>0.021722117647058822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83.79411764705883</v>
      </c>
      <c r="G9" s="41">
        <f>COUNTIF(Vertices[In-Degree],"&gt;= "&amp;F9)-COUNTIF(Vertices[In-Degree],"&gt;="&amp;F10)</f>
        <v>0</v>
      </c>
      <c r="H9" s="40">
        <f t="shared" si="3"/>
        <v>1.823529411764706</v>
      </c>
      <c r="I9" s="41">
        <f>COUNTIF(Vertices[Out-Degree],"&gt;= "&amp;H9)-COUNTIF(Vertices[Out-Degree],"&gt;="&amp;H10)</f>
        <v>0</v>
      </c>
      <c r="J9" s="40">
        <f t="shared" si="4"/>
        <v>41165.25</v>
      </c>
      <c r="K9" s="41">
        <f>COUNTIF(Vertices[Betweenness Centrality],"&gt;= "&amp;J9)-COUNTIF(Vertices[Betweenness Centrality],"&gt;="&amp;J10)</f>
        <v>0</v>
      </c>
      <c r="L9" s="40">
        <f t="shared" si="5"/>
        <v>0.4456628823529411</v>
      </c>
      <c r="M9" s="41">
        <f>COUNTIF(Vertices[Closeness Centrality],"&gt;= "&amp;L9)-COUNTIF(Vertices[Closeness Centrality],"&gt;="&amp;L10)</f>
        <v>0</v>
      </c>
      <c r="N9" s="40">
        <f t="shared" si="6"/>
        <v>0.14787008823529413</v>
      </c>
      <c r="O9" s="41">
        <f>COUNTIF(Vertices[Eigenvector Centrality],"&gt;= "&amp;N9)-COUNTIF(Vertices[Eigenvector Centrality],"&gt;="&amp;N10)</f>
        <v>0</v>
      </c>
      <c r="P9" s="40">
        <f t="shared" si="7"/>
        <v>0.025019970588235293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12</v>
      </c>
      <c r="D10" s="33">
        <f t="shared" si="1"/>
        <v>0</v>
      </c>
      <c r="E10" s="3">
        <f>COUNTIF(Vertices[Degree],"&gt;= "&amp;D10)-COUNTIF(Vertices[Degree],"&gt;="&amp;D11)</f>
        <v>0</v>
      </c>
      <c r="F10" s="38">
        <f t="shared" si="2"/>
        <v>95.76470588235294</v>
      </c>
      <c r="G10" s="39">
        <f>COUNTIF(Vertices[In-Degree],"&gt;= "&amp;F10)-COUNTIF(Vertices[In-Degree],"&gt;="&amp;F11)</f>
        <v>0</v>
      </c>
      <c r="H10" s="38">
        <f t="shared" si="3"/>
        <v>1.9411764705882355</v>
      </c>
      <c r="I10" s="39">
        <f>COUNTIF(Vertices[Out-Degree],"&gt;= "&amp;H10)-COUNTIF(Vertices[Out-Degree],"&gt;="&amp;H11)</f>
        <v>16</v>
      </c>
      <c r="J10" s="38">
        <f t="shared" si="4"/>
        <v>47046</v>
      </c>
      <c r="K10" s="39">
        <f>COUNTIF(Vertices[Betweenness Centrality],"&gt;= "&amp;J10)-COUNTIF(Vertices[Betweenness Centrality],"&gt;="&amp;J11)</f>
        <v>0</v>
      </c>
      <c r="L10" s="38">
        <f t="shared" si="5"/>
        <v>0.463019294117647</v>
      </c>
      <c r="M10" s="39">
        <f>COUNTIF(Vertices[Closeness Centrality],"&gt;= "&amp;L10)-COUNTIF(Vertices[Closeness Centrality],"&gt;="&amp;L11)</f>
        <v>398</v>
      </c>
      <c r="N10" s="38">
        <f t="shared" si="6"/>
        <v>0.16875652941176472</v>
      </c>
      <c r="O10" s="39">
        <f>COUNTIF(Vertices[Eigenvector Centrality],"&gt;= "&amp;N10)-COUNTIF(Vertices[Eigenvector Centrality],"&gt;="&amp;N11)</f>
        <v>0</v>
      </c>
      <c r="P10" s="38">
        <f t="shared" si="7"/>
        <v>0.028317823529411763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107.73529411764706</v>
      </c>
      <c r="G11" s="41">
        <f>COUNTIF(Vertices[In-Degree],"&gt;= "&amp;F11)-COUNTIF(Vertices[In-Degree],"&gt;="&amp;F12)</f>
        <v>0</v>
      </c>
      <c r="H11" s="40">
        <f t="shared" si="3"/>
        <v>2.058823529411765</v>
      </c>
      <c r="I11" s="41">
        <f>COUNTIF(Vertices[Out-Degree],"&gt;= "&amp;H11)-COUNTIF(Vertices[Out-Degree],"&gt;="&amp;H12)</f>
        <v>0</v>
      </c>
      <c r="J11" s="40">
        <f t="shared" si="4"/>
        <v>52926.75</v>
      </c>
      <c r="K11" s="41">
        <f>COUNTIF(Vertices[Betweenness Centrality],"&gt;= "&amp;J11)-COUNTIF(Vertices[Betweenness Centrality],"&gt;="&amp;J12)</f>
        <v>0</v>
      </c>
      <c r="L11" s="40">
        <f t="shared" si="5"/>
        <v>0.48037570588235284</v>
      </c>
      <c r="M11" s="41">
        <f>COUNTIF(Vertices[Closeness Centrality],"&gt;= "&amp;L11)-COUNTIF(Vertices[Closeness Centrality],"&gt;="&amp;L12)</f>
        <v>8</v>
      </c>
      <c r="N11" s="40">
        <f t="shared" si="6"/>
        <v>0.18964297058823532</v>
      </c>
      <c r="O11" s="41">
        <f>COUNTIF(Vertices[Eigenvector Centrality],"&gt;= "&amp;N11)-COUNTIF(Vertices[Eigenvector Centrality],"&gt;="&amp;N12)</f>
        <v>0</v>
      </c>
      <c r="P11" s="40">
        <f t="shared" si="7"/>
        <v>0.03161567647058823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119.70588235294117</v>
      </c>
      <c r="G12" s="39">
        <f>COUNTIF(Vertices[In-Degree],"&gt;= "&amp;F12)-COUNTIF(Vertices[In-Degree],"&gt;="&amp;F13)</f>
        <v>0</v>
      </c>
      <c r="H12" s="38">
        <f t="shared" si="3"/>
        <v>2.1764705882352944</v>
      </c>
      <c r="I12" s="39">
        <f>COUNTIF(Vertices[Out-Degree],"&gt;= "&amp;H12)-COUNTIF(Vertices[Out-Degree],"&gt;="&amp;H13)</f>
        <v>0</v>
      </c>
      <c r="J12" s="38">
        <f t="shared" si="4"/>
        <v>58807.5</v>
      </c>
      <c r="K12" s="39">
        <f>COUNTIF(Vertices[Betweenness Centrality],"&gt;= "&amp;J12)-COUNTIF(Vertices[Betweenness Centrality],"&gt;="&amp;J13)</f>
        <v>0</v>
      </c>
      <c r="L12" s="38">
        <f t="shared" si="5"/>
        <v>0.4977321176470587</v>
      </c>
      <c r="M12" s="39">
        <f>COUNTIF(Vertices[Closeness Centrality],"&gt;= "&amp;L12)-COUNTIF(Vertices[Closeness Centrality],"&gt;="&amp;L13)</f>
        <v>0</v>
      </c>
      <c r="N12" s="38">
        <f t="shared" si="6"/>
        <v>0.2105294117647059</v>
      </c>
      <c r="O12" s="39">
        <f>COUNTIF(Vertices[Eigenvector Centrality],"&gt;= "&amp;N12)-COUNTIF(Vertices[Eigenvector Centrality],"&gt;="&amp;N13)</f>
        <v>0</v>
      </c>
      <c r="P12" s="38">
        <f t="shared" si="7"/>
        <v>0.034913529411764704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131.6764705882353</v>
      </c>
      <c r="G13" s="41">
        <f>COUNTIF(Vertices[In-Degree],"&gt;= "&amp;F13)-COUNTIF(Vertices[In-Degree],"&gt;="&amp;F14)</f>
        <v>0</v>
      </c>
      <c r="H13" s="40">
        <f t="shared" si="3"/>
        <v>2.294117647058824</v>
      </c>
      <c r="I13" s="41">
        <f>COUNTIF(Vertices[Out-Degree],"&gt;= "&amp;H13)-COUNTIF(Vertices[Out-Degree],"&gt;="&amp;H14)</f>
        <v>0</v>
      </c>
      <c r="J13" s="40">
        <f t="shared" si="4"/>
        <v>64688.25</v>
      </c>
      <c r="K13" s="41">
        <f>COUNTIF(Vertices[Betweenness Centrality],"&gt;= "&amp;J13)-COUNTIF(Vertices[Betweenness Centrality],"&gt;="&amp;J14)</f>
        <v>0</v>
      </c>
      <c r="L13" s="40">
        <f t="shared" si="5"/>
        <v>0.5150885294117646</v>
      </c>
      <c r="M13" s="41">
        <f>COUNTIF(Vertices[Closeness Centrality],"&gt;= "&amp;L13)-COUNTIF(Vertices[Closeness Centrality],"&gt;="&amp;L14)</f>
        <v>0</v>
      </c>
      <c r="N13" s="40">
        <f t="shared" si="6"/>
        <v>0.2314158529411765</v>
      </c>
      <c r="O13" s="41">
        <f>COUNTIF(Vertices[Eigenvector Centrality],"&gt;= "&amp;N13)-COUNTIF(Vertices[Eigenvector Centrality],"&gt;="&amp;N14)</f>
        <v>0</v>
      </c>
      <c r="P13" s="40">
        <f t="shared" si="7"/>
        <v>0.03821138235294118</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116"/>
      <c r="B14" s="116"/>
      <c r="D14" s="33">
        <f t="shared" si="1"/>
        <v>0</v>
      </c>
      <c r="E14" s="3">
        <f>COUNTIF(Vertices[Degree],"&gt;= "&amp;D14)-COUNTIF(Vertices[Degree],"&gt;="&amp;D15)</f>
        <v>0</v>
      </c>
      <c r="F14" s="38">
        <f t="shared" si="2"/>
        <v>143.64705882352942</v>
      </c>
      <c r="G14" s="39">
        <f>COUNTIF(Vertices[In-Degree],"&gt;= "&amp;F14)-COUNTIF(Vertices[In-Degree],"&gt;="&amp;F15)</f>
        <v>0</v>
      </c>
      <c r="H14" s="38">
        <f t="shared" si="3"/>
        <v>2.4117647058823533</v>
      </c>
      <c r="I14" s="39">
        <f>COUNTIF(Vertices[Out-Degree],"&gt;= "&amp;H14)-COUNTIF(Vertices[Out-Degree],"&gt;="&amp;H15)</f>
        <v>0</v>
      </c>
      <c r="J14" s="38">
        <f t="shared" si="4"/>
        <v>70569</v>
      </c>
      <c r="K14" s="39">
        <f>COUNTIF(Vertices[Betweenness Centrality],"&gt;= "&amp;J14)-COUNTIF(Vertices[Betweenness Centrality],"&gt;="&amp;J15)</f>
        <v>0</v>
      </c>
      <c r="L14" s="38">
        <f t="shared" si="5"/>
        <v>0.5324449411764706</v>
      </c>
      <c r="M14" s="39">
        <f>COUNTIF(Vertices[Closeness Centrality],"&gt;= "&amp;L14)-COUNTIF(Vertices[Closeness Centrality],"&gt;="&amp;L15)</f>
        <v>0</v>
      </c>
      <c r="N14" s="38">
        <f t="shared" si="6"/>
        <v>0.2523022941176471</v>
      </c>
      <c r="O14" s="39">
        <f>COUNTIF(Vertices[Eigenvector Centrality],"&gt;= "&amp;N14)-COUNTIF(Vertices[Eigenvector Centrality],"&gt;="&amp;N15)</f>
        <v>0</v>
      </c>
      <c r="P14" s="38">
        <f t="shared" si="7"/>
        <v>0.04150923529411765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155.61764705882354</v>
      </c>
      <c r="G15" s="41">
        <f>COUNTIF(Vertices[In-Degree],"&gt;= "&amp;F15)-COUNTIF(Vertices[In-Degree],"&gt;="&amp;F16)</f>
        <v>0</v>
      </c>
      <c r="H15" s="40">
        <f t="shared" si="3"/>
        <v>2.5294117647058827</v>
      </c>
      <c r="I15" s="41">
        <f>COUNTIF(Vertices[Out-Degree],"&gt;= "&amp;H15)-COUNTIF(Vertices[Out-Degree],"&gt;="&amp;H16)</f>
        <v>0</v>
      </c>
      <c r="J15" s="40">
        <f t="shared" si="4"/>
        <v>76449.75</v>
      </c>
      <c r="K15" s="41">
        <f>COUNTIF(Vertices[Betweenness Centrality],"&gt;= "&amp;J15)-COUNTIF(Vertices[Betweenness Centrality],"&gt;="&amp;J16)</f>
        <v>0</v>
      </c>
      <c r="L15" s="40">
        <f t="shared" si="5"/>
        <v>0.5498013529411765</v>
      </c>
      <c r="M15" s="41">
        <f>COUNTIF(Vertices[Closeness Centrality],"&gt;= "&amp;L15)-COUNTIF(Vertices[Closeness Centrality],"&gt;="&amp;L16)</f>
        <v>0</v>
      </c>
      <c r="N15" s="40">
        <f t="shared" si="6"/>
        <v>0.2731887352941177</v>
      </c>
      <c r="O15" s="41">
        <f>COUNTIF(Vertices[Eigenvector Centrality],"&gt;= "&amp;N15)-COUNTIF(Vertices[Eigenvector Centrality],"&gt;="&amp;N16)</f>
        <v>0</v>
      </c>
      <c r="P15" s="40">
        <f t="shared" si="7"/>
        <v>0.044807088235294126</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167.58823529411765</v>
      </c>
      <c r="G16" s="39">
        <f>COUNTIF(Vertices[In-Degree],"&gt;= "&amp;F16)-COUNTIF(Vertices[In-Degree],"&gt;="&amp;F17)</f>
        <v>0</v>
      </c>
      <c r="H16" s="38">
        <f t="shared" si="3"/>
        <v>2.647058823529412</v>
      </c>
      <c r="I16" s="39">
        <f>COUNTIF(Vertices[Out-Degree],"&gt;= "&amp;H16)-COUNTIF(Vertices[Out-Degree],"&gt;="&amp;H17)</f>
        <v>0</v>
      </c>
      <c r="J16" s="38">
        <f t="shared" si="4"/>
        <v>82330.5</v>
      </c>
      <c r="K16" s="39">
        <f>COUNTIF(Vertices[Betweenness Centrality],"&gt;= "&amp;J16)-COUNTIF(Vertices[Betweenness Centrality],"&gt;="&amp;J17)</f>
        <v>0</v>
      </c>
      <c r="L16" s="38">
        <f t="shared" si="5"/>
        <v>0.5671577647058824</v>
      </c>
      <c r="M16" s="39">
        <f>COUNTIF(Vertices[Closeness Centrality],"&gt;= "&amp;L16)-COUNTIF(Vertices[Closeness Centrality],"&gt;="&amp;L17)</f>
        <v>0</v>
      </c>
      <c r="N16" s="38">
        <f t="shared" si="6"/>
        <v>0.2940751764705883</v>
      </c>
      <c r="O16" s="39">
        <f>COUNTIF(Vertices[Eigenvector Centrality],"&gt;= "&amp;N16)-COUNTIF(Vertices[Eigenvector Centrality],"&gt;="&amp;N17)</f>
        <v>0</v>
      </c>
      <c r="P16" s="38">
        <f t="shared" si="7"/>
        <v>0.0481049411764706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449</v>
      </c>
      <c r="D17" s="33">
        <f t="shared" si="1"/>
        <v>0</v>
      </c>
      <c r="E17" s="3">
        <f>COUNTIF(Vertices[Degree],"&gt;= "&amp;D17)-COUNTIF(Vertices[Degree],"&gt;="&amp;D18)</f>
        <v>0</v>
      </c>
      <c r="F17" s="40">
        <f t="shared" si="2"/>
        <v>179.55882352941177</v>
      </c>
      <c r="G17" s="41">
        <f>COUNTIF(Vertices[In-Degree],"&gt;= "&amp;F17)-COUNTIF(Vertices[In-Degree],"&gt;="&amp;F18)</f>
        <v>0</v>
      </c>
      <c r="H17" s="40">
        <f t="shared" si="3"/>
        <v>2.7647058823529416</v>
      </c>
      <c r="I17" s="41">
        <f>COUNTIF(Vertices[Out-Degree],"&gt;= "&amp;H17)-COUNTIF(Vertices[Out-Degree],"&gt;="&amp;H18)</f>
        <v>0</v>
      </c>
      <c r="J17" s="40">
        <f t="shared" si="4"/>
        <v>88211.25</v>
      </c>
      <c r="K17" s="41">
        <f>COUNTIF(Vertices[Betweenness Centrality],"&gt;= "&amp;J17)-COUNTIF(Vertices[Betweenness Centrality],"&gt;="&amp;J18)</f>
        <v>0</v>
      </c>
      <c r="L17" s="40">
        <f t="shared" si="5"/>
        <v>0.5845141764705883</v>
      </c>
      <c r="M17" s="41">
        <f>COUNTIF(Vertices[Closeness Centrality],"&gt;= "&amp;L17)-COUNTIF(Vertices[Closeness Centrality],"&gt;="&amp;L18)</f>
        <v>0</v>
      </c>
      <c r="N17" s="40">
        <f t="shared" si="6"/>
        <v>0.3149616176470589</v>
      </c>
      <c r="O17" s="41">
        <f>COUNTIF(Vertices[Eigenvector Centrality],"&gt;= "&amp;N17)-COUNTIF(Vertices[Eigenvector Centrality],"&gt;="&amp;N18)</f>
        <v>0</v>
      </c>
      <c r="P17" s="40">
        <f t="shared" si="7"/>
        <v>0.051402794117647074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621</v>
      </c>
      <c r="D18" s="33">
        <f t="shared" si="1"/>
        <v>0</v>
      </c>
      <c r="E18" s="3">
        <f>COUNTIF(Vertices[Degree],"&gt;= "&amp;D18)-COUNTIF(Vertices[Degree],"&gt;="&amp;D19)</f>
        <v>0</v>
      </c>
      <c r="F18" s="38">
        <f t="shared" si="2"/>
        <v>191.52941176470588</v>
      </c>
      <c r="G18" s="39">
        <f>COUNTIF(Vertices[In-Degree],"&gt;= "&amp;F18)-COUNTIF(Vertices[In-Degree],"&gt;="&amp;F19)</f>
        <v>0</v>
      </c>
      <c r="H18" s="38">
        <f t="shared" si="3"/>
        <v>2.882352941176471</v>
      </c>
      <c r="I18" s="39">
        <f>COUNTIF(Vertices[Out-Degree],"&gt;= "&amp;H18)-COUNTIF(Vertices[Out-Degree],"&gt;="&amp;H19)</f>
        <v>0</v>
      </c>
      <c r="J18" s="38">
        <f t="shared" si="4"/>
        <v>94092</v>
      </c>
      <c r="K18" s="39">
        <f>COUNTIF(Vertices[Betweenness Centrality],"&gt;= "&amp;J18)-COUNTIF(Vertices[Betweenness Centrality],"&gt;="&amp;J19)</f>
        <v>0</v>
      </c>
      <c r="L18" s="38">
        <f t="shared" si="5"/>
        <v>0.6018705882352943</v>
      </c>
      <c r="M18" s="39">
        <f>COUNTIF(Vertices[Closeness Centrality],"&gt;= "&amp;L18)-COUNTIF(Vertices[Closeness Centrality],"&gt;="&amp;L19)</f>
        <v>0</v>
      </c>
      <c r="N18" s="38">
        <f t="shared" si="6"/>
        <v>0.33584805882352947</v>
      </c>
      <c r="O18" s="39">
        <f>COUNTIF(Vertices[Eigenvector Centrality],"&gt;= "&amp;N18)-COUNTIF(Vertices[Eigenvector Centrality],"&gt;="&amp;N19)</f>
        <v>0</v>
      </c>
      <c r="P18" s="38">
        <f t="shared" si="7"/>
        <v>0.05470064705882355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203.5</v>
      </c>
      <c r="G19" s="41">
        <f>COUNTIF(Vertices[In-Degree],"&gt;= "&amp;F19)-COUNTIF(Vertices[In-Degree],"&gt;="&amp;F20)</f>
        <v>0</v>
      </c>
      <c r="H19" s="40">
        <f t="shared" si="3"/>
        <v>3.0000000000000004</v>
      </c>
      <c r="I19" s="41">
        <f>COUNTIF(Vertices[Out-Degree],"&gt;= "&amp;H19)-COUNTIF(Vertices[Out-Degree],"&gt;="&amp;H20)</f>
        <v>2</v>
      </c>
      <c r="J19" s="40">
        <f t="shared" si="4"/>
        <v>99972.75</v>
      </c>
      <c r="K19" s="41">
        <f>COUNTIF(Vertices[Betweenness Centrality],"&gt;= "&amp;J19)-COUNTIF(Vertices[Betweenness Centrality],"&gt;="&amp;J20)</f>
        <v>0</v>
      </c>
      <c r="L19" s="40">
        <f t="shared" si="5"/>
        <v>0.6192270000000002</v>
      </c>
      <c r="M19" s="41">
        <f>COUNTIF(Vertices[Closeness Centrality],"&gt;= "&amp;L19)-COUNTIF(Vertices[Closeness Centrality],"&gt;="&amp;L20)</f>
        <v>0</v>
      </c>
      <c r="N19" s="40">
        <f t="shared" si="6"/>
        <v>0.35673450000000007</v>
      </c>
      <c r="O19" s="41">
        <f>COUNTIF(Vertices[Eigenvector Centrality],"&gt;= "&amp;N19)-COUNTIF(Vertices[Eigenvector Centrality],"&gt;="&amp;N20)</f>
        <v>0</v>
      </c>
      <c r="P19" s="40">
        <f t="shared" si="7"/>
        <v>0.05799850000000002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215.47058823529412</v>
      </c>
      <c r="G20" s="39">
        <f>COUNTIF(Vertices[In-Degree],"&gt;= "&amp;F20)-COUNTIF(Vertices[In-Degree],"&gt;="&amp;F21)</f>
        <v>0</v>
      </c>
      <c r="H20" s="38">
        <f t="shared" si="3"/>
        <v>3.11764705882353</v>
      </c>
      <c r="I20" s="39">
        <f>COUNTIF(Vertices[Out-Degree],"&gt;= "&amp;H20)-COUNTIF(Vertices[Out-Degree],"&gt;="&amp;H21)</f>
        <v>0</v>
      </c>
      <c r="J20" s="38">
        <f t="shared" si="4"/>
        <v>105853.5</v>
      </c>
      <c r="K20" s="39">
        <f>COUNTIF(Vertices[Betweenness Centrality],"&gt;= "&amp;J20)-COUNTIF(Vertices[Betweenness Centrality],"&gt;="&amp;J21)</f>
        <v>0</v>
      </c>
      <c r="L20" s="38">
        <f t="shared" si="5"/>
        <v>0.6365834117647061</v>
      </c>
      <c r="M20" s="39">
        <f>COUNTIF(Vertices[Closeness Centrality],"&gt;= "&amp;L20)-COUNTIF(Vertices[Closeness Centrality],"&gt;="&amp;L21)</f>
        <v>0</v>
      </c>
      <c r="N20" s="38">
        <f t="shared" si="6"/>
        <v>0.37762094117647066</v>
      </c>
      <c r="O20" s="39">
        <f>COUNTIF(Vertices[Eigenvector Centrality],"&gt;= "&amp;N20)-COUNTIF(Vertices[Eigenvector Centrality],"&gt;="&amp;N21)</f>
        <v>0</v>
      </c>
      <c r="P20" s="38">
        <f t="shared" si="7"/>
        <v>0.061296352941176496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2.175386</v>
      </c>
      <c r="D21" s="33">
        <f t="shared" si="1"/>
        <v>0</v>
      </c>
      <c r="E21" s="3">
        <f>COUNTIF(Vertices[Degree],"&gt;= "&amp;D21)-COUNTIF(Vertices[Degree],"&gt;="&amp;D22)</f>
        <v>0</v>
      </c>
      <c r="F21" s="40">
        <f t="shared" si="2"/>
        <v>227.44117647058823</v>
      </c>
      <c r="G21" s="41">
        <f>COUNTIF(Vertices[In-Degree],"&gt;= "&amp;F21)-COUNTIF(Vertices[In-Degree],"&gt;="&amp;F22)</f>
        <v>0</v>
      </c>
      <c r="H21" s="40">
        <f t="shared" si="3"/>
        <v>3.2352941176470593</v>
      </c>
      <c r="I21" s="41">
        <f>COUNTIF(Vertices[Out-Degree],"&gt;= "&amp;H21)-COUNTIF(Vertices[Out-Degree],"&gt;="&amp;H22)</f>
        <v>0</v>
      </c>
      <c r="J21" s="40">
        <f t="shared" si="4"/>
        <v>111734.25</v>
      </c>
      <c r="K21" s="41">
        <f>COUNTIF(Vertices[Betweenness Centrality],"&gt;= "&amp;J21)-COUNTIF(Vertices[Betweenness Centrality],"&gt;="&amp;J22)</f>
        <v>0</v>
      </c>
      <c r="L21" s="40">
        <f t="shared" si="5"/>
        <v>0.653939823529412</v>
      </c>
      <c r="M21" s="41">
        <f>COUNTIF(Vertices[Closeness Centrality],"&gt;= "&amp;L21)-COUNTIF(Vertices[Closeness Centrality],"&gt;="&amp;L22)</f>
        <v>0</v>
      </c>
      <c r="N21" s="40">
        <f t="shared" si="6"/>
        <v>0.39850738235294125</v>
      </c>
      <c r="O21" s="41">
        <f>COUNTIF(Vertices[Eigenvector Centrality],"&gt;= "&amp;N21)-COUNTIF(Vertices[Eigenvector Centrality],"&gt;="&amp;N22)</f>
        <v>0</v>
      </c>
      <c r="P21" s="40">
        <f t="shared" si="7"/>
        <v>0.06459420588235297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239.41176470588235</v>
      </c>
      <c r="G22" s="39">
        <f>COUNTIF(Vertices[In-Degree],"&gt;= "&amp;F22)-COUNTIF(Vertices[In-Degree],"&gt;="&amp;F23)</f>
        <v>0</v>
      </c>
      <c r="H22" s="38">
        <f t="shared" si="3"/>
        <v>3.3529411764705888</v>
      </c>
      <c r="I22" s="39">
        <f>COUNTIF(Vertices[Out-Degree],"&gt;= "&amp;H22)-COUNTIF(Vertices[Out-Degree],"&gt;="&amp;H23)</f>
        <v>0</v>
      </c>
      <c r="J22" s="38">
        <f t="shared" si="4"/>
        <v>117615</v>
      </c>
      <c r="K22" s="39">
        <f>COUNTIF(Vertices[Betweenness Centrality],"&gt;= "&amp;J22)-COUNTIF(Vertices[Betweenness Centrality],"&gt;="&amp;J23)</f>
        <v>0</v>
      </c>
      <c r="L22" s="38">
        <f t="shared" si="5"/>
        <v>0.671296235294118</v>
      </c>
      <c r="M22" s="39">
        <f>COUNTIF(Vertices[Closeness Centrality],"&gt;= "&amp;L22)-COUNTIF(Vertices[Closeness Centrality],"&gt;="&amp;L23)</f>
        <v>0</v>
      </c>
      <c r="N22" s="38">
        <f t="shared" si="6"/>
        <v>0.41939382352941185</v>
      </c>
      <c r="O22" s="39">
        <f>COUNTIF(Vertices[Eigenvector Centrality],"&gt;= "&amp;N22)-COUNTIF(Vertices[Eigenvector Centrality],"&gt;="&amp;N23)</f>
        <v>0</v>
      </c>
      <c r="P22" s="38">
        <f t="shared" si="7"/>
        <v>0.06789205882352944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0.0023067133312122175</v>
      </c>
      <c r="D23" s="33">
        <f t="shared" si="1"/>
        <v>0</v>
      </c>
      <c r="E23" s="3">
        <f>COUNTIF(Vertices[Degree],"&gt;= "&amp;D23)-COUNTIF(Vertices[Degree],"&gt;="&amp;D24)</f>
        <v>0</v>
      </c>
      <c r="F23" s="40">
        <f t="shared" si="2"/>
        <v>251.38235294117646</v>
      </c>
      <c r="G23" s="41">
        <f>COUNTIF(Vertices[In-Degree],"&gt;= "&amp;F23)-COUNTIF(Vertices[In-Degree],"&gt;="&amp;F24)</f>
        <v>0</v>
      </c>
      <c r="H23" s="40">
        <f t="shared" si="3"/>
        <v>3.470588235294118</v>
      </c>
      <c r="I23" s="41">
        <f>COUNTIF(Vertices[Out-Degree],"&gt;= "&amp;H23)-COUNTIF(Vertices[Out-Degree],"&gt;="&amp;H24)</f>
        <v>0</v>
      </c>
      <c r="J23" s="40">
        <f t="shared" si="4"/>
        <v>123495.75</v>
      </c>
      <c r="K23" s="41">
        <f>COUNTIF(Vertices[Betweenness Centrality],"&gt;= "&amp;J23)-COUNTIF(Vertices[Betweenness Centrality],"&gt;="&amp;J24)</f>
        <v>0</v>
      </c>
      <c r="L23" s="40">
        <f t="shared" si="5"/>
        <v>0.6886526470588239</v>
      </c>
      <c r="M23" s="41">
        <f>COUNTIF(Vertices[Closeness Centrality],"&gt;= "&amp;L23)-COUNTIF(Vertices[Closeness Centrality],"&gt;="&amp;L24)</f>
        <v>0</v>
      </c>
      <c r="N23" s="40">
        <f t="shared" si="6"/>
        <v>0.44028026470588244</v>
      </c>
      <c r="O23" s="41">
        <f>COUNTIF(Vertices[Eigenvector Centrality],"&gt;= "&amp;N23)-COUNTIF(Vertices[Eigenvector Centrality],"&gt;="&amp;N24)</f>
        <v>0</v>
      </c>
      <c r="P23" s="40">
        <f t="shared" si="7"/>
        <v>0.07118991176470592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3203</v>
      </c>
      <c r="B24" s="35">
        <v>0.303309</v>
      </c>
      <c r="D24" s="33">
        <f t="shared" si="1"/>
        <v>0</v>
      </c>
      <c r="E24" s="3">
        <f>COUNTIF(Vertices[Degree],"&gt;= "&amp;D24)-COUNTIF(Vertices[Degree],"&gt;="&amp;D25)</f>
        <v>0</v>
      </c>
      <c r="F24" s="38">
        <f t="shared" si="2"/>
        <v>263.3529411764706</v>
      </c>
      <c r="G24" s="39">
        <f>COUNTIF(Vertices[In-Degree],"&gt;= "&amp;F24)-COUNTIF(Vertices[In-Degree],"&gt;="&amp;F25)</f>
        <v>0</v>
      </c>
      <c r="H24" s="38">
        <f t="shared" si="3"/>
        <v>3.5882352941176476</v>
      </c>
      <c r="I24" s="39">
        <f>COUNTIF(Vertices[Out-Degree],"&gt;= "&amp;H24)-COUNTIF(Vertices[Out-Degree],"&gt;="&amp;H25)</f>
        <v>0</v>
      </c>
      <c r="J24" s="38">
        <f t="shared" si="4"/>
        <v>129376.5</v>
      </c>
      <c r="K24" s="39">
        <f>COUNTIF(Vertices[Betweenness Centrality],"&gt;= "&amp;J24)-COUNTIF(Vertices[Betweenness Centrality],"&gt;="&amp;J25)</f>
        <v>0</v>
      </c>
      <c r="L24" s="38">
        <f t="shared" si="5"/>
        <v>0.7060090588235298</v>
      </c>
      <c r="M24" s="39">
        <f>COUNTIF(Vertices[Closeness Centrality],"&gt;= "&amp;L24)-COUNTIF(Vertices[Closeness Centrality],"&gt;="&amp;L25)</f>
        <v>0</v>
      </c>
      <c r="N24" s="38">
        <f t="shared" si="6"/>
        <v>0.46116670588235303</v>
      </c>
      <c r="O24" s="39">
        <f>COUNTIF(Vertices[Eigenvector Centrality],"&gt;= "&amp;N24)-COUNTIF(Vertices[Eigenvector Centrality],"&gt;="&amp;N25)</f>
        <v>0</v>
      </c>
      <c r="P24" s="38">
        <f t="shared" si="7"/>
        <v>0.07448776470588239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116"/>
      <c r="B25" s="116"/>
      <c r="D25" s="33">
        <f t="shared" si="1"/>
        <v>0</v>
      </c>
      <c r="E25" s="3">
        <f>COUNTIF(Vertices[Degree],"&gt;= "&amp;D25)-COUNTIF(Vertices[Degree],"&gt;="&amp;D26)</f>
        <v>0</v>
      </c>
      <c r="F25" s="40">
        <f t="shared" si="2"/>
        <v>275.32352941176475</v>
      </c>
      <c r="G25" s="41">
        <f>COUNTIF(Vertices[In-Degree],"&gt;= "&amp;F25)-COUNTIF(Vertices[In-Degree],"&gt;="&amp;F26)</f>
        <v>0</v>
      </c>
      <c r="H25" s="40">
        <f t="shared" si="3"/>
        <v>3.705882352941177</v>
      </c>
      <c r="I25" s="41">
        <f>COUNTIF(Vertices[Out-Degree],"&gt;= "&amp;H25)-COUNTIF(Vertices[Out-Degree],"&gt;="&amp;H26)</f>
        <v>0</v>
      </c>
      <c r="J25" s="40">
        <f t="shared" si="4"/>
        <v>135257.25</v>
      </c>
      <c r="K25" s="41">
        <f>COUNTIF(Vertices[Betweenness Centrality],"&gt;= "&amp;J25)-COUNTIF(Vertices[Betweenness Centrality],"&gt;="&amp;J26)</f>
        <v>0</v>
      </c>
      <c r="L25" s="40">
        <f t="shared" si="5"/>
        <v>0.7233654705882357</v>
      </c>
      <c r="M25" s="41">
        <f>COUNTIF(Vertices[Closeness Centrality],"&gt;= "&amp;L25)-COUNTIF(Vertices[Closeness Centrality],"&gt;="&amp;L26)</f>
        <v>0</v>
      </c>
      <c r="N25" s="40">
        <f t="shared" si="6"/>
        <v>0.48205314705882363</v>
      </c>
      <c r="O25" s="41">
        <f>COUNTIF(Vertices[Eigenvector Centrality],"&gt;= "&amp;N25)-COUNTIF(Vertices[Eigenvector Centrality],"&gt;="&amp;N26)</f>
        <v>0</v>
      </c>
      <c r="P25" s="40">
        <f t="shared" si="7"/>
        <v>0.07778561764705887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3204</v>
      </c>
      <c r="B26" s="35" t="s">
        <v>3219</v>
      </c>
      <c r="D26" s="33">
        <f t="shared" si="1"/>
        <v>0</v>
      </c>
      <c r="E26" s="3">
        <f>COUNTIF(Vertices[Degree],"&gt;= "&amp;D26)-COUNTIF(Vertices[Degree],"&gt;="&amp;D27)</f>
        <v>0</v>
      </c>
      <c r="F26" s="38">
        <f t="shared" si="2"/>
        <v>287.2941176470589</v>
      </c>
      <c r="G26" s="39">
        <f>COUNTIF(Vertices[In-Degree],"&gt;= "&amp;F26)-COUNTIF(Vertices[In-Degree],"&gt;="&amp;F27)</f>
        <v>0</v>
      </c>
      <c r="H26" s="38">
        <f t="shared" si="3"/>
        <v>3.8235294117647065</v>
      </c>
      <c r="I26" s="39">
        <f>COUNTIF(Vertices[Out-Degree],"&gt;= "&amp;H26)-COUNTIF(Vertices[Out-Degree],"&gt;="&amp;H27)</f>
        <v>0</v>
      </c>
      <c r="J26" s="38">
        <f t="shared" si="4"/>
        <v>141138</v>
      </c>
      <c r="K26" s="39">
        <f>COUNTIF(Vertices[Betweenness Centrality],"&gt;= "&amp;J26)-COUNTIF(Vertices[Betweenness Centrality],"&gt;="&amp;J27)</f>
        <v>0</v>
      </c>
      <c r="L26" s="38">
        <f t="shared" si="5"/>
        <v>0.7407218823529417</v>
      </c>
      <c r="M26" s="39">
        <f>COUNTIF(Vertices[Closeness Centrality],"&gt;= "&amp;L26)-COUNTIF(Vertices[Closeness Centrality],"&gt;="&amp;L27)</f>
        <v>0</v>
      </c>
      <c r="N26" s="38">
        <f t="shared" si="6"/>
        <v>0.5029395882352942</v>
      </c>
      <c r="O26" s="39">
        <f>COUNTIF(Vertices[Eigenvector Centrality],"&gt;= "&amp;N26)-COUNTIF(Vertices[Eigenvector Centrality],"&gt;="&amp;N27)</f>
        <v>0</v>
      </c>
      <c r="P26" s="38">
        <f t="shared" si="7"/>
        <v>0.08108347058823534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299.26470588235304</v>
      </c>
      <c r="G27" s="41">
        <f>COUNTIF(Vertices[In-Degree],"&gt;= "&amp;F27)-COUNTIF(Vertices[In-Degree],"&gt;="&amp;F28)</f>
        <v>0</v>
      </c>
      <c r="H27" s="40">
        <f t="shared" si="3"/>
        <v>3.941176470588236</v>
      </c>
      <c r="I27" s="41">
        <f>COUNTIF(Vertices[Out-Degree],"&gt;= "&amp;H27)-COUNTIF(Vertices[Out-Degree],"&gt;="&amp;H28)</f>
        <v>0</v>
      </c>
      <c r="J27" s="40">
        <f t="shared" si="4"/>
        <v>147018.75</v>
      </c>
      <c r="K27" s="41">
        <f>COUNTIF(Vertices[Betweenness Centrality],"&gt;= "&amp;J27)-COUNTIF(Vertices[Betweenness Centrality],"&gt;="&amp;J28)</f>
        <v>0</v>
      </c>
      <c r="L27" s="40">
        <f t="shared" si="5"/>
        <v>0.7580782941176476</v>
      </c>
      <c r="M27" s="41">
        <f>COUNTIF(Vertices[Closeness Centrality],"&gt;= "&amp;L27)-COUNTIF(Vertices[Closeness Centrality],"&gt;="&amp;L28)</f>
        <v>0</v>
      </c>
      <c r="N27" s="40">
        <f t="shared" si="6"/>
        <v>0.5238260294117647</v>
      </c>
      <c r="O27" s="41">
        <f>COUNTIF(Vertices[Eigenvector Centrality],"&gt;= "&amp;N27)-COUNTIF(Vertices[Eigenvector Centrality],"&gt;="&amp;N28)</f>
        <v>0</v>
      </c>
      <c r="P27" s="40">
        <f t="shared" si="7"/>
        <v>0.08438132352941181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3205</v>
      </c>
      <c r="B28" s="35" t="s">
        <v>4541</v>
      </c>
      <c r="D28" s="33">
        <f t="shared" si="1"/>
        <v>0</v>
      </c>
      <c r="E28" s="3">
        <f>COUNTIF(Vertices[Degree],"&gt;= "&amp;D28)-COUNTIF(Vertices[Degree],"&gt;="&amp;D29)</f>
        <v>0</v>
      </c>
      <c r="F28" s="38">
        <f t="shared" si="2"/>
        <v>311.2352941176472</v>
      </c>
      <c r="G28" s="39">
        <f>COUNTIF(Vertices[In-Degree],"&gt;= "&amp;F28)-COUNTIF(Vertices[In-Degree],"&gt;="&amp;F29)</f>
        <v>0</v>
      </c>
      <c r="H28" s="38">
        <f t="shared" si="3"/>
        <v>4.058823529411765</v>
      </c>
      <c r="I28" s="39">
        <f>COUNTIF(Vertices[Out-Degree],"&gt;= "&amp;H28)-COUNTIF(Vertices[Out-Degree],"&gt;="&amp;H29)</f>
        <v>0</v>
      </c>
      <c r="J28" s="38">
        <f t="shared" si="4"/>
        <v>152899.5</v>
      </c>
      <c r="K28" s="39">
        <f>COUNTIF(Vertices[Betweenness Centrality],"&gt;= "&amp;J28)-COUNTIF(Vertices[Betweenness Centrality],"&gt;="&amp;J29)</f>
        <v>0</v>
      </c>
      <c r="L28" s="38">
        <f t="shared" si="5"/>
        <v>0.7754347058823535</v>
      </c>
      <c r="M28" s="39">
        <f>COUNTIF(Vertices[Closeness Centrality],"&gt;= "&amp;L28)-COUNTIF(Vertices[Closeness Centrality],"&gt;="&amp;L29)</f>
        <v>0</v>
      </c>
      <c r="N28" s="38">
        <f t="shared" si="6"/>
        <v>0.5447124705882352</v>
      </c>
      <c r="O28" s="39">
        <f>COUNTIF(Vertices[Eigenvector Centrality],"&gt;= "&amp;N28)-COUNTIF(Vertices[Eigenvector Centrality],"&gt;="&amp;N29)</f>
        <v>0</v>
      </c>
      <c r="P28" s="38">
        <f t="shared" si="7"/>
        <v>0.08767917647058829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3206</v>
      </c>
      <c r="B29" s="35" t="s">
        <v>4542</v>
      </c>
      <c r="D29" s="33">
        <f t="shared" si="1"/>
        <v>0</v>
      </c>
      <c r="E29" s="3">
        <f>COUNTIF(Vertices[Degree],"&gt;= "&amp;D29)-COUNTIF(Vertices[Degree],"&gt;="&amp;D30)</f>
        <v>0</v>
      </c>
      <c r="F29" s="40">
        <f t="shared" si="2"/>
        <v>323.20588235294133</v>
      </c>
      <c r="G29" s="41">
        <f>COUNTIF(Vertices[In-Degree],"&gt;= "&amp;F29)-COUNTIF(Vertices[In-Degree],"&gt;="&amp;F30)</f>
        <v>0</v>
      </c>
      <c r="H29" s="40">
        <f t="shared" si="3"/>
        <v>4.176470588235294</v>
      </c>
      <c r="I29" s="41">
        <f>COUNTIF(Vertices[Out-Degree],"&gt;= "&amp;H29)-COUNTIF(Vertices[Out-Degree],"&gt;="&amp;H30)</f>
        <v>0</v>
      </c>
      <c r="J29" s="40">
        <f t="shared" si="4"/>
        <v>158780.25</v>
      </c>
      <c r="K29" s="41">
        <f>COUNTIF(Vertices[Betweenness Centrality],"&gt;= "&amp;J29)-COUNTIF(Vertices[Betweenness Centrality],"&gt;="&amp;J30)</f>
        <v>0</v>
      </c>
      <c r="L29" s="40">
        <f t="shared" si="5"/>
        <v>0.7927911176470595</v>
      </c>
      <c r="M29" s="41">
        <f>COUNTIF(Vertices[Closeness Centrality],"&gt;= "&amp;L29)-COUNTIF(Vertices[Closeness Centrality],"&gt;="&amp;L30)</f>
        <v>0</v>
      </c>
      <c r="N29" s="40">
        <f t="shared" si="6"/>
        <v>0.5655989117647058</v>
      </c>
      <c r="O29" s="41">
        <f>COUNTIF(Vertices[Eigenvector Centrality],"&gt;= "&amp;N29)-COUNTIF(Vertices[Eigenvector Centrality],"&gt;="&amp;N30)</f>
        <v>0</v>
      </c>
      <c r="P29" s="40">
        <f t="shared" si="7"/>
        <v>0.09097702941176476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335.1764705882355</v>
      </c>
      <c r="G30" s="39">
        <f>COUNTIF(Vertices[In-Degree],"&gt;= "&amp;F30)-COUNTIF(Vertices[In-Degree],"&gt;="&amp;F31)</f>
        <v>0</v>
      </c>
      <c r="H30" s="38">
        <f t="shared" si="3"/>
        <v>4.294117647058823</v>
      </c>
      <c r="I30" s="39">
        <f>COUNTIF(Vertices[Out-Degree],"&gt;= "&amp;H30)-COUNTIF(Vertices[Out-Degree],"&gt;="&amp;H31)</f>
        <v>0</v>
      </c>
      <c r="J30" s="38">
        <f t="shared" si="4"/>
        <v>164661</v>
      </c>
      <c r="K30" s="39">
        <f>COUNTIF(Vertices[Betweenness Centrality],"&gt;= "&amp;J30)-COUNTIF(Vertices[Betweenness Centrality],"&gt;="&amp;J31)</f>
        <v>0</v>
      </c>
      <c r="L30" s="38">
        <f t="shared" si="5"/>
        <v>0.8101475294117654</v>
      </c>
      <c r="M30" s="39">
        <f>COUNTIF(Vertices[Closeness Centrality],"&gt;= "&amp;L30)-COUNTIF(Vertices[Closeness Centrality],"&gt;="&amp;L31)</f>
        <v>0</v>
      </c>
      <c r="N30" s="38">
        <f t="shared" si="6"/>
        <v>0.5864853529411763</v>
      </c>
      <c r="O30" s="39">
        <f>COUNTIF(Vertices[Eigenvector Centrality],"&gt;= "&amp;N30)-COUNTIF(Vertices[Eigenvector Centrality],"&gt;="&amp;N31)</f>
        <v>0</v>
      </c>
      <c r="P30" s="38">
        <f t="shared" si="7"/>
        <v>0.09427488235294124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3207</v>
      </c>
      <c r="B31" s="35" t="s">
        <v>4536</v>
      </c>
      <c r="D31" s="33">
        <f t="shared" si="1"/>
        <v>0</v>
      </c>
      <c r="E31" s="3">
        <f>COUNTIF(Vertices[Degree],"&gt;= "&amp;D31)-COUNTIF(Vertices[Degree],"&gt;="&amp;D32)</f>
        <v>0</v>
      </c>
      <c r="F31" s="40">
        <f t="shared" si="2"/>
        <v>347.1470588235296</v>
      </c>
      <c r="G31" s="41">
        <f>COUNTIF(Vertices[In-Degree],"&gt;= "&amp;F31)-COUNTIF(Vertices[In-Degree],"&gt;="&amp;F32)</f>
        <v>0</v>
      </c>
      <c r="H31" s="40">
        <f t="shared" si="3"/>
        <v>4.411764705882352</v>
      </c>
      <c r="I31" s="41">
        <f>COUNTIF(Vertices[Out-Degree],"&gt;= "&amp;H31)-COUNTIF(Vertices[Out-Degree],"&gt;="&amp;H32)</f>
        <v>0</v>
      </c>
      <c r="J31" s="40">
        <f t="shared" si="4"/>
        <v>170541.75</v>
      </c>
      <c r="K31" s="41">
        <f>COUNTIF(Vertices[Betweenness Centrality],"&gt;= "&amp;J31)-COUNTIF(Vertices[Betweenness Centrality],"&gt;="&amp;J32)</f>
        <v>0</v>
      </c>
      <c r="L31" s="40">
        <f t="shared" si="5"/>
        <v>0.8275039411764713</v>
      </c>
      <c r="M31" s="41">
        <f>COUNTIF(Vertices[Closeness Centrality],"&gt;= "&amp;L31)-COUNTIF(Vertices[Closeness Centrality],"&gt;="&amp;L32)</f>
        <v>0</v>
      </c>
      <c r="N31" s="40">
        <f t="shared" si="6"/>
        <v>0.6073717941176469</v>
      </c>
      <c r="O31" s="41">
        <f>COUNTIF(Vertices[Eigenvector Centrality],"&gt;= "&amp;N31)-COUNTIF(Vertices[Eigenvector Centrality],"&gt;="&amp;N32)</f>
        <v>0</v>
      </c>
      <c r="P31" s="40">
        <f t="shared" si="7"/>
        <v>0.09757273529411771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3208</v>
      </c>
      <c r="B32" s="35" t="s">
        <v>4537</v>
      </c>
      <c r="D32" s="33">
        <f t="shared" si="1"/>
        <v>0</v>
      </c>
      <c r="E32" s="3">
        <f>COUNTIF(Vertices[Degree],"&gt;= "&amp;D32)-COUNTIF(Vertices[Degree],"&gt;="&amp;D33)</f>
        <v>0</v>
      </c>
      <c r="F32" s="38">
        <f t="shared" si="2"/>
        <v>359.11764705882376</v>
      </c>
      <c r="G32" s="39">
        <f>COUNTIF(Vertices[In-Degree],"&gt;= "&amp;F32)-COUNTIF(Vertices[In-Degree],"&gt;="&amp;F33)</f>
        <v>0</v>
      </c>
      <c r="H32" s="38">
        <f t="shared" si="3"/>
        <v>4.529411764705881</v>
      </c>
      <c r="I32" s="39">
        <f>COUNTIF(Vertices[Out-Degree],"&gt;= "&amp;H32)-COUNTIF(Vertices[Out-Degree],"&gt;="&amp;H33)</f>
        <v>0</v>
      </c>
      <c r="J32" s="38">
        <f t="shared" si="4"/>
        <v>176422.5</v>
      </c>
      <c r="K32" s="39">
        <f>COUNTIF(Vertices[Betweenness Centrality],"&gt;= "&amp;J32)-COUNTIF(Vertices[Betweenness Centrality],"&gt;="&amp;J33)</f>
        <v>0</v>
      </c>
      <c r="L32" s="38">
        <f t="shared" si="5"/>
        <v>0.8448603529411772</v>
      </c>
      <c r="M32" s="39">
        <f>COUNTIF(Vertices[Closeness Centrality],"&gt;= "&amp;L32)-COUNTIF(Vertices[Closeness Centrality],"&gt;="&amp;L33)</f>
        <v>0</v>
      </c>
      <c r="N32" s="38">
        <f t="shared" si="6"/>
        <v>0.6282582352941174</v>
      </c>
      <c r="O32" s="39">
        <f>COUNTIF(Vertices[Eigenvector Centrality],"&gt;= "&amp;N32)-COUNTIF(Vertices[Eigenvector Centrality],"&gt;="&amp;N33)</f>
        <v>0</v>
      </c>
      <c r="P32" s="38">
        <f t="shared" si="7"/>
        <v>0.10087058823529418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3209</v>
      </c>
      <c r="B33" s="54" t="s">
        <v>4538</v>
      </c>
      <c r="D33" s="33">
        <f t="shared" si="1"/>
        <v>0</v>
      </c>
      <c r="E33" s="3">
        <f>COUNTIF(Vertices[Degree],"&gt;= "&amp;D33)-COUNTIF(Vertices[Degree],"&gt;="&amp;D34)</f>
        <v>0</v>
      </c>
      <c r="F33" s="40">
        <f t="shared" si="2"/>
        <v>371.0882352941179</v>
      </c>
      <c r="G33" s="41">
        <f>COUNTIF(Vertices[In-Degree],"&gt;= "&amp;F33)-COUNTIF(Vertices[In-Degree],"&gt;="&amp;F34)</f>
        <v>0</v>
      </c>
      <c r="H33" s="40">
        <f t="shared" si="3"/>
        <v>4.64705882352941</v>
      </c>
      <c r="I33" s="41">
        <f>COUNTIF(Vertices[Out-Degree],"&gt;= "&amp;H33)-COUNTIF(Vertices[Out-Degree],"&gt;="&amp;H34)</f>
        <v>0</v>
      </c>
      <c r="J33" s="40">
        <f t="shared" si="4"/>
        <v>182303.25</v>
      </c>
      <c r="K33" s="41">
        <f>COUNTIF(Vertices[Betweenness Centrality],"&gt;= "&amp;J33)-COUNTIF(Vertices[Betweenness Centrality],"&gt;="&amp;J34)</f>
        <v>0</v>
      </c>
      <c r="L33" s="40">
        <f t="shared" si="5"/>
        <v>0.8622167647058832</v>
      </c>
      <c r="M33" s="41">
        <f>COUNTIF(Vertices[Closeness Centrality],"&gt;= "&amp;L33)-COUNTIF(Vertices[Closeness Centrality],"&gt;="&amp;L34)</f>
        <v>0</v>
      </c>
      <c r="N33" s="40">
        <f t="shared" si="6"/>
        <v>0.6491446764705879</v>
      </c>
      <c r="O33" s="41">
        <f>COUNTIF(Vertices[Eigenvector Centrality],"&gt;= "&amp;N33)-COUNTIF(Vertices[Eigenvector Centrality],"&gt;="&amp;N34)</f>
        <v>0</v>
      </c>
      <c r="P33" s="40">
        <f t="shared" si="7"/>
        <v>0.10416844117647066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3210</v>
      </c>
      <c r="B34" s="35" t="s">
        <v>4539</v>
      </c>
      <c r="D34" s="33">
        <f t="shared" si="1"/>
        <v>0</v>
      </c>
      <c r="E34" s="3">
        <f>COUNTIF(Vertices[Degree],"&gt;= "&amp;D34)-COUNTIF(Vertices[Degree],"&gt;="&amp;D35)</f>
        <v>0</v>
      </c>
      <c r="F34" s="38">
        <f t="shared" si="2"/>
        <v>383.05882352941205</v>
      </c>
      <c r="G34" s="39">
        <f>COUNTIF(Vertices[In-Degree],"&gt;= "&amp;F34)-COUNTIF(Vertices[In-Degree],"&gt;="&amp;F35)</f>
        <v>0</v>
      </c>
      <c r="H34" s="38">
        <f t="shared" si="3"/>
        <v>4.764705882352939</v>
      </c>
      <c r="I34" s="39">
        <f>COUNTIF(Vertices[Out-Degree],"&gt;= "&amp;H34)-COUNTIF(Vertices[Out-Degree],"&gt;="&amp;H35)</f>
        <v>0</v>
      </c>
      <c r="J34" s="38">
        <f t="shared" si="4"/>
        <v>188184</v>
      </c>
      <c r="K34" s="39">
        <f>COUNTIF(Vertices[Betweenness Centrality],"&gt;= "&amp;J34)-COUNTIF(Vertices[Betweenness Centrality],"&gt;="&amp;J35)</f>
        <v>0</v>
      </c>
      <c r="L34" s="38">
        <f t="shared" si="5"/>
        <v>0.8795731764705891</v>
      </c>
      <c r="M34" s="39">
        <f>COUNTIF(Vertices[Closeness Centrality],"&gt;= "&amp;L34)-COUNTIF(Vertices[Closeness Centrality],"&gt;="&amp;L35)</f>
        <v>0</v>
      </c>
      <c r="N34" s="38">
        <f t="shared" si="6"/>
        <v>0.6700311176470585</v>
      </c>
      <c r="O34" s="39">
        <f>COUNTIF(Vertices[Eigenvector Centrality],"&gt;= "&amp;N34)-COUNTIF(Vertices[Eigenvector Centrality],"&gt;="&amp;N35)</f>
        <v>0</v>
      </c>
      <c r="P34" s="38">
        <f t="shared" si="7"/>
        <v>0.10746629411764713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3211</v>
      </c>
      <c r="B35" s="35" t="s">
        <v>4540</v>
      </c>
      <c r="D35" s="33">
        <f t="shared" si="1"/>
        <v>0</v>
      </c>
      <c r="E35" s="3">
        <f>COUNTIF(Vertices[Degree],"&gt;= "&amp;D35)-COUNTIF(Vertices[Degree],"&gt;="&amp;D36)</f>
        <v>0</v>
      </c>
      <c r="F35" s="40">
        <f t="shared" si="2"/>
        <v>395.0294117647062</v>
      </c>
      <c r="G35" s="41">
        <f>COUNTIF(Vertices[In-Degree],"&gt;= "&amp;F35)-COUNTIF(Vertices[In-Degree],"&gt;="&amp;F36)</f>
        <v>0</v>
      </c>
      <c r="H35" s="40">
        <f t="shared" si="3"/>
        <v>4.882352941176468</v>
      </c>
      <c r="I35" s="41">
        <f>COUNTIF(Vertices[Out-Degree],"&gt;= "&amp;H35)-COUNTIF(Vertices[Out-Degree],"&gt;="&amp;H36)</f>
        <v>0</v>
      </c>
      <c r="J35" s="40">
        <f t="shared" si="4"/>
        <v>194064.75</v>
      </c>
      <c r="K35" s="41">
        <f>COUNTIF(Vertices[Betweenness Centrality],"&gt;= "&amp;J35)-COUNTIF(Vertices[Betweenness Centrality],"&gt;="&amp;J36)</f>
        <v>0</v>
      </c>
      <c r="L35" s="40">
        <f t="shared" si="5"/>
        <v>0.896929588235295</v>
      </c>
      <c r="M35" s="41">
        <f>COUNTIF(Vertices[Closeness Centrality],"&gt;= "&amp;L35)-COUNTIF(Vertices[Closeness Centrality],"&gt;="&amp;L36)</f>
        <v>0</v>
      </c>
      <c r="N35" s="40">
        <f t="shared" si="6"/>
        <v>0.690917558823529</v>
      </c>
      <c r="O35" s="41">
        <f>COUNTIF(Vertices[Eigenvector Centrality],"&gt;= "&amp;N35)-COUNTIF(Vertices[Eigenvector Centrality],"&gt;="&amp;N36)</f>
        <v>0</v>
      </c>
      <c r="P35" s="40">
        <f t="shared" si="7"/>
        <v>0.1107641470588236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3212</v>
      </c>
      <c r="B36" s="35" t="s">
        <v>2086</v>
      </c>
      <c r="D36" s="33">
        <f>MAX(Vertices[Degree])</f>
        <v>0</v>
      </c>
      <c r="E36" s="3">
        <f>COUNTIF(Vertices[Degree],"&gt;= "&amp;D36)-COUNTIF(Vertices[Degree],"&gt;="&amp;#REF!)</f>
        <v>0</v>
      </c>
      <c r="F36" s="42">
        <f>MAX(Vertices[In-Degree])</f>
        <v>407</v>
      </c>
      <c r="G36" s="43">
        <f>COUNTIF(Vertices[In-Degree],"&gt;= "&amp;F36)-COUNTIF(Vertices[In-Degree],"&gt;="&amp;#REF!)</f>
        <v>1</v>
      </c>
      <c r="H36" s="42">
        <f>MAX(Vertices[Out-Degree])</f>
        <v>5</v>
      </c>
      <c r="I36" s="43">
        <f>COUNTIF(Vertices[Out-Degree],"&gt;= "&amp;H36)-COUNTIF(Vertices[Out-Degree],"&gt;="&amp;#REF!)</f>
        <v>1</v>
      </c>
      <c r="J36" s="42">
        <f>MAX(Vertices[Betweenness Centrality])</f>
        <v>199945.5</v>
      </c>
      <c r="K36" s="43">
        <f>COUNTIF(Vertices[Betweenness Centrality],"&gt;= "&amp;J36)-COUNTIF(Vertices[Betweenness Centrality],"&gt;="&amp;#REF!)</f>
        <v>1</v>
      </c>
      <c r="L36" s="42">
        <f>MAX(Vertices[Closeness Centrality])</f>
        <v>0.914286</v>
      </c>
      <c r="M36" s="43">
        <f>COUNTIF(Vertices[Closeness Centrality],"&gt;= "&amp;L36)-COUNTIF(Vertices[Closeness Centrality],"&gt;="&amp;#REF!)</f>
        <v>1</v>
      </c>
      <c r="N36" s="42">
        <f>MAX(Vertices[Eigenvector Centrality])</f>
        <v>0.711804</v>
      </c>
      <c r="O36" s="43">
        <f>COUNTIF(Vertices[Eigenvector Centrality],"&gt;= "&amp;N36)-COUNTIF(Vertices[Eigenvector Centrality],"&gt;="&amp;#REF!)</f>
        <v>1</v>
      </c>
      <c r="P36" s="42">
        <f>MAX(Vertices[PageRank])</f>
        <v>0.114062</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3213</v>
      </c>
      <c r="B37" s="35" t="s">
        <v>2086</v>
      </c>
    </row>
    <row r="38" spans="1:2" ht="15">
      <c r="A38" s="35" t="s">
        <v>3214</v>
      </c>
      <c r="B38" s="35" t="s">
        <v>2086</v>
      </c>
    </row>
    <row r="39" spans="1:2" ht="15">
      <c r="A39" s="35" t="s">
        <v>3215</v>
      </c>
      <c r="B39" s="35"/>
    </row>
    <row r="40" spans="1:2" ht="15">
      <c r="A40" s="35" t="s">
        <v>21</v>
      </c>
      <c r="B40" s="35"/>
    </row>
    <row r="41" spans="1:2" ht="15">
      <c r="A41" s="35" t="s">
        <v>3216</v>
      </c>
      <c r="B41" s="35" t="s">
        <v>34</v>
      </c>
    </row>
    <row r="42" spans="1:2" ht="15">
      <c r="A42" s="35" t="s">
        <v>3217</v>
      </c>
      <c r="B42" s="35"/>
    </row>
    <row r="43" spans="1:2" ht="15">
      <c r="A43" s="35" t="s">
        <v>3218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407</v>
      </c>
    </row>
    <row r="83" spans="1:2" ht="15">
      <c r="A83" s="34" t="s">
        <v>90</v>
      </c>
      <c r="B83" s="48">
        <f>_xlfn.IFERROR(AVERAGE(Vertices[In-Degree]),NoMetricMessage)</f>
        <v>1.0534521158129175</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5</v>
      </c>
    </row>
    <row r="97" spans="1:2" ht="15">
      <c r="A97" s="34" t="s">
        <v>96</v>
      </c>
      <c r="B97" s="48">
        <f>_xlfn.IFERROR(AVERAGE(Vertices[Out-Degree]),NoMetricMessage)</f>
        <v>1.0534521158129175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199945.5</v>
      </c>
    </row>
    <row r="111" spans="1:2" ht="15">
      <c r="A111" s="34" t="s">
        <v>102</v>
      </c>
      <c r="B111" s="48">
        <f>_xlfn.IFERROR(AVERAGE(Vertices[Betweenness Centrality]),NoMetricMessage)</f>
        <v>528.7483296236081</v>
      </c>
    </row>
    <row r="112" spans="1:2" ht="15">
      <c r="A112" s="34" t="s">
        <v>103</v>
      </c>
      <c r="B112" s="48">
        <f>_xlfn.IFERROR(MEDIAN(Vertices[Betweenness Centrality]),NoMetricMessage)</f>
        <v>0</v>
      </c>
    </row>
    <row r="123" spans="1:2" ht="15">
      <c r="A123" s="34" t="s">
        <v>106</v>
      </c>
      <c r="B123" s="48">
        <f>IF(COUNT(Vertices[Closeness Centrality])&gt;0,L2,NoMetricMessage)</f>
        <v>0.324168</v>
      </c>
    </row>
    <row r="124" spans="1:2" ht="15">
      <c r="A124" s="34" t="s">
        <v>107</v>
      </c>
      <c r="B124" s="48">
        <f>IF(COUNT(Vertices[Closeness Centrality])&gt;0,L36,NoMetricMessage)</f>
        <v>0.914286</v>
      </c>
    </row>
    <row r="125" spans="1:2" ht="15">
      <c r="A125" s="34" t="s">
        <v>108</v>
      </c>
      <c r="B125" s="48">
        <f>_xlfn.IFERROR(AVERAGE(Vertices[Closeness Centrality]),NoMetricMessage)</f>
        <v>0.46498241870824375</v>
      </c>
    </row>
    <row r="126" spans="1:2" ht="15">
      <c r="A126" s="34" t="s">
        <v>109</v>
      </c>
      <c r="B126" s="48">
        <f>_xlfn.IFERROR(MEDIAN(Vertices[Closeness Centrality]),NoMetricMessage)</f>
        <v>0.478122</v>
      </c>
    </row>
    <row r="137" spans="1:2" ht="15">
      <c r="A137" s="34" t="s">
        <v>112</v>
      </c>
      <c r="B137" s="48">
        <f>IF(COUNT(Vertices[Eigenvector Centrality])&gt;0,N2,NoMetricMessage)</f>
        <v>0.001665</v>
      </c>
    </row>
    <row r="138" spans="1:2" ht="15">
      <c r="A138" s="34" t="s">
        <v>113</v>
      </c>
      <c r="B138" s="48">
        <f>IF(COUNT(Vertices[Eigenvector Centrality])&gt;0,N36,NoMetricMessage)</f>
        <v>0.711804</v>
      </c>
    </row>
    <row r="139" spans="1:2" ht="15">
      <c r="A139" s="34" t="s">
        <v>114</v>
      </c>
      <c r="B139" s="48">
        <f>_xlfn.IFERROR(AVERAGE(Vertices[Eigenvector Centrality]),NoMetricMessage)</f>
        <v>0.03327968596881968</v>
      </c>
    </row>
    <row r="140" spans="1:2" ht="15">
      <c r="A140" s="34" t="s">
        <v>115</v>
      </c>
      <c r="B140" s="48">
        <f>_xlfn.IFERROR(MEDIAN(Vertices[Eigenvector Centrality]),NoMetricMessage)</f>
        <v>0.03471</v>
      </c>
    </row>
    <row r="151" spans="1:2" ht="15">
      <c r="A151" s="34" t="s">
        <v>140</v>
      </c>
      <c r="B151" s="48">
        <f>IF(COUNT(Vertices[PageRank])&gt;0,P2,NoMetricMessage)</f>
        <v>0.001935</v>
      </c>
    </row>
    <row r="152" spans="1:2" ht="15">
      <c r="A152" s="34" t="s">
        <v>141</v>
      </c>
      <c r="B152" s="48">
        <f>IF(COUNT(Vertices[PageRank])&gt;0,P36,NoMetricMessage)</f>
        <v>0.114062</v>
      </c>
    </row>
    <row r="153" spans="1:2" ht="15">
      <c r="A153" s="34" t="s">
        <v>142</v>
      </c>
      <c r="B153" s="48">
        <f>_xlfn.IFERROR(AVERAGE(Vertices[PageRank]),NoMetricMessage)</f>
        <v>0.002227062360801793</v>
      </c>
    </row>
    <row r="154" spans="1:2" ht="15">
      <c r="A154" s="34" t="s">
        <v>143</v>
      </c>
      <c r="B154" s="48">
        <f>_xlfn.IFERROR(MEDIAN(Vertices[PageRank]),NoMetricMessage)</f>
        <v>0.001935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0.011272097833549845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304</v>
      </c>
      <c r="R6" t="s">
        <v>129</v>
      </c>
    </row>
    <row r="7" spans="1:11" ht="409.5">
      <c r="A7">
        <v>2</v>
      </c>
      <c r="B7">
        <v>1</v>
      </c>
      <c r="C7">
        <v>0</v>
      </c>
      <c r="D7" t="s">
        <v>60</v>
      </c>
      <c r="E7" t="s">
        <v>60</v>
      </c>
      <c r="F7">
        <v>2</v>
      </c>
      <c r="H7" t="s">
        <v>72</v>
      </c>
      <c r="J7" t="s">
        <v>174</v>
      </c>
      <c r="K7" s="13" t="s">
        <v>305</v>
      </c>
    </row>
    <row r="8" spans="1:11" ht="409.5">
      <c r="A8"/>
      <c r="B8">
        <v>2</v>
      </c>
      <c r="C8">
        <v>2</v>
      </c>
      <c r="D8" t="s">
        <v>61</v>
      </c>
      <c r="E8" t="s">
        <v>61</v>
      </c>
      <c r="H8" t="s">
        <v>73</v>
      </c>
      <c r="J8" t="s">
        <v>175</v>
      </c>
      <c r="K8" s="13" t="s">
        <v>306</v>
      </c>
    </row>
    <row r="9" spans="1:11" ht="409.5">
      <c r="A9"/>
      <c r="B9">
        <v>3</v>
      </c>
      <c r="C9">
        <v>4</v>
      </c>
      <c r="D9" t="s">
        <v>62</v>
      </c>
      <c r="E9" t="s">
        <v>62</v>
      </c>
      <c r="H9" t="s">
        <v>74</v>
      </c>
      <c r="J9" t="s">
        <v>176</v>
      </c>
      <c r="K9" s="13" t="s">
        <v>307</v>
      </c>
    </row>
    <row r="10" spans="1:11" ht="15">
      <c r="A10"/>
      <c r="B10">
        <v>4</v>
      </c>
      <c r="D10" t="s">
        <v>63</v>
      </c>
      <c r="E10" t="s">
        <v>63</v>
      </c>
      <c r="H10" t="s">
        <v>75</v>
      </c>
      <c r="J10" t="s">
        <v>177</v>
      </c>
      <c r="K10" t="s">
        <v>308</v>
      </c>
    </row>
    <row r="11" spans="1:11" ht="15">
      <c r="A11"/>
      <c r="B11">
        <v>5</v>
      </c>
      <c r="D11" t="s">
        <v>46</v>
      </c>
      <c r="E11">
        <v>1</v>
      </c>
      <c r="H11" t="s">
        <v>76</v>
      </c>
      <c r="J11" t="s">
        <v>178</v>
      </c>
      <c r="K11" t="s">
        <v>309</v>
      </c>
    </row>
    <row r="12" spans="1:11" ht="15">
      <c r="A12"/>
      <c r="B12"/>
      <c r="D12" t="s">
        <v>64</v>
      </c>
      <c r="E12">
        <v>2</v>
      </c>
      <c r="H12">
        <v>0</v>
      </c>
      <c r="J12" t="s">
        <v>179</v>
      </c>
      <c r="K12" t="s">
        <v>310</v>
      </c>
    </row>
    <row r="13" spans="1:11" ht="15">
      <c r="A13"/>
      <c r="B13"/>
      <c r="D13">
        <v>1</v>
      </c>
      <c r="E13">
        <v>3</v>
      </c>
      <c r="H13">
        <v>1</v>
      </c>
      <c r="J13" t="s">
        <v>180</v>
      </c>
      <c r="K13" t="s">
        <v>311</v>
      </c>
    </row>
    <row r="14" spans="4:11" ht="15">
      <c r="D14">
        <v>2</v>
      </c>
      <c r="E14">
        <v>4</v>
      </c>
      <c r="H14">
        <v>2</v>
      </c>
      <c r="J14" t="s">
        <v>181</v>
      </c>
      <c r="K14" t="s">
        <v>312</v>
      </c>
    </row>
    <row r="15" spans="4:11" ht="15">
      <c r="D15">
        <v>3</v>
      </c>
      <c r="E15">
        <v>5</v>
      </c>
      <c r="H15">
        <v>3</v>
      </c>
      <c r="J15" t="s">
        <v>182</v>
      </c>
      <c r="K15" t="s">
        <v>313</v>
      </c>
    </row>
    <row r="16" spans="4:11" ht="15">
      <c r="D16">
        <v>4</v>
      </c>
      <c r="E16">
        <v>6</v>
      </c>
      <c r="H16">
        <v>4</v>
      </c>
      <c r="J16" t="s">
        <v>183</v>
      </c>
      <c r="K16" t="s">
        <v>314</v>
      </c>
    </row>
    <row r="17" spans="4:11" ht="15">
      <c r="D17">
        <v>5</v>
      </c>
      <c r="E17">
        <v>7</v>
      </c>
      <c r="H17">
        <v>5</v>
      </c>
      <c r="J17" t="s">
        <v>184</v>
      </c>
      <c r="K17" t="s">
        <v>315</v>
      </c>
    </row>
    <row r="18" spans="4:11" ht="15">
      <c r="D18">
        <v>6</v>
      </c>
      <c r="E18">
        <v>8</v>
      </c>
      <c r="H18">
        <v>6</v>
      </c>
      <c r="J18" t="s">
        <v>185</v>
      </c>
      <c r="K18" t="s">
        <v>316</v>
      </c>
    </row>
    <row r="19" spans="4:11" ht="15">
      <c r="D19">
        <v>7</v>
      </c>
      <c r="E19">
        <v>9</v>
      </c>
      <c r="H19">
        <v>7</v>
      </c>
      <c r="J19" t="s">
        <v>186</v>
      </c>
      <c r="K19" t="s">
        <v>317</v>
      </c>
    </row>
    <row r="20" spans="4:11" ht="409.5">
      <c r="D20">
        <v>8</v>
      </c>
      <c r="H20">
        <v>8</v>
      </c>
      <c r="J20" t="s">
        <v>187</v>
      </c>
      <c r="K20" s="13" t="s">
        <v>318</v>
      </c>
    </row>
    <row r="21" spans="4:11" ht="409.5">
      <c r="D21">
        <v>9</v>
      </c>
      <c r="H21">
        <v>9</v>
      </c>
      <c r="J21" t="s">
        <v>188</v>
      </c>
      <c r="K21" s="13" t="s">
        <v>319</v>
      </c>
    </row>
    <row r="22" spans="4:11" ht="409.5">
      <c r="D22">
        <v>10</v>
      </c>
      <c r="J22" t="s">
        <v>189</v>
      </c>
      <c r="K22" s="13" t="s">
        <v>320</v>
      </c>
    </row>
    <row r="23" spans="4:11" ht="409.5">
      <c r="D23">
        <v>11</v>
      </c>
      <c r="J23" t="s">
        <v>190</v>
      </c>
      <c r="K23" s="13" t="s">
        <v>4543</v>
      </c>
    </row>
    <row r="24" spans="10:11" ht="15">
      <c r="J24" t="s">
        <v>191</v>
      </c>
      <c r="K24" t="s">
        <v>192</v>
      </c>
    </row>
    <row r="25" spans="10:11" ht="15">
      <c r="J25" t="s">
        <v>193</v>
      </c>
      <c r="K25" t="s">
        <v>194</v>
      </c>
    </row>
    <row r="26" spans="10:11" ht="15">
      <c r="J26" t="s">
        <v>195</v>
      </c>
      <c r="K26" t="s">
        <v>196</v>
      </c>
    </row>
    <row r="27" spans="10:11" ht="15">
      <c r="J27" t="s">
        <v>197</v>
      </c>
      <c r="K27" t="s">
        <v>198</v>
      </c>
    </row>
    <row r="28" spans="10:11" ht="15">
      <c r="J28" t="s">
        <v>199</v>
      </c>
      <c r="K28" t="s">
        <v>200</v>
      </c>
    </row>
    <row r="29" spans="10:11" ht="15">
      <c r="J29" t="s">
        <v>201</v>
      </c>
      <c r="K29" t="s">
        <v>202</v>
      </c>
    </row>
    <row r="30" spans="10:11" ht="15">
      <c r="J30" t="s">
        <v>203</v>
      </c>
      <c r="K30" t="s">
        <v>204</v>
      </c>
    </row>
    <row r="31" spans="10:11" ht="15">
      <c r="J31" t="s">
        <v>205</v>
      </c>
      <c r="K31" t="s">
        <v>206</v>
      </c>
    </row>
    <row r="32" spans="10:11" ht="15">
      <c r="J32" t="s">
        <v>207</v>
      </c>
      <c r="K32" t="s">
        <v>208</v>
      </c>
    </row>
    <row r="33" spans="10:11" ht="15">
      <c r="J33" t="s">
        <v>209</v>
      </c>
      <c r="K33" t="s">
        <v>210</v>
      </c>
    </row>
    <row r="34" spans="10:11" ht="15">
      <c r="J34" t="s">
        <v>211</v>
      </c>
      <c r="K34" t="s">
        <v>212</v>
      </c>
    </row>
    <row r="35" spans="10:11" ht="15">
      <c r="J35" t="s">
        <v>213</v>
      </c>
      <c r="K35" t="s">
        <v>214</v>
      </c>
    </row>
    <row r="36" spans="10:11" ht="15">
      <c r="J36" t="s">
        <v>215</v>
      </c>
      <c r="K36" t="s">
        <v>216</v>
      </c>
    </row>
    <row r="37" spans="10:11" ht="15">
      <c r="J37" t="s">
        <v>217</v>
      </c>
      <c r="K37" t="s">
        <v>218</v>
      </c>
    </row>
    <row r="38" spans="10:11" ht="15">
      <c r="J38" t="s">
        <v>219</v>
      </c>
      <c r="K38" t="s">
        <v>220</v>
      </c>
    </row>
    <row r="39" spans="10:11" ht="15">
      <c r="J39" t="s">
        <v>221</v>
      </c>
      <c r="K39" t="s">
        <v>222</v>
      </c>
    </row>
    <row r="40" spans="10:11" ht="15">
      <c r="J40" t="s">
        <v>223</v>
      </c>
      <c r="K40" t="s">
        <v>224</v>
      </c>
    </row>
    <row r="41" spans="10:11" ht="15">
      <c r="J41" t="s">
        <v>225</v>
      </c>
      <c r="K41" t="s">
        <v>226</v>
      </c>
    </row>
    <row r="42" spans="10:11" ht="15">
      <c r="J42" t="s">
        <v>227</v>
      </c>
      <c r="K42" t="s">
        <v>228</v>
      </c>
    </row>
    <row r="43" spans="10:11" ht="15">
      <c r="J43" t="s">
        <v>229</v>
      </c>
      <c r="K43" t="s">
        <v>230</v>
      </c>
    </row>
    <row r="44" spans="10:11" ht="15">
      <c r="J44" t="s">
        <v>231</v>
      </c>
      <c r="K44" t="s">
        <v>232</v>
      </c>
    </row>
    <row r="45" spans="10:11" ht="15">
      <c r="J45" t="s">
        <v>233</v>
      </c>
      <c r="K45" t="s">
        <v>234</v>
      </c>
    </row>
    <row r="46" spans="10:11" ht="15">
      <c r="J46" t="s">
        <v>235</v>
      </c>
      <c r="K46" t="s">
        <v>236</v>
      </c>
    </row>
    <row r="47" spans="10:11" ht="15">
      <c r="J47" t="s">
        <v>237</v>
      </c>
      <c r="K47" t="s">
        <v>238</v>
      </c>
    </row>
    <row r="48" spans="10:11" ht="15">
      <c r="J48" t="s">
        <v>239</v>
      </c>
      <c r="K48" t="s">
        <v>240</v>
      </c>
    </row>
    <row r="49" spans="10:11" ht="15">
      <c r="J49" t="s">
        <v>241</v>
      </c>
      <c r="K49" t="s">
        <v>242</v>
      </c>
    </row>
    <row r="50" spans="10:11" ht="15">
      <c r="J50" t="s">
        <v>243</v>
      </c>
      <c r="K50" t="s">
        <v>244</v>
      </c>
    </row>
    <row r="51" spans="10:11" ht="15">
      <c r="J51" t="s">
        <v>245</v>
      </c>
      <c r="K51" t="s">
        <v>246</v>
      </c>
    </row>
    <row r="52" spans="10:11" ht="15">
      <c r="J52" t="s">
        <v>247</v>
      </c>
      <c r="K52" t="s">
        <v>248</v>
      </c>
    </row>
    <row r="53" spans="10:11" ht="15">
      <c r="J53" t="s">
        <v>249</v>
      </c>
      <c r="K53" t="s">
        <v>250</v>
      </c>
    </row>
    <row r="54" spans="10:11" ht="15">
      <c r="J54" t="s">
        <v>251</v>
      </c>
      <c r="K54" t="s">
        <v>252</v>
      </c>
    </row>
    <row r="55" spans="10:11" ht="15">
      <c r="J55" t="s">
        <v>253</v>
      </c>
      <c r="K55" t="s">
        <v>254</v>
      </c>
    </row>
    <row r="56" spans="10:11" ht="15">
      <c r="J56" t="s">
        <v>255</v>
      </c>
      <c r="K56" t="s">
        <v>256</v>
      </c>
    </row>
    <row r="57" spans="10:11" ht="15">
      <c r="J57" t="s">
        <v>257</v>
      </c>
      <c r="K57" t="s">
        <v>258</v>
      </c>
    </row>
    <row r="58" spans="10:11" ht="15">
      <c r="J58" t="s">
        <v>259</v>
      </c>
      <c r="K58" t="s">
        <v>260</v>
      </c>
    </row>
    <row r="59" spans="10:11" ht="15">
      <c r="J59" t="s">
        <v>261</v>
      </c>
      <c r="K59" t="s">
        <v>262</v>
      </c>
    </row>
    <row r="60" spans="10:11" ht="15">
      <c r="J60" t="s">
        <v>263</v>
      </c>
      <c r="K60" t="s">
        <v>264</v>
      </c>
    </row>
    <row r="61" spans="10:11" ht="15">
      <c r="J61" t="s">
        <v>265</v>
      </c>
      <c r="K61" t="s">
        <v>266</v>
      </c>
    </row>
    <row r="62" spans="10:11" ht="15">
      <c r="J62" t="s">
        <v>267</v>
      </c>
      <c r="K62" t="s">
        <v>268</v>
      </c>
    </row>
    <row r="63" spans="10:11" ht="15">
      <c r="J63" t="s">
        <v>269</v>
      </c>
      <c r="K63" t="s">
        <v>270</v>
      </c>
    </row>
    <row r="64" spans="10:11" ht="15">
      <c r="J64" t="s">
        <v>271</v>
      </c>
      <c r="K64" t="s">
        <v>272</v>
      </c>
    </row>
    <row r="65" spans="10:11" ht="15">
      <c r="J65" t="s">
        <v>273</v>
      </c>
      <c r="K65" t="s">
        <v>274</v>
      </c>
    </row>
    <row r="66" spans="10:11" ht="15">
      <c r="J66" t="s">
        <v>275</v>
      </c>
      <c r="K66" t="s">
        <v>276</v>
      </c>
    </row>
    <row r="67" spans="10:11" ht="15">
      <c r="J67" t="s">
        <v>277</v>
      </c>
      <c r="K67" t="s">
        <v>278</v>
      </c>
    </row>
    <row r="68" spans="10:11" ht="15">
      <c r="J68" t="s">
        <v>279</v>
      </c>
      <c r="K68" t="s">
        <v>280</v>
      </c>
    </row>
    <row r="69" spans="10:11" ht="15">
      <c r="J69" t="s">
        <v>281</v>
      </c>
      <c r="K69" t="s">
        <v>282</v>
      </c>
    </row>
    <row r="70" spans="10:11" ht="15">
      <c r="J70" t="s">
        <v>283</v>
      </c>
      <c r="K70" t="s">
        <v>284</v>
      </c>
    </row>
    <row r="71" spans="10:11" ht="15">
      <c r="J71" t="s">
        <v>285</v>
      </c>
      <c r="K71" t="s">
        <v>286</v>
      </c>
    </row>
    <row r="72" spans="10:11" ht="15">
      <c r="J72" t="s">
        <v>287</v>
      </c>
      <c r="K72" t="s">
        <v>288</v>
      </c>
    </row>
    <row r="73" spans="10:11" ht="15">
      <c r="J73" t="s">
        <v>289</v>
      </c>
      <c r="K73" t="s">
        <v>290</v>
      </c>
    </row>
    <row r="74" spans="10:11" ht="15">
      <c r="J74" t="s">
        <v>291</v>
      </c>
      <c r="K74" t="s">
        <v>292</v>
      </c>
    </row>
    <row r="75" spans="10:11" ht="409.5">
      <c r="J75" t="s">
        <v>293</v>
      </c>
      <c r="K75" s="13" t="s">
        <v>294</v>
      </c>
    </row>
    <row r="76" spans="10:11" ht="409.5">
      <c r="J76" t="s">
        <v>295</v>
      </c>
      <c r="K76" s="13" t="s">
        <v>296</v>
      </c>
    </row>
    <row r="77" spans="10:11" ht="409.5">
      <c r="J77" t="s">
        <v>297</v>
      </c>
      <c r="K77" s="13" t="s">
        <v>298</v>
      </c>
    </row>
    <row r="78" spans="10:11" ht="409.5">
      <c r="J78" t="s">
        <v>299</v>
      </c>
      <c r="K78" s="13" t="s">
        <v>300</v>
      </c>
    </row>
    <row r="79" spans="10:11" ht="15">
      <c r="J79" t="s">
        <v>301</v>
      </c>
      <c r="K79">
        <v>19</v>
      </c>
    </row>
    <row r="80" spans="10:11" ht="15">
      <c r="J80" t="s">
        <v>321</v>
      </c>
      <c r="K80" t="s">
        <v>4534</v>
      </c>
    </row>
    <row r="81" spans="10:11" ht="409.5">
      <c r="J81" t="s">
        <v>322</v>
      </c>
      <c r="K81" s="13" t="s">
        <v>4535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8957-BBBD-451C-A42A-6B7173C07952}">
  <dimension ref="A1:G2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2120</v>
      </c>
      <c r="B1" s="13" t="s">
        <v>3170</v>
      </c>
      <c r="C1" s="13" t="s">
        <v>3174</v>
      </c>
      <c r="D1" s="13" t="s">
        <v>144</v>
      </c>
      <c r="E1" s="13" t="s">
        <v>3176</v>
      </c>
      <c r="F1" s="13" t="s">
        <v>3177</v>
      </c>
      <c r="G1" s="13" t="s">
        <v>3178</v>
      </c>
    </row>
    <row r="2" spans="1:7" ht="15">
      <c r="A2" s="80" t="s">
        <v>2121</v>
      </c>
      <c r="B2" s="80" t="s">
        <v>3171</v>
      </c>
      <c r="C2" s="109"/>
      <c r="D2" s="80"/>
      <c r="E2" s="80"/>
      <c r="F2" s="80"/>
      <c r="G2" s="80"/>
    </row>
    <row r="3" spans="1:7" ht="15">
      <c r="A3" s="81" t="s">
        <v>2122</v>
      </c>
      <c r="B3" s="80" t="s">
        <v>3172</v>
      </c>
      <c r="C3" s="109"/>
      <c r="D3" s="80"/>
      <c r="E3" s="80"/>
      <c r="F3" s="80"/>
      <c r="G3" s="80"/>
    </row>
    <row r="4" spans="1:7" ht="15">
      <c r="A4" s="81" t="s">
        <v>2123</v>
      </c>
      <c r="B4" s="80" t="s">
        <v>3173</v>
      </c>
      <c r="C4" s="109"/>
      <c r="D4" s="80"/>
      <c r="E4" s="80"/>
      <c r="F4" s="80"/>
      <c r="G4" s="80"/>
    </row>
    <row r="5" spans="1:7" ht="15">
      <c r="A5" s="81" t="s">
        <v>2124</v>
      </c>
      <c r="B5" s="80">
        <v>761</v>
      </c>
      <c r="C5" s="109">
        <v>0.03895372645372645</v>
      </c>
      <c r="D5" s="80"/>
      <c r="E5" s="80"/>
      <c r="F5" s="80"/>
      <c r="G5" s="80"/>
    </row>
    <row r="6" spans="1:7" ht="15">
      <c r="A6" s="81" t="s">
        <v>2125</v>
      </c>
      <c r="B6" s="80">
        <v>635</v>
      </c>
      <c r="C6" s="109">
        <v>0.032504095004095006</v>
      </c>
      <c r="D6" s="80"/>
      <c r="E6" s="80"/>
      <c r="F6" s="80"/>
      <c r="G6" s="80"/>
    </row>
    <row r="7" spans="1:7" ht="15">
      <c r="A7" s="81" t="s">
        <v>2126</v>
      </c>
      <c r="B7" s="80">
        <v>0</v>
      </c>
      <c r="C7" s="109">
        <v>0</v>
      </c>
      <c r="D7" s="80"/>
      <c r="E7" s="80"/>
      <c r="F7" s="80"/>
      <c r="G7" s="80"/>
    </row>
    <row r="8" spans="1:7" ht="15">
      <c r="A8" s="81" t="s">
        <v>2127</v>
      </c>
      <c r="B8" s="80">
        <v>18140</v>
      </c>
      <c r="C8" s="109">
        <v>0.9285421785421785</v>
      </c>
      <c r="D8" s="80"/>
      <c r="E8" s="80"/>
      <c r="F8" s="80"/>
      <c r="G8" s="80"/>
    </row>
    <row r="9" spans="1:7" ht="15">
      <c r="A9" s="81" t="s">
        <v>2128</v>
      </c>
      <c r="B9" s="80">
        <v>19536</v>
      </c>
      <c r="C9" s="109">
        <v>1</v>
      </c>
      <c r="D9" s="80"/>
      <c r="E9" s="80"/>
      <c r="F9" s="80"/>
      <c r="G9" s="80"/>
    </row>
    <row r="10" spans="1:7" ht="15">
      <c r="A10" s="84" t="s">
        <v>2129</v>
      </c>
      <c r="B10" s="83">
        <v>116</v>
      </c>
      <c r="C10" s="110">
        <v>0.015430596117368866</v>
      </c>
      <c r="D10" s="83" t="s">
        <v>3175</v>
      </c>
      <c r="E10" s="83" t="b">
        <v>0</v>
      </c>
      <c r="F10" s="83" t="b">
        <v>0</v>
      </c>
      <c r="G10" s="83" t="b">
        <v>0</v>
      </c>
    </row>
    <row r="11" spans="1:7" ht="15">
      <c r="A11" s="84" t="s">
        <v>2130</v>
      </c>
      <c r="B11" s="83">
        <v>84</v>
      </c>
      <c r="C11" s="110">
        <v>0.011396488091947628</v>
      </c>
      <c r="D11" s="83" t="s">
        <v>3175</v>
      </c>
      <c r="E11" s="83" t="b">
        <v>0</v>
      </c>
      <c r="F11" s="83" t="b">
        <v>0</v>
      </c>
      <c r="G11" s="83" t="b">
        <v>0</v>
      </c>
    </row>
    <row r="12" spans="1:7" ht="15">
      <c r="A12" s="84" t="s">
        <v>2131</v>
      </c>
      <c r="B12" s="83">
        <v>69</v>
      </c>
      <c r="C12" s="110">
        <v>0.010035122970959272</v>
      </c>
      <c r="D12" s="83" t="s">
        <v>3175</v>
      </c>
      <c r="E12" s="83" t="b">
        <v>1</v>
      </c>
      <c r="F12" s="83" t="b">
        <v>0</v>
      </c>
      <c r="G12" s="83" t="b">
        <v>0</v>
      </c>
    </row>
    <row r="13" spans="1:7" ht="15">
      <c r="A13" s="84" t="s">
        <v>2132</v>
      </c>
      <c r="B13" s="83">
        <v>61</v>
      </c>
      <c r="C13" s="110">
        <v>0.009503029283060658</v>
      </c>
      <c r="D13" s="83" t="s">
        <v>3175</v>
      </c>
      <c r="E13" s="83" t="b">
        <v>0</v>
      </c>
      <c r="F13" s="83" t="b">
        <v>0</v>
      </c>
      <c r="G13" s="83" t="b">
        <v>0</v>
      </c>
    </row>
    <row r="14" spans="1:7" ht="15">
      <c r="A14" s="84" t="s">
        <v>2133</v>
      </c>
      <c r="B14" s="83">
        <v>54</v>
      </c>
      <c r="C14" s="110">
        <v>0.009085217201582436</v>
      </c>
      <c r="D14" s="83" t="s">
        <v>3175</v>
      </c>
      <c r="E14" s="83" t="b">
        <v>0</v>
      </c>
      <c r="F14" s="83" t="b">
        <v>0</v>
      </c>
      <c r="G14" s="83" t="b">
        <v>0</v>
      </c>
    </row>
    <row r="15" spans="1:7" ht="15">
      <c r="A15" s="84" t="s">
        <v>2134</v>
      </c>
      <c r="B15" s="83">
        <v>47</v>
      </c>
      <c r="C15" s="110">
        <v>0.008737485573794177</v>
      </c>
      <c r="D15" s="83" t="s">
        <v>3175</v>
      </c>
      <c r="E15" s="83" t="b">
        <v>0</v>
      </c>
      <c r="F15" s="83" t="b">
        <v>0</v>
      </c>
      <c r="G15" s="83" t="b">
        <v>0</v>
      </c>
    </row>
    <row r="16" spans="1:7" ht="15">
      <c r="A16" s="84" t="s">
        <v>2135</v>
      </c>
      <c r="B16" s="83">
        <v>44</v>
      </c>
      <c r="C16" s="110">
        <v>0.00776342620304043</v>
      </c>
      <c r="D16" s="83" t="s">
        <v>3175</v>
      </c>
      <c r="E16" s="83" t="b">
        <v>1</v>
      </c>
      <c r="F16" s="83" t="b">
        <v>0</v>
      </c>
      <c r="G16" s="83" t="b">
        <v>0</v>
      </c>
    </row>
    <row r="17" spans="1:7" ht="15">
      <c r="A17" s="84" t="s">
        <v>2136</v>
      </c>
      <c r="B17" s="83">
        <v>44</v>
      </c>
      <c r="C17" s="110">
        <v>0.008271338859416128</v>
      </c>
      <c r="D17" s="83" t="s">
        <v>3175</v>
      </c>
      <c r="E17" s="83" t="b">
        <v>0</v>
      </c>
      <c r="F17" s="83" t="b">
        <v>1</v>
      </c>
      <c r="G17" s="83" t="b">
        <v>0</v>
      </c>
    </row>
    <row r="18" spans="1:7" ht="15">
      <c r="A18" s="84" t="s">
        <v>2137</v>
      </c>
      <c r="B18" s="83">
        <v>40</v>
      </c>
      <c r="C18" s="110">
        <v>0.007202135686899597</v>
      </c>
      <c r="D18" s="83" t="s">
        <v>3175</v>
      </c>
      <c r="E18" s="83" t="b">
        <v>0</v>
      </c>
      <c r="F18" s="83" t="b">
        <v>0</v>
      </c>
      <c r="G18" s="83" t="b">
        <v>0</v>
      </c>
    </row>
    <row r="19" spans="1:7" ht="15">
      <c r="A19" s="84" t="s">
        <v>2138</v>
      </c>
      <c r="B19" s="83">
        <v>38</v>
      </c>
      <c r="C19" s="110">
        <v>0.00920169566800338</v>
      </c>
      <c r="D19" s="83" t="s">
        <v>3175</v>
      </c>
      <c r="E19" s="83" t="b">
        <v>0</v>
      </c>
      <c r="F19" s="83" t="b">
        <v>0</v>
      </c>
      <c r="G19" s="83" t="b">
        <v>0</v>
      </c>
    </row>
    <row r="20" spans="1:7" ht="15">
      <c r="A20" s="84" t="s">
        <v>2139</v>
      </c>
      <c r="B20" s="83">
        <v>34</v>
      </c>
      <c r="C20" s="110">
        <v>0.0061860379053093745</v>
      </c>
      <c r="D20" s="83" t="s">
        <v>3175</v>
      </c>
      <c r="E20" s="83" t="b">
        <v>0</v>
      </c>
      <c r="F20" s="83" t="b">
        <v>0</v>
      </c>
      <c r="G20" s="83" t="b">
        <v>0</v>
      </c>
    </row>
    <row r="21" spans="1:7" ht="15">
      <c r="A21" s="84" t="s">
        <v>2140</v>
      </c>
      <c r="B21" s="83">
        <v>31</v>
      </c>
      <c r="C21" s="110">
        <v>0.005894310021602413</v>
      </c>
      <c r="D21" s="83" t="s">
        <v>3175</v>
      </c>
      <c r="E21" s="83" t="b">
        <v>1</v>
      </c>
      <c r="F21" s="83" t="b">
        <v>0</v>
      </c>
      <c r="G21" s="83" t="b">
        <v>0</v>
      </c>
    </row>
    <row r="22" spans="1:7" ht="15">
      <c r="A22" s="84" t="s">
        <v>2141</v>
      </c>
      <c r="B22" s="83">
        <v>27</v>
      </c>
      <c r="C22" s="110">
        <v>0.005610551895213715</v>
      </c>
      <c r="D22" s="83" t="s">
        <v>3175</v>
      </c>
      <c r="E22" s="83" t="b">
        <v>1</v>
      </c>
      <c r="F22" s="83" t="b">
        <v>0</v>
      </c>
      <c r="G22" s="83" t="b">
        <v>0</v>
      </c>
    </row>
    <row r="23" spans="1:7" ht="15">
      <c r="A23" s="84" t="s">
        <v>2142</v>
      </c>
      <c r="B23" s="83">
        <v>26</v>
      </c>
      <c r="C23" s="110">
        <v>0.005328508017749433</v>
      </c>
      <c r="D23" s="83" t="s">
        <v>3175</v>
      </c>
      <c r="E23" s="83" t="b">
        <v>0</v>
      </c>
      <c r="F23" s="83" t="b">
        <v>0</v>
      </c>
      <c r="G23" s="83" t="b">
        <v>0</v>
      </c>
    </row>
    <row r="24" spans="1:7" ht="15">
      <c r="A24" s="84" t="s">
        <v>2143</v>
      </c>
      <c r="B24" s="83">
        <v>25</v>
      </c>
      <c r="C24" s="110">
        <v>0.0050553493055853745</v>
      </c>
      <c r="D24" s="83" t="s">
        <v>3175</v>
      </c>
      <c r="E24" s="83" t="b">
        <v>1</v>
      </c>
      <c r="F24" s="83" t="b">
        <v>0</v>
      </c>
      <c r="G24" s="83" t="b">
        <v>0</v>
      </c>
    </row>
    <row r="25" spans="1:7" ht="15">
      <c r="A25" s="84" t="s">
        <v>2144</v>
      </c>
      <c r="B25" s="83">
        <v>23</v>
      </c>
      <c r="C25" s="110">
        <v>0.004920660923893254</v>
      </c>
      <c r="D25" s="83" t="s">
        <v>3175</v>
      </c>
      <c r="E25" s="83" t="b">
        <v>0</v>
      </c>
      <c r="F25" s="83" t="b">
        <v>0</v>
      </c>
      <c r="G25" s="83" t="b">
        <v>0</v>
      </c>
    </row>
    <row r="26" spans="1:7" ht="15">
      <c r="A26" s="84" t="s">
        <v>2145</v>
      </c>
      <c r="B26" s="83">
        <v>23</v>
      </c>
      <c r="C26" s="110">
        <v>0.004996995228421739</v>
      </c>
      <c r="D26" s="83" t="s">
        <v>3175</v>
      </c>
      <c r="E26" s="83" t="b">
        <v>0</v>
      </c>
      <c r="F26" s="83" t="b">
        <v>0</v>
      </c>
      <c r="G26" s="83" t="b">
        <v>0</v>
      </c>
    </row>
    <row r="27" spans="1:7" ht="15">
      <c r="A27" s="84" t="s">
        <v>2146</v>
      </c>
      <c r="B27" s="83">
        <v>23</v>
      </c>
      <c r="C27" s="110">
        <v>0.004920660923893254</v>
      </c>
      <c r="D27" s="83" t="s">
        <v>3175</v>
      </c>
      <c r="E27" s="83" t="b">
        <v>0</v>
      </c>
      <c r="F27" s="83" t="b">
        <v>1</v>
      </c>
      <c r="G27" s="83" t="b">
        <v>0</v>
      </c>
    </row>
    <row r="28" spans="1:7" ht="15">
      <c r="A28" s="84" t="s">
        <v>2147</v>
      </c>
      <c r="B28" s="83">
        <v>22</v>
      </c>
      <c r="C28" s="110">
        <v>0.004779734566316446</v>
      </c>
      <c r="D28" s="83" t="s">
        <v>3175</v>
      </c>
      <c r="E28" s="83" t="b">
        <v>0</v>
      </c>
      <c r="F28" s="83" t="b">
        <v>0</v>
      </c>
      <c r="G28" s="83" t="b">
        <v>0</v>
      </c>
    </row>
    <row r="29" spans="1:7" ht="15">
      <c r="A29" s="84" t="s">
        <v>2148</v>
      </c>
      <c r="B29" s="83">
        <v>21</v>
      </c>
      <c r="C29" s="110">
        <v>0.004886436286956938</v>
      </c>
      <c r="D29" s="83" t="s">
        <v>3175</v>
      </c>
      <c r="E29" s="83" t="b">
        <v>0</v>
      </c>
      <c r="F29" s="83" t="b">
        <v>0</v>
      </c>
      <c r="G29" s="83" t="b">
        <v>0</v>
      </c>
    </row>
    <row r="30" spans="1:7" ht="15">
      <c r="A30" s="84" t="s">
        <v>2149</v>
      </c>
      <c r="B30" s="83">
        <v>21</v>
      </c>
      <c r="C30" s="110">
        <v>0.004492777365293841</v>
      </c>
      <c r="D30" s="83" t="s">
        <v>3175</v>
      </c>
      <c r="E30" s="83" t="b">
        <v>0</v>
      </c>
      <c r="F30" s="83" t="b">
        <v>0</v>
      </c>
      <c r="G30" s="83" t="b">
        <v>0</v>
      </c>
    </row>
    <row r="31" spans="1:7" ht="15">
      <c r="A31" s="84" t="s">
        <v>2150</v>
      </c>
      <c r="B31" s="83">
        <v>21</v>
      </c>
      <c r="C31" s="110">
        <v>0.00479749951085428</v>
      </c>
      <c r="D31" s="83" t="s">
        <v>3175</v>
      </c>
      <c r="E31" s="83" t="b">
        <v>0</v>
      </c>
      <c r="F31" s="83" t="b">
        <v>0</v>
      </c>
      <c r="G31" s="83" t="b">
        <v>0</v>
      </c>
    </row>
    <row r="32" spans="1:7" ht="15">
      <c r="A32" s="84" t="s">
        <v>2151</v>
      </c>
      <c r="B32" s="83">
        <v>20</v>
      </c>
      <c r="C32" s="110">
        <v>0.004653748844720893</v>
      </c>
      <c r="D32" s="83" t="s">
        <v>3175</v>
      </c>
      <c r="E32" s="83" t="b">
        <v>0</v>
      </c>
      <c r="F32" s="83" t="b">
        <v>0</v>
      </c>
      <c r="G32" s="83" t="b">
        <v>0</v>
      </c>
    </row>
    <row r="33" spans="1:7" ht="15">
      <c r="A33" s="84" t="s">
        <v>2152</v>
      </c>
      <c r="B33" s="83">
        <v>20</v>
      </c>
      <c r="C33" s="110">
        <v>0.0042158634454679085</v>
      </c>
      <c r="D33" s="83" t="s">
        <v>3175</v>
      </c>
      <c r="E33" s="83" t="b">
        <v>1</v>
      </c>
      <c r="F33" s="83" t="b">
        <v>0</v>
      </c>
      <c r="G33" s="83" t="b">
        <v>0</v>
      </c>
    </row>
    <row r="34" spans="1:7" ht="15">
      <c r="A34" s="84" t="s">
        <v>2153</v>
      </c>
      <c r="B34" s="83">
        <v>20</v>
      </c>
      <c r="C34" s="110">
        <v>0.0042158634454679085</v>
      </c>
      <c r="D34" s="83" t="s">
        <v>3175</v>
      </c>
      <c r="E34" s="83" t="b">
        <v>0</v>
      </c>
      <c r="F34" s="83" t="b">
        <v>0</v>
      </c>
      <c r="G34" s="83" t="b">
        <v>0</v>
      </c>
    </row>
    <row r="35" spans="1:7" ht="15">
      <c r="A35" s="84" t="s">
        <v>2154</v>
      </c>
      <c r="B35" s="83">
        <v>19</v>
      </c>
      <c r="C35" s="110">
        <v>0.004194616621099593</v>
      </c>
      <c r="D35" s="83" t="s">
        <v>3175</v>
      </c>
      <c r="E35" s="83" t="b">
        <v>0</v>
      </c>
      <c r="F35" s="83" t="b">
        <v>0</v>
      </c>
      <c r="G35" s="83" t="b">
        <v>0</v>
      </c>
    </row>
    <row r="36" spans="1:7" ht="15">
      <c r="A36" s="84" t="s">
        <v>2155</v>
      </c>
      <c r="B36" s="83">
        <v>19</v>
      </c>
      <c r="C36" s="110">
        <v>0.004194616621099593</v>
      </c>
      <c r="D36" s="83" t="s">
        <v>3175</v>
      </c>
      <c r="E36" s="83" t="b">
        <v>0</v>
      </c>
      <c r="F36" s="83" t="b">
        <v>0</v>
      </c>
      <c r="G36" s="83" t="b">
        <v>0</v>
      </c>
    </row>
    <row r="37" spans="1:7" ht="15">
      <c r="A37" s="84" t="s">
        <v>2156</v>
      </c>
      <c r="B37" s="83">
        <v>19</v>
      </c>
      <c r="C37" s="110">
        <v>0.004265323311661379</v>
      </c>
      <c r="D37" s="83" t="s">
        <v>3175</v>
      </c>
      <c r="E37" s="83" t="b">
        <v>0</v>
      </c>
      <c r="F37" s="83" t="b">
        <v>0</v>
      </c>
      <c r="G37" s="83" t="b">
        <v>0</v>
      </c>
    </row>
    <row r="38" spans="1:7" ht="15">
      <c r="A38" s="84" t="s">
        <v>2157</v>
      </c>
      <c r="B38" s="83">
        <v>19</v>
      </c>
      <c r="C38" s="110">
        <v>0.00460084783400169</v>
      </c>
      <c r="D38" s="83" t="s">
        <v>3175</v>
      </c>
      <c r="E38" s="83" t="b">
        <v>1</v>
      </c>
      <c r="F38" s="83" t="b">
        <v>0</v>
      </c>
      <c r="G38" s="83" t="b">
        <v>0</v>
      </c>
    </row>
    <row r="39" spans="1:7" ht="15">
      <c r="A39" s="84" t="s">
        <v>2158</v>
      </c>
      <c r="B39" s="83">
        <v>19</v>
      </c>
      <c r="C39" s="110">
        <v>0.004194616621099593</v>
      </c>
      <c r="D39" s="83" t="s">
        <v>3175</v>
      </c>
      <c r="E39" s="83" t="b">
        <v>0</v>
      </c>
      <c r="F39" s="83" t="b">
        <v>0</v>
      </c>
      <c r="G39" s="83" t="b">
        <v>0</v>
      </c>
    </row>
    <row r="40" spans="1:7" ht="15">
      <c r="A40" s="84" t="s">
        <v>2159</v>
      </c>
      <c r="B40" s="83">
        <v>19</v>
      </c>
      <c r="C40" s="110">
        <v>0.0045074937677225336</v>
      </c>
      <c r="D40" s="83" t="s">
        <v>3175</v>
      </c>
      <c r="E40" s="83" t="b">
        <v>0</v>
      </c>
      <c r="F40" s="83" t="b">
        <v>0</v>
      </c>
      <c r="G40" s="83" t="b">
        <v>0</v>
      </c>
    </row>
    <row r="41" spans="1:7" ht="15">
      <c r="A41" s="84" t="s">
        <v>2160</v>
      </c>
      <c r="B41" s="83">
        <v>19</v>
      </c>
      <c r="C41" s="110">
        <v>0.004340594795534824</v>
      </c>
      <c r="D41" s="83" t="s">
        <v>3175</v>
      </c>
      <c r="E41" s="83" t="b">
        <v>0</v>
      </c>
      <c r="F41" s="83" t="b">
        <v>0</v>
      </c>
      <c r="G41" s="83" t="b">
        <v>0</v>
      </c>
    </row>
    <row r="42" spans="1:7" ht="15">
      <c r="A42" s="84" t="s">
        <v>2161</v>
      </c>
      <c r="B42" s="83">
        <v>18</v>
      </c>
      <c r="C42" s="110">
        <v>0.004112142437875097</v>
      </c>
      <c r="D42" s="83" t="s">
        <v>3175</v>
      </c>
      <c r="E42" s="83" t="b">
        <v>0</v>
      </c>
      <c r="F42" s="83" t="b">
        <v>0</v>
      </c>
      <c r="G42" s="83" t="b">
        <v>0</v>
      </c>
    </row>
    <row r="43" spans="1:7" ht="15">
      <c r="A43" s="84" t="s">
        <v>2162</v>
      </c>
      <c r="B43" s="83">
        <v>18</v>
      </c>
      <c r="C43" s="110">
        <v>0.003973847325252246</v>
      </c>
      <c r="D43" s="83" t="s">
        <v>3175</v>
      </c>
      <c r="E43" s="83" t="b">
        <v>1</v>
      </c>
      <c r="F43" s="83" t="b">
        <v>0</v>
      </c>
      <c r="G43" s="83" t="b">
        <v>0</v>
      </c>
    </row>
    <row r="44" spans="1:7" ht="15">
      <c r="A44" s="84" t="s">
        <v>2163</v>
      </c>
      <c r="B44" s="83">
        <v>18</v>
      </c>
      <c r="C44" s="110">
        <v>0.003910691917895274</v>
      </c>
      <c r="D44" s="83" t="s">
        <v>3175</v>
      </c>
      <c r="E44" s="83" t="b">
        <v>0</v>
      </c>
      <c r="F44" s="83" t="b">
        <v>0</v>
      </c>
      <c r="G44" s="83" t="b">
        <v>0</v>
      </c>
    </row>
    <row r="45" spans="1:7" ht="15">
      <c r="A45" s="84" t="s">
        <v>2164</v>
      </c>
      <c r="B45" s="83">
        <v>18</v>
      </c>
      <c r="C45" s="110">
        <v>0.0045601484679814236</v>
      </c>
      <c r="D45" s="83" t="s">
        <v>3175</v>
      </c>
      <c r="E45" s="83" t="b">
        <v>0</v>
      </c>
      <c r="F45" s="83" t="b">
        <v>0</v>
      </c>
      <c r="G45" s="83" t="b">
        <v>0</v>
      </c>
    </row>
    <row r="46" spans="1:7" ht="15">
      <c r="A46" s="84" t="s">
        <v>2165</v>
      </c>
      <c r="B46" s="83">
        <v>17</v>
      </c>
      <c r="C46" s="110">
        <v>0.003816341910433865</v>
      </c>
      <c r="D46" s="83" t="s">
        <v>3175</v>
      </c>
      <c r="E46" s="83" t="b">
        <v>0</v>
      </c>
      <c r="F46" s="83" t="b">
        <v>0</v>
      </c>
      <c r="G46" s="83" t="b">
        <v>0</v>
      </c>
    </row>
    <row r="47" spans="1:7" ht="15">
      <c r="A47" s="84" t="s">
        <v>2166</v>
      </c>
      <c r="B47" s="83">
        <v>17</v>
      </c>
      <c r="C47" s="110">
        <v>0.0037530780294048986</v>
      </c>
      <c r="D47" s="83" t="s">
        <v>3175</v>
      </c>
      <c r="E47" s="83" t="b">
        <v>0</v>
      </c>
      <c r="F47" s="83" t="b">
        <v>0</v>
      </c>
      <c r="G47" s="83" t="b">
        <v>0</v>
      </c>
    </row>
    <row r="48" spans="1:7" ht="15">
      <c r="A48" s="84" t="s">
        <v>2167</v>
      </c>
      <c r="B48" s="83">
        <v>17</v>
      </c>
      <c r="C48" s="110">
        <v>0.004033020739541214</v>
      </c>
      <c r="D48" s="83" t="s">
        <v>3175</v>
      </c>
      <c r="E48" s="83" t="b">
        <v>0</v>
      </c>
      <c r="F48" s="83" t="b">
        <v>0</v>
      </c>
      <c r="G48" s="83" t="b">
        <v>0</v>
      </c>
    </row>
    <row r="49" spans="1:7" ht="15">
      <c r="A49" s="84" t="s">
        <v>2168</v>
      </c>
      <c r="B49" s="83">
        <v>17</v>
      </c>
      <c r="C49" s="110">
        <v>0.004416754213569157</v>
      </c>
      <c r="D49" s="83" t="s">
        <v>3175</v>
      </c>
      <c r="E49" s="83" t="b">
        <v>0</v>
      </c>
      <c r="F49" s="83" t="b">
        <v>0</v>
      </c>
      <c r="G49" s="83" t="b">
        <v>0</v>
      </c>
    </row>
    <row r="50" spans="1:7" ht="15">
      <c r="A50" s="84" t="s">
        <v>2169</v>
      </c>
      <c r="B50" s="83">
        <v>16</v>
      </c>
      <c r="C50" s="110">
        <v>0.0035918512098201084</v>
      </c>
      <c r="D50" s="83" t="s">
        <v>3175</v>
      </c>
      <c r="E50" s="83" t="b">
        <v>0</v>
      </c>
      <c r="F50" s="83" t="b">
        <v>0</v>
      </c>
      <c r="G50" s="83" t="b">
        <v>0</v>
      </c>
    </row>
    <row r="51" spans="1:7" ht="15">
      <c r="A51" s="84" t="s">
        <v>2170</v>
      </c>
      <c r="B51" s="83">
        <v>16</v>
      </c>
      <c r="C51" s="110">
        <v>0.0040534653048723765</v>
      </c>
      <c r="D51" s="83" t="s">
        <v>3175</v>
      </c>
      <c r="E51" s="83" t="b">
        <v>0</v>
      </c>
      <c r="F51" s="83" t="b">
        <v>0</v>
      </c>
      <c r="G51" s="83" t="b">
        <v>0</v>
      </c>
    </row>
    <row r="52" spans="1:7" ht="15">
      <c r="A52" s="84" t="s">
        <v>2171</v>
      </c>
      <c r="B52" s="83">
        <v>16</v>
      </c>
      <c r="C52" s="110">
        <v>0.0035918512098201084</v>
      </c>
      <c r="D52" s="83" t="s">
        <v>3175</v>
      </c>
      <c r="E52" s="83" t="b">
        <v>1</v>
      </c>
      <c r="F52" s="83" t="b">
        <v>0</v>
      </c>
      <c r="G52" s="83" t="b">
        <v>0</v>
      </c>
    </row>
    <row r="53" spans="1:7" ht="15">
      <c r="A53" s="84" t="s">
        <v>2172</v>
      </c>
      <c r="B53" s="83">
        <v>16</v>
      </c>
      <c r="C53" s="110">
        <v>0.003795784225450555</v>
      </c>
      <c r="D53" s="83" t="s">
        <v>3175</v>
      </c>
      <c r="E53" s="83" t="b">
        <v>0</v>
      </c>
      <c r="F53" s="83" t="b">
        <v>0</v>
      </c>
      <c r="G53" s="83" t="b">
        <v>0</v>
      </c>
    </row>
    <row r="54" spans="1:7" ht="15">
      <c r="A54" s="84" t="s">
        <v>2173</v>
      </c>
      <c r="B54" s="83">
        <v>16</v>
      </c>
      <c r="C54" s="110">
        <v>0.0037229990757767146</v>
      </c>
      <c r="D54" s="83" t="s">
        <v>3175</v>
      </c>
      <c r="E54" s="83" t="b">
        <v>0</v>
      </c>
      <c r="F54" s="83" t="b">
        <v>0</v>
      </c>
      <c r="G54" s="83" t="b">
        <v>0</v>
      </c>
    </row>
    <row r="55" spans="1:7" ht="15">
      <c r="A55" s="84" t="s">
        <v>2174</v>
      </c>
      <c r="B55" s="83">
        <v>16</v>
      </c>
      <c r="C55" s="110">
        <v>0.0036552377225556416</v>
      </c>
      <c r="D55" s="83" t="s">
        <v>3175</v>
      </c>
      <c r="E55" s="83" t="b">
        <v>0</v>
      </c>
      <c r="F55" s="83" t="b">
        <v>0</v>
      </c>
      <c r="G55" s="83" t="b">
        <v>0</v>
      </c>
    </row>
    <row r="56" spans="1:7" ht="15">
      <c r="A56" s="84" t="s">
        <v>2175</v>
      </c>
      <c r="B56" s="83">
        <v>16</v>
      </c>
      <c r="C56" s="110">
        <v>0.0036552377225556416</v>
      </c>
      <c r="D56" s="83" t="s">
        <v>3175</v>
      </c>
      <c r="E56" s="83" t="b">
        <v>0</v>
      </c>
      <c r="F56" s="83" t="b">
        <v>0</v>
      </c>
      <c r="G56" s="83" t="b">
        <v>0</v>
      </c>
    </row>
    <row r="57" spans="1:7" ht="15">
      <c r="A57" s="84" t="s">
        <v>2176</v>
      </c>
      <c r="B57" s="83">
        <v>16</v>
      </c>
      <c r="C57" s="110">
        <v>0.003959856405574624</v>
      </c>
      <c r="D57" s="83" t="s">
        <v>3175</v>
      </c>
      <c r="E57" s="83" t="b">
        <v>0</v>
      </c>
      <c r="F57" s="83" t="b">
        <v>0</v>
      </c>
      <c r="G57" s="83" t="b">
        <v>0</v>
      </c>
    </row>
    <row r="58" spans="1:7" ht="15">
      <c r="A58" s="84" t="s">
        <v>2177</v>
      </c>
      <c r="B58" s="83">
        <v>15</v>
      </c>
      <c r="C58" s="110">
        <v>0.0034267853648959137</v>
      </c>
      <c r="D58" s="83" t="s">
        <v>3175</v>
      </c>
      <c r="E58" s="83" t="b">
        <v>0</v>
      </c>
      <c r="F58" s="83" t="b">
        <v>0</v>
      </c>
      <c r="G58" s="83" t="b">
        <v>0</v>
      </c>
    </row>
    <row r="59" spans="1:7" ht="15">
      <c r="A59" s="84" t="s">
        <v>2178</v>
      </c>
      <c r="B59" s="83">
        <v>15</v>
      </c>
      <c r="C59" s="110">
        <v>0.0034903116335406694</v>
      </c>
      <c r="D59" s="83" t="s">
        <v>3175</v>
      </c>
      <c r="E59" s="83" t="b">
        <v>1</v>
      </c>
      <c r="F59" s="83" t="b">
        <v>0</v>
      </c>
      <c r="G59" s="83" t="b">
        <v>0</v>
      </c>
    </row>
    <row r="60" spans="1:7" ht="15">
      <c r="A60" s="84" t="s">
        <v>2179</v>
      </c>
      <c r="B60" s="83">
        <v>15</v>
      </c>
      <c r="C60" s="110">
        <v>0.003712365380226209</v>
      </c>
      <c r="D60" s="83" t="s">
        <v>3175</v>
      </c>
      <c r="E60" s="83" t="b">
        <v>0</v>
      </c>
      <c r="F60" s="83" t="b">
        <v>0</v>
      </c>
      <c r="G60" s="83" t="b">
        <v>0</v>
      </c>
    </row>
    <row r="61" spans="1:7" ht="15">
      <c r="A61" s="84" t="s">
        <v>2180</v>
      </c>
      <c r="B61" s="83">
        <v>15</v>
      </c>
      <c r="C61" s="110">
        <v>0.0038971360707963153</v>
      </c>
      <c r="D61" s="83" t="s">
        <v>3175</v>
      </c>
      <c r="E61" s="83" t="b">
        <v>0</v>
      </c>
      <c r="F61" s="83" t="b">
        <v>0</v>
      </c>
      <c r="G61" s="83" t="b">
        <v>0</v>
      </c>
    </row>
    <row r="62" spans="1:7" ht="15">
      <c r="A62" s="84" t="s">
        <v>2181</v>
      </c>
      <c r="B62" s="83">
        <v>15</v>
      </c>
      <c r="C62" s="110">
        <v>0.004438349862534774</v>
      </c>
      <c r="D62" s="83" t="s">
        <v>3175</v>
      </c>
      <c r="E62" s="83" t="b">
        <v>0</v>
      </c>
      <c r="F62" s="83" t="b">
        <v>0</v>
      </c>
      <c r="G62" s="83" t="b">
        <v>0</v>
      </c>
    </row>
    <row r="63" spans="1:7" ht="15">
      <c r="A63" s="84" t="s">
        <v>2182</v>
      </c>
      <c r="B63" s="83">
        <v>15</v>
      </c>
      <c r="C63" s="110">
        <v>0.0035585477113598946</v>
      </c>
      <c r="D63" s="83" t="s">
        <v>3175</v>
      </c>
      <c r="E63" s="83" t="b">
        <v>0</v>
      </c>
      <c r="F63" s="83" t="b">
        <v>0</v>
      </c>
      <c r="G63" s="83" t="b">
        <v>0</v>
      </c>
    </row>
    <row r="64" spans="1:7" ht="15">
      <c r="A64" s="84" t="s">
        <v>2183</v>
      </c>
      <c r="B64" s="83">
        <v>15</v>
      </c>
      <c r="C64" s="110">
        <v>0.003632248290001333</v>
      </c>
      <c r="D64" s="83" t="s">
        <v>3175</v>
      </c>
      <c r="E64" s="83" t="b">
        <v>0</v>
      </c>
      <c r="F64" s="83" t="b">
        <v>0</v>
      </c>
      <c r="G64" s="83" t="b">
        <v>0</v>
      </c>
    </row>
    <row r="65" spans="1:7" ht="15">
      <c r="A65" s="84" t="s">
        <v>2184</v>
      </c>
      <c r="B65" s="83">
        <v>14</v>
      </c>
      <c r="C65" s="110">
        <v>0.0034648743548777953</v>
      </c>
      <c r="D65" s="83" t="s">
        <v>3175</v>
      </c>
      <c r="E65" s="83" t="b">
        <v>0</v>
      </c>
      <c r="F65" s="83" t="b">
        <v>0</v>
      </c>
      <c r="G65" s="83" t="b">
        <v>0</v>
      </c>
    </row>
    <row r="66" spans="1:7" ht="15">
      <c r="A66" s="84" t="s">
        <v>2185</v>
      </c>
      <c r="B66" s="83">
        <v>14</v>
      </c>
      <c r="C66" s="110">
        <v>0.003321311197269235</v>
      </c>
      <c r="D66" s="83" t="s">
        <v>3175</v>
      </c>
      <c r="E66" s="83" t="b">
        <v>0</v>
      </c>
      <c r="F66" s="83" t="b">
        <v>0</v>
      </c>
      <c r="G66" s="83" t="b">
        <v>0</v>
      </c>
    </row>
    <row r="67" spans="1:7" ht="15">
      <c r="A67" s="84" t="s">
        <v>2186</v>
      </c>
      <c r="B67" s="83">
        <v>14</v>
      </c>
      <c r="C67" s="110">
        <v>0.0033900984040012446</v>
      </c>
      <c r="D67" s="83" t="s">
        <v>3175</v>
      </c>
      <c r="E67" s="83" t="b">
        <v>0</v>
      </c>
      <c r="F67" s="83" t="b">
        <v>0</v>
      </c>
      <c r="G67" s="83" t="b">
        <v>0</v>
      </c>
    </row>
    <row r="68" spans="1:7" ht="15">
      <c r="A68" s="84" t="s">
        <v>2187</v>
      </c>
      <c r="B68" s="83">
        <v>14</v>
      </c>
      <c r="C68" s="110">
        <v>0.0037385475385283877</v>
      </c>
      <c r="D68" s="83" t="s">
        <v>3175</v>
      </c>
      <c r="E68" s="83" t="b">
        <v>0</v>
      </c>
      <c r="F68" s="83" t="b">
        <v>1</v>
      </c>
      <c r="G68" s="83" t="b">
        <v>0</v>
      </c>
    </row>
    <row r="69" spans="1:7" ht="15">
      <c r="A69" s="84" t="s">
        <v>2188</v>
      </c>
      <c r="B69" s="83">
        <v>14</v>
      </c>
      <c r="C69" s="110">
        <v>0.0033900984040012446</v>
      </c>
      <c r="D69" s="83" t="s">
        <v>3175</v>
      </c>
      <c r="E69" s="83" t="b">
        <v>1</v>
      </c>
      <c r="F69" s="83" t="b">
        <v>0</v>
      </c>
      <c r="G69" s="83" t="b">
        <v>0</v>
      </c>
    </row>
    <row r="70" spans="1:7" ht="15">
      <c r="A70" s="84" t="s">
        <v>2189</v>
      </c>
      <c r="B70" s="83">
        <v>13</v>
      </c>
      <c r="C70" s="110">
        <v>0.0031479485180011557</v>
      </c>
      <c r="D70" s="83" t="s">
        <v>3175</v>
      </c>
      <c r="E70" s="83" t="b">
        <v>0</v>
      </c>
      <c r="F70" s="83" t="b">
        <v>0</v>
      </c>
      <c r="G70" s="83" t="b">
        <v>0</v>
      </c>
    </row>
    <row r="71" spans="1:7" ht="15">
      <c r="A71" s="84" t="s">
        <v>2190</v>
      </c>
      <c r="B71" s="83">
        <v>13</v>
      </c>
      <c r="C71" s="110">
        <v>0.0030840746831785754</v>
      </c>
      <c r="D71" s="83" t="s">
        <v>3175</v>
      </c>
      <c r="E71" s="83" t="b">
        <v>0</v>
      </c>
      <c r="F71" s="83" t="b">
        <v>0</v>
      </c>
      <c r="G71" s="83" t="b">
        <v>0</v>
      </c>
    </row>
    <row r="72" spans="1:7" ht="15">
      <c r="A72" s="84" t="s">
        <v>2191</v>
      </c>
      <c r="B72" s="83">
        <v>13</v>
      </c>
      <c r="C72" s="110">
        <v>0.0033775179280234736</v>
      </c>
      <c r="D72" s="83" t="s">
        <v>3175</v>
      </c>
      <c r="E72" s="83" t="b">
        <v>0</v>
      </c>
      <c r="F72" s="83" t="b">
        <v>0</v>
      </c>
      <c r="G72" s="83" t="b">
        <v>0</v>
      </c>
    </row>
    <row r="73" spans="1:7" ht="15">
      <c r="A73" s="84" t="s">
        <v>2192</v>
      </c>
      <c r="B73" s="83">
        <v>13</v>
      </c>
      <c r="C73" s="110">
        <v>0.0030840746831785754</v>
      </c>
      <c r="D73" s="83" t="s">
        <v>3175</v>
      </c>
      <c r="E73" s="83" t="b">
        <v>0</v>
      </c>
      <c r="F73" s="83" t="b">
        <v>0</v>
      </c>
      <c r="G73" s="83" t="b">
        <v>0</v>
      </c>
    </row>
    <row r="74" spans="1:7" ht="15">
      <c r="A74" s="84" t="s">
        <v>2193</v>
      </c>
      <c r="B74" s="83">
        <v>13</v>
      </c>
      <c r="C74" s="110">
        <v>0.0031479485180011557</v>
      </c>
      <c r="D74" s="83" t="s">
        <v>3175</v>
      </c>
      <c r="E74" s="83" t="b">
        <v>0</v>
      </c>
      <c r="F74" s="83" t="b">
        <v>0</v>
      </c>
      <c r="G74" s="83" t="b">
        <v>0</v>
      </c>
    </row>
    <row r="75" spans="1:7" ht="15">
      <c r="A75" s="84" t="s">
        <v>2194</v>
      </c>
      <c r="B75" s="83">
        <v>13</v>
      </c>
      <c r="C75" s="110">
        <v>0.0031479485180011557</v>
      </c>
      <c r="D75" s="83" t="s">
        <v>3175</v>
      </c>
      <c r="E75" s="83" t="b">
        <v>0</v>
      </c>
      <c r="F75" s="83" t="b">
        <v>0</v>
      </c>
      <c r="G75" s="83" t="b">
        <v>0</v>
      </c>
    </row>
    <row r="76" spans="1:7" ht="15">
      <c r="A76" s="84" t="s">
        <v>2195</v>
      </c>
      <c r="B76" s="83">
        <v>12</v>
      </c>
      <c r="C76" s="110">
        <v>0.002905798632001067</v>
      </c>
      <c r="D76" s="83" t="s">
        <v>3175</v>
      </c>
      <c r="E76" s="83" t="b">
        <v>0</v>
      </c>
      <c r="F76" s="83" t="b">
        <v>0</v>
      </c>
      <c r="G76" s="83" t="b">
        <v>0</v>
      </c>
    </row>
    <row r="77" spans="1:7" ht="15">
      <c r="A77" s="84" t="s">
        <v>2196</v>
      </c>
      <c r="B77" s="83">
        <v>12</v>
      </c>
      <c r="C77" s="110">
        <v>0.0030400989786542824</v>
      </c>
      <c r="D77" s="83" t="s">
        <v>3175</v>
      </c>
      <c r="E77" s="83" t="b">
        <v>0</v>
      </c>
      <c r="F77" s="83" t="b">
        <v>0</v>
      </c>
      <c r="G77" s="83" t="b">
        <v>0</v>
      </c>
    </row>
    <row r="78" spans="1:7" ht="15">
      <c r="A78" s="84" t="s">
        <v>2197</v>
      </c>
      <c r="B78" s="83">
        <v>12</v>
      </c>
      <c r="C78" s="110">
        <v>0.0029698923041809678</v>
      </c>
      <c r="D78" s="83" t="s">
        <v>3175</v>
      </c>
      <c r="E78" s="83" t="b">
        <v>0</v>
      </c>
      <c r="F78" s="83" t="b">
        <v>0</v>
      </c>
      <c r="G78" s="83" t="b">
        <v>0</v>
      </c>
    </row>
    <row r="79" spans="1:7" ht="15">
      <c r="A79" s="84" t="s">
        <v>2198</v>
      </c>
      <c r="B79" s="83">
        <v>12</v>
      </c>
      <c r="C79" s="110">
        <v>0.003117708856637053</v>
      </c>
      <c r="D79" s="83" t="s">
        <v>3175</v>
      </c>
      <c r="E79" s="83" t="b">
        <v>0</v>
      </c>
      <c r="F79" s="83" t="b">
        <v>0</v>
      </c>
      <c r="G79" s="83" t="b">
        <v>0</v>
      </c>
    </row>
    <row r="80" spans="1:7" ht="15">
      <c r="A80" s="84" t="s">
        <v>2199</v>
      </c>
      <c r="B80" s="83">
        <v>12</v>
      </c>
      <c r="C80" s="110">
        <v>0.002905798632001067</v>
      </c>
      <c r="D80" s="83" t="s">
        <v>3175</v>
      </c>
      <c r="E80" s="83" t="b">
        <v>0</v>
      </c>
      <c r="F80" s="83" t="b">
        <v>0</v>
      </c>
      <c r="G80" s="83" t="b">
        <v>0</v>
      </c>
    </row>
    <row r="81" spans="1:7" ht="15">
      <c r="A81" s="84" t="s">
        <v>2200</v>
      </c>
      <c r="B81" s="83">
        <v>12</v>
      </c>
      <c r="C81" s="110">
        <v>0.003117708856637053</v>
      </c>
      <c r="D81" s="83" t="s">
        <v>3175</v>
      </c>
      <c r="E81" s="83" t="b">
        <v>0</v>
      </c>
      <c r="F81" s="83" t="b">
        <v>0</v>
      </c>
      <c r="G81" s="83" t="b">
        <v>0</v>
      </c>
    </row>
    <row r="82" spans="1:7" ht="15">
      <c r="A82" s="84" t="s">
        <v>2201</v>
      </c>
      <c r="B82" s="83">
        <v>12</v>
      </c>
      <c r="C82" s="110">
        <v>0.0030400989786542824</v>
      </c>
      <c r="D82" s="83" t="s">
        <v>3175</v>
      </c>
      <c r="E82" s="83" t="b">
        <v>0</v>
      </c>
      <c r="F82" s="83" t="b">
        <v>1</v>
      </c>
      <c r="G82" s="83" t="b">
        <v>0</v>
      </c>
    </row>
    <row r="83" spans="1:7" ht="15">
      <c r="A83" s="84" t="s">
        <v>2202</v>
      </c>
      <c r="B83" s="83">
        <v>11</v>
      </c>
      <c r="C83" s="110">
        <v>0.0028578997852506316</v>
      </c>
      <c r="D83" s="83" t="s">
        <v>3175</v>
      </c>
      <c r="E83" s="83" t="b">
        <v>0</v>
      </c>
      <c r="F83" s="83" t="b">
        <v>1</v>
      </c>
      <c r="G83" s="83" t="b">
        <v>0</v>
      </c>
    </row>
    <row r="84" spans="1:7" ht="15">
      <c r="A84" s="84" t="s">
        <v>2203</v>
      </c>
      <c r="B84" s="83">
        <v>11</v>
      </c>
      <c r="C84" s="110">
        <v>0.002786757397099759</v>
      </c>
      <c r="D84" s="83" t="s">
        <v>3175</v>
      </c>
      <c r="E84" s="83" t="b">
        <v>0</v>
      </c>
      <c r="F84" s="83" t="b">
        <v>0</v>
      </c>
      <c r="G84" s="83" t="b">
        <v>0</v>
      </c>
    </row>
    <row r="85" spans="1:7" ht="15">
      <c r="A85" s="84" t="s">
        <v>2204</v>
      </c>
      <c r="B85" s="83">
        <v>11</v>
      </c>
      <c r="C85" s="110">
        <v>0.002786757397099759</v>
      </c>
      <c r="D85" s="83" t="s">
        <v>3175</v>
      </c>
      <c r="E85" s="83" t="b">
        <v>0</v>
      </c>
      <c r="F85" s="83" t="b">
        <v>0</v>
      </c>
      <c r="G85" s="83" t="b">
        <v>0</v>
      </c>
    </row>
    <row r="86" spans="1:7" ht="15">
      <c r="A86" s="84" t="s">
        <v>2205</v>
      </c>
      <c r="B86" s="83">
        <v>11</v>
      </c>
      <c r="C86" s="110">
        <v>0.0029374302088437335</v>
      </c>
      <c r="D86" s="83" t="s">
        <v>3175</v>
      </c>
      <c r="E86" s="83" t="b">
        <v>0</v>
      </c>
      <c r="F86" s="83" t="b">
        <v>0</v>
      </c>
      <c r="G86" s="83" t="b">
        <v>0</v>
      </c>
    </row>
    <row r="87" spans="1:7" ht="15">
      <c r="A87" s="84" t="s">
        <v>2206</v>
      </c>
      <c r="B87" s="83">
        <v>11</v>
      </c>
      <c r="C87" s="110">
        <v>0.0027224012788325536</v>
      </c>
      <c r="D87" s="83" t="s">
        <v>3175</v>
      </c>
      <c r="E87" s="83" t="b">
        <v>0</v>
      </c>
      <c r="F87" s="83" t="b">
        <v>0</v>
      </c>
      <c r="G87" s="83" t="b">
        <v>0</v>
      </c>
    </row>
    <row r="88" spans="1:7" ht="15">
      <c r="A88" s="84" t="s">
        <v>2207</v>
      </c>
      <c r="B88" s="83">
        <v>11</v>
      </c>
      <c r="C88" s="110">
        <v>0.0029374302088437335</v>
      </c>
      <c r="D88" s="83" t="s">
        <v>3175</v>
      </c>
      <c r="E88" s="83" t="b">
        <v>0</v>
      </c>
      <c r="F88" s="83" t="b">
        <v>0</v>
      </c>
      <c r="G88" s="83" t="b">
        <v>0</v>
      </c>
    </row>
    <row r="89" spans="1:7" ht="15">
      <c r="A89" s="84" t="s">
        <v>844</v>
      </c>
      <c r="B89" s="83">
        <v>11</v>
      </c>
      <c r="C89" s="110">
        <v>0.0027224012788325536</v>
      </c>
      <c r="D89" s="83" t="s">
        <v>3175</v>
      </c>
      <c r="E89" s="83" t="b">
        <v>1</v>
      </c>
      <c r="F89" s="83" t="b">
        <v>0</v>
      </c>
      <c r="G89" s="83" t="b">
        <v>0</v>
      </c>
    </row>
    <row r="90" spans="1:7" ht="15">
      <c r="A90" s="84" t="s">
        <v>2208</v>
      </c>
      <c r="B90" s="83">
        <v>11</v>
      </c>
      <c r="C90" s="110">
        <v>0.0029374302088437335</v>
      </c>
      <c r="D90" s="83" t="s">
        <v>3175</v>
      </c>
      <c r="E90" s="83" t="b">
        <v>0</v>
      </c>
      <c r="F90" s="83" t="b">
        <v>0</v>
      </c>
      <c r="G90" s="83" t="b">
        <v>0</v>
      </c>
    </row>
    <row r="91" spans="1:7" ht="15">
      <c r="A91" s="84" t="s">
        <v>2209</v>
      </c>
      <c r="B91" s="83">
        <v>11</v>
      </c>
      <c r="C91" s="110">
        <v>0.0027224012788325536</v>
      </c>
      <c r="D91" s="83" t="s">
        <v>3175</v>
      </c>
      <c r="E91" s="83" t="b">
        <v>0</v>
      </c>
      <c r="F91" s="83" t="b">
        <v>0</v>
      </c>
      <c r="G91" s="83" t="b">
        <v>0</v>
      </c>
    </row>
    <row r="92" spans="1:7" ht="15">
      <c r="A92" s="84" t="s">
        <v>2210</v>
      </c>
      <c r="B92" s="83">
        <v>11</v>
      </c>
      <c r="C92" s="110">
        <v>0.0028578997852506316</v>
      </c>
      <c r="D92" s="83" t="s">
        <v>3175</v>
      </c>
      <c r="E92" s="83" t="b">
        <v>0</v>
      </c>
      <c r="F92" s="83" t="b">
        <v>1</v>
      </c>
      <c r="G92" s="83" t="b">
        <v>0</v>
      </c>
    </row>
    <row r="93" spans="1:7" ht="15">
      <c r="A93" s="84" t="s">
        <v>2211</v>
      </c>
      <c r="B93" s="83">
        <v>11</v>
      </c>
      <c r="C93" s="110">
        <v>0.0028578997852506316</v>
      </c>
      <c r="D93" s="83" t="s">
        <v>3175</v>
      </c>
      <c r="E93" s="83" t="b">
        <v>0</v>
      </c>
      <c r="F93" s="83" t="b">
        <v>0</v>
      </c>
      <c r="G93" s="83" t="b">
        <v>0</v>
      </c>
    </row>
    <row r="94" spans="1:7" ht="15">
      <c r="A94" s="84" t="s">
        <v>2212</v>
      </c>
      <c r="B94" s="83">
        <v>11</v>
      </c>
      <c r="C94" s="110">
        <v>0.0029374302088437335</v>
      </c>
      <c r="D94" s="83" t="s">
        <v>3175</v>
      </c>
      <c r="E94" s="83" t="b">
        <v>0</v>
      </c>
      <c r="F94" s="83" t="b">
        <v>0</v>
      </c>
      <c r="G94" s="83" t="b">
        <v>0</v>
      </c>
    </row>
    <row r="95" spans="1:7" ht="15">
      <c r="A95" s="84" t="s">
        <v>2213</v>
      </c>
      <c r="B95" s="83">
        <v>11</v>
      </c>
      <c r="C95" s="110">
        <v>0.0028578997852506316</v>
      </c>
      <c r="D95" s="83" t="s">
        <v>3175</v>
      </c>
      <c r="E95" s="83" t="b">
        <v>0</v>
      </c>
      <c r="F95" s="83" t="b">
        <v>0</v>
      </c>
      <c r="G95" s="83" t="b">
        <v>0</v>
      </c>
    </row>
    <row r="96" spans="1:7" ht="15">
      <c r="A96" s="84" t="s">
        <v>2214</v>
      </c>
      <c r="B96" s="83">
        <v>11</v>
      </c>
      <c r="C96" s="110">
        <v>0.0028578997852506316</v>
      </c>
      <c r="D96" s="83" t="s">
        <v>3175</v>
      </c>
      <c r="E96" s="83" t="b">
        <v>0</v>
      </c>
      <c r="F96" s="83" t="b">
        <v>1</v>
      </c>
      <c r="G96" s="83" t="b">
        <v>0</v>
      </c>
    </row>
    <row r="97" spans="1:7" ht="15">
      <c r="A97" s="84" t="s">
        <v>2215</v>
      </c>
      <c r="B97" s="83">
        <v>10</v>
      </c>
      <c r="C97" s="110">
        <v>0.002533415815545235</v>
      </c>
      <c r="D97" s="83" t="s">
        <v>3175</v>
      </c>
      <c r="E97" s="83" t="b">
        <v>0</v>
      </c>
      <c r="F97" s="83" t="b">
        <v>0</v>
      </c>
      <c r="G97" s="83" t="b">
        <v>0</v>
      </c>
    </row>
    <row r="98" spans="1:7" ht="15">
      <c r="A98" s="84" t="s">
        <v>2216</v>
      </c>
      <c r="B98" s="83">
        <v>10</v>
      </c>
      <c r="C98" s="110">
        <v>0.0025980907138642103</v>
      </c>
      <c r="D98" s="83" t="s">
        <v>3175</v>
      </c>
      <c r="E98" s="83" t="b">
        <v>0</v>
      </c>
      <c r="F98" s="83" t="b">
        <v>0</v>
      </c>
      <c r="G98" s="83" t="b">
        <v>0</v>
      </c>
    </row>
    <row r="99" spans="1:7" ht="15">
      <c r="A99" s="84" t="s">
        <v>2217</v>
      </c>
      <c r="B99" s="83">
        <v>10</v>
      </c>
      <c r="C99" s="110">
        <v>0.002533415815545235</v>
      </c>
      <c r="D99" s="83" t="s">
        <v>3175</v>
      </c>
      <c r="E99" s="83" t="b">
        <v>0</v>
      </c>
      <c r="F99" s="83" t="b">
        <v>0</v>
      </c>
      <c r="G99" s="83" t="b">
        <v>0</v>
      </c>
    </row>
    <row r="100" spans="1:7" ht="15">
      <c r="A100" s="84" t="s">
        <v>2218</v>
      </c>
      <c r="B100" s="83">
        <v>10</v>
      </c>
      <c r="C100" s="110">
        <v>0.003095875191760129</v>
      </c>
      <c r="D100" s="83" t="s">
        <v>3175</v>
      </c>
      <c r="E100" s="83" t="b">
        <v>0</v>
      </c>
      <c r="F100" s="83" t="b">
        <v>0</v>
      </c>
      <c r="G100" s="83" t="b">
        <v>0</v>
      </c>
    </row>
    <row r="101" spans="1:7" ht="15">
      <c r="A101" s="84" t="s">
        <v>2219</v>
      </c>
      <c r="B101" s="83">
        <v>10</v>
      </c>
      <c r="C101" s="110">
        <v>0.0025980907138642103</v>
      </c>
      <c r="D101" s="83" t="s">
        <v>3175</v>
      </c>
      <c r="E101" s="83" t="b">
        <v>0</v>
      </c>
      <c r="F101" s="83" t="b">
        <v>0</v>
      </c>
      <c r="G101" s="83" t="b">
        <v>0</v>
      </c>
    </row>
    <row r="102" spans="1:7" ht="15">
      <c r="A102" s="84" t="s">
        <v>2220</v>
      </c>
      <c r="B102" s="83">
        <v>10</v>
      </c>
      <c r="C102" s="110">
        <v>0.0025980907138642103</v>
      </c>
      <c r="D102" s="83" t="s">
        <v>3175</v>
      </c>
      <c r="E102" s="83" t="b">
        <v>0</v>
      </c>
      <c r="F102" s="83" t="b">
        <v>0</v>
      </c>
      <c r="G102" s="83" t="b">
        <v>0</v>
      </c>
    </row>
    <row r="103" spans="1:7" ht="15">
      <c r="A103" s="84" t="s">
        <v>2221</v>
      </c>
      <c r="B103" s="83">
        <v>10</v>
      </c>
      <c r="C103" s="110">
        <v>0.0026703910989488485</v>
      </c>
      <c r="D103" s="83" t="s">
        <v>3175</v>
      </c>
      <c r="E103" s="83" t="b">
        <v>0</v>
      </c>
      <c r="F103" s="83" t="b">
        <v>0</v>
      </c>
      <c r="G103" s="83" t="b">
        <v>0</v>
      </c>
    </row>
    <row r="104" spans="1:7" ht="15">
      <c r="A104" s="84" t="s">
        <v>2222</v>
      </c>
      <c r="B104" s="83">
        <v>10</v>
      </c>
      <c r="C104" s="110">
        <v>0.0025980907138642103</v>
      </c>
      <c r="D104" s="83" t="s">
        <v>3175</v>
      </c>
      <c r="E104" s="83" t="b">
        <v>0</v>
      </c>
      <c r="F104" s="83" t="b">
        <v>0</v>
      </c>
      <c r="G104" s="83" t="b">
        <v>0</v>
      </c>
    </row>
    <row r="105" spans="1:7" ht="15">
      <c r="A105" s="84" t="s">
        <v>2223</v>
      </c>
      <c r="B105" s="83">
        <v>10</v>
      </c>
      <c r="C105" s="110">
        <v>0.002533415815545235</v>
      </c>
      <c r="D105" s="83" t="s">
        <v>3175</v>
      </c>
      <c r="E105" s="83" t="b">
        <v>1</v>
      </c>
      <c r="F105" s="83" t="b">
        <v>0</v>
      </c>
      <c r="G105" s="83" t="b">
        <v>0</v>
      </c>
    </row>
    <row r="106" spans="1:7" ht="15">
      <c r="A106" s="84" t="s">
        <v>2224</v>
      </c>
      <c r="B106" s="83">
        <v>10</v>
      </c>
      <c r="C106" s="110">
        <v>0.0026703910989488485</v>
      </c>
      <c r="D106" s="83" t="s">
        <v>3175</v>
      </c>
      <c r="E106" s="83" t="b">
        <v>0</v>
      </c>
      <c r="F106" s="83" t="b">
        <v>0</v>
      </c>
      <c r="G106" s="83" t="b">
        <v>0</v>
      </c>
    </row>
    <row r="107" spans="1:7" ht="15">
      <c r="A107" s="84" t="s">
        <v>2225</v>
      </c>
      <c r="B107" s="83">
        <v>10</v>
      </c>
      <c r="C107" s="110">
        <v>0.0025980907138642103</v>
      </c>
      <c r="D107" s="83" t="s">
        <v>3175</v>
      </c>
      <c r="E107" s="83" t="b">
        <v>0</v>
      </c>
      <c r="F107" s="83" t="b">
        <v>0</v>
      </c>
      <c r="G107" s="83" t="b">
        <v>0</v>
      </c>
    </row>
    <row r="108" spans="1:7" ht="15">
      <c r="A108" s="84" t="s">
        <v>2226</v>
      </c>
      <c r="B108" s="83">
        <v>10</v>
      </c>
      <c r="C108" s="110">
        <v>0.0025980907138642103</v>
      </c>
      <c r="D108" s="83" t="s">
        <v>3175</v>
      </c>
      <c r="E108" s="83" t="b">
        <v>0</v>
      </c>
      <c r="F108" s="83" t="b">
        <v>0</v>
      </c>
      <c r="G108" s="83" t="b">
        <v>0</v>
      </c>
    </row>
    <row r="109" spans="1:7" ht="15">
      <c r="A109" s="84" t="s">
        <v>2227</v>
      </c>
      <c r="B109" s="83">
        <v>10</v>
      </c>
      <c r="C109" s="110">
        <v>0.0025980907138642103</v>
      </c>
      <c r="D109" s="83" t="s">
        <v>3175</v>
      </c>
      <c r="E109" s="83" t="b">
        <v>0</v>
      </c>
      <c r="F109" s="83" t="b">
        <v>0</v>
      </c>
      <c r="G109" s="83" t="b">
        <v>0</v>
      </c>
    </row>
    <row r="110" spans="1:7" ht="15">
      <c r="A110" s="84" t="s">
        <v>2228</v>
      </c>
      <c r="B110" s="83">
        <v>9</v>
      </c>
      <c r="C110" s="110">
        <v>0.002562284657530953</v>
      </c>
      <c r="D110" s="83" t="s">
        <v>3175</v>
      </c>
      <c r="E110" s="83" t="b">
        <v>0</v>
      </c>
      <c r="F110" s="83" t="b">
        <v>0</v>
      </c>
      <c r="G110" s="83" t="b">
        <v>0</v>
      </c>
    </row>
    <row r="111" spans="1:7" ht="15">
      <c r="A111" s="84" t="s">
        <v>2229</v>
      </c>
      <c r="B111" s="83">
        <v>9</v>
      </c>
      <c r="C111" s="110">
        <v>0.0023382816424777895</v>
      </c>
      <c r="D111" s="83" t="s">
        <v>3175</v>
      </c>
      <c r="E111" s="83" t="b">
        <v>0</v>
      </c>
      <c r="F111" s="83" t="b">
        <v>0</v>
      </c>
      <c r="G111" s="83" t="b">
        <v>0</v>
      </c>
    </row>
    <row r="112" spans="1:7" ht="15">
      <c r="A112" s="84" t="s">
        <v>2230</v>
      </c>
      <c r="B112" s="83">
        <v>9</v>
      </c>
      <c r="C112" s="110">
        <v>0.002403351989053964</v>
      </c>
      <c r="D112" s="83" t="s">
        <v>3175</v>
      </c>
      <c r="E112" s="83" t="b">
        <v>0</v>
      </c>
      <c r="F112" s="83" t="b">
        <v>0</v>
      </c>
      <c r="G112" s="83" t="b">
        <v>0</v>
      </c>
    </row>
    <row r="113" spans="1:7" ht="15">
      <c r="A113" s="84" t="s">
        <v>2231</v>
      </c>
      <c r="B113" s="83">
        <v>9</v>
      </c>
      <c r="C113" s="110">
        <v>0.002562284657530953</v>
      </c>
      <c r="D113" s="83" t="s">
        <v>3175</v>
      </c>
      <c r="E113" s="83" t="b">
        <v>0</v>
      </c>
      <c r="F113" s="83" t="b">
        <v>1</v>
      </c>
      <c r="G113" s="83" t="b">
        <v>0</v>
      </c>
    </row>
    <row r="114" spans="1:7" ht="15">
      <c r="A114" s="84" t="s">
        <v>2232</v>
      </c>
      <c r="B114" s="83">
        <v>9</v>
      </c>
      <c r="C114" s="110">
        <v>0.0023382816424777895</v>
      </c>
      <c r="D114" s="83" t="s">
        <v>3175</v>
      </c>
      <c r="E114" s="83" t="b">
        <v>0</v>
      </c>
      <c r="F114" s="83" t="b">
        <v>0</v>
      </c>
      <c r="G114" s="83" t="b">
        <v>0</v>
      </c>
    </row>
    <row r="115" spans="1:7" ht="15">
      <c r="A115" s="84" t="s">
        <v>2233</v>
      </c>
      <c r="B115" s="83">
        <v>9</v>
      </c>
      <c r="C115" s="110">
        <v>0.002403351989053964</v>
      </c>
      <c r="D115" s="83" t="s">
        <v>3175</v>
      </c>
      <c r="E115" s="83" t="b">
        <v>0</v>
      </c>
      <c r="F115" s="83" t="b">
        <v>0</v>
      </c>
      <c r="G115" s="83" t="b">
        <v>0</v>
      </c>
    </row>
    <row r="116" spans="1:7" ht="15">
      <c r="A116" s="84" t="s">
        <v>2234</v>
      </c>
      <c r="B116" s="83">
        <v>9</v>
      </c>
      <c r="C116" s="110">
        <v>0.002403351989053964</v>
      </c>
      <c r="D116" s="83" t="s">
        <v>3175</v>
      </c>
      <c r="E116" s="83" t="b">
        <v>0</v>
      </c>
      <c r="F116" s="83" t="b">
        <v>0</v>
      </c>
      <c r="G116" s="83" t="b">
        <v>0</v>
      </c>
    </row>
    <row r="117" spans="1:7" ht="15">
      <c r="A117" s="84" t="s">
        <v>2235</v>
      </c>
      <c r="B117" s="83">
        <v>9</v>
      </c>
      <c r="C117" s="110">
        <v>0.002562284657530953</v>
      </c>
      <c r="D117" s="83" t="s">
        <v>3175</v>
      </c>
      <c r="E117" s="83" t="b">
        <v>0</v>
      </c>
      <c r="F117" s="83" t="b">
        <v>0</v>
      </c>
      <c r="G117" s="83" t="b">
        <v>0</v>
      </c>
    </row>
    <row r="118" spans="1:7" ht="15">
      <c r="A118" s="84" t="s">
        <v>2236</v>
      </c>
      <c r="B118" s="83">
        <v>9</v>
      </c>
      <c r="C118" s="110">
        <v>0.0024771226636545545</v>
      </c>
      <c r="D118" s="83" t="s">
        <v>3175</v>
      </c>
      <c r="E118" s="83" t="b">
        <v>0</v>
      </c>
      <c r="F118" s="83" t="b">
        <v>1</v>
      </c>
      <c r="G118" s="83" t="b">
        <v>0</v>
      </c>
    </row>
    <row r="119" spans="1:7" ht="15">
      <c r="A119" s="84" t="s">
        <v>2237</v>
      </c>
      <c r="B119" s="83">
        <v>9</v>
      </c>
      <c r="C119" s="110">
        <v>0.0023382816424777895</v>
      </c>
      <c r="D119" s="83" t="s">
        <v>3175</v>
      </c>
      <c r="E119" s="83" t="b">
        <v>0</v>
      </c>
      <c r="F119" s="83" t="b">
        <v>0</v>
      </c>
      <c r="G119" s="83" t="b">
        <v>0</v>
      </c>
    </row>
    <row r="120" spans="1:7" ht="15">
      <c r="A120" s="84" t="s">
        <v>2238</v>
      </c>
      <c r="B120" s="83">
        <v>9</v>
      </c>
      <c r="C120" s="110">
        <v>0.002403351989053964</v>
      </c>
      <c r="D120" s="83" t="s">
        <v>3175</v>
      </c>
      <c r="E120" s="83" t="b">
        <v>0</v>
      </c>
      <c r="F120" s="83" t="b">
        <v>0</v>
      </c>
      <c r="G120" s="83" t="b">
        <v>0</v>
      </c>
    </row>
    <row r="121" spans="1:7" ht="15">
      <c r="A121" s="84" t="s">
        <v>2239</v>
      </c>
      <c r="B121" s="83">
        <v>9</v>
      </c>
      <c r="C121" s="110">
        <v>0.0024771226636545545</v>
      </c>
      <c r="D121" s="83" t="s">
        <v>3175</v>
      </c>
      <c r="E121" s="83" t="b">
        <v>0</v>
      </c>
      <c r="F121" s="83" t="b">
        <v>0</v>
      </c>
      <c r="G121" s="83" t="b">
        <v>0</v>
      </c>
    </row>
    <row r="122" spans="1:7" ht="15">
      <c r="A122" s="84" t="s">
        <v>2240</v>
      </c>
      <c r="B122" s="83">
        <v>9</v>
      </c>
      <c r="C122" s="110">
        <v>0.0023382816424777895</v>
      </c>
      <c r="D122" s="83" t="s">
        <v>3175</v>
      </c>
      <c r="E122" s="83" t="b">
        <v>0</v>
      </c>
      <c r="F122" s="83" t="b">
        <v>0</v>
      </c>
      <c r="G122" s="83" t="b">
        <v>0</v>
      </c>
    </row>
    <row r="123" spans="1:7" ht="15">
      <c r="A123" s="84" t="s">
        <v>2241</v>
      </c>
      <c r="B123" s="83">
        <v>9</v>
      </c>
      <c r="C123" s="110">
        <v>0.0024771226636545545</v>
      </c>
      <c r="D123" s="83" t="s">
        <v>3175</v>
      </c>
      <c r="E123" s="83" t="b">
        <v>0</v>
      </c>
      <c r="F123" s="83" t="b">
        <v>0</v>
      </c>
      <c r="G123" s="83" t="b">
        <v>0</v>
      </c>
    </row>
    <row r="124" spans="1:7" ht="15">
      <c r="A124" s="84" t="s">
        <v>2242</v>
      </c>
      <c r="B124" s="83">
        <v>9</v>
      </c>
      <c r="C124" s="110">
        <v>0.002663009917520865</v>
      </c>
      <c r="D124" s="83" t="s">
        <v>3175</v>
      </c>
      <c r="E124" s="83" t="b">
        <v>0</v>
      </c>
      <c r="F124" s="83" t="b">
        <v>0</v>
      </c>
      <c r="G124" s="83" t="b">
        <v>0</v>
      </c>
    </row>
    <row r="125" spans="1:7" ht="15">
      <c r="A125" s="84" t="s">
        <v>2243</v>
      </c>
      <c r="B125" s="83">
        <v>8</v>
      </c>
      <c r="C125" s="110">
        <v>0.002136312879159079</v>
      </c>
      <c r="D125" s="83" t="s">
        <v>3175</v>
      </c>
      <c r="E125" s="83" t="b">
        <v>0</v>
      </c>
      <c r="F125" s="83" t="b">
        <v>1</v>
      </c>
      <c r="G125" s="83" t="b">
        <v>0</v>
      </c>
    </row>
    <row r="126" spans="1:7" ht="15">
      <c r="A126" s="84" t="s">
        <v>2244</v>
      </c>
      <c r="B126" s="83">
        <v>8</v>
      </c>
      <c r="C126" s="110">
        <v>0.0022018868121373818</v>
      </c>
      <c r="D126" s="83" t="s">
        <v>3175</v>
      </c>
      <c r="E126" s="83" t="b">
        <v>0</v>
      </c>
      <c r="F126" s="83" t="b">
        <v>0</v>
      </c>
      <c r="G126" s="83" t="b">
        <v>0</v>
      </c>
    </row>
    <row r="127" spans="1:7" ht="15">
      <c r="A127" s="84" t="s">
        <v>2245</v>
      </c>
      <c r="B127" s="83">
        <v>8</v>
      </c>
      <c r="C127" s="110">
        <v>0.002136312879159079</v>
      </c>
      <c r="D127" s="83" t="s">
        <v>3175</v>
      </c>
      <c r="E127" s="83" t="b">
        <v>0</v>
      </c>
      <c r="F127" s="83" t="b">
        <v>0</v>
      </c>
      <c r="G127" s="83" t="b">
        <v>0</v>
      </c>
    </row>
    <row r="128" spans="1:7" ht="15">
      <c r="A128" s="84" t="s">
        <v>2246</v>
      </c>
      <c r="B128" s="83">
        <v>8</v>
      </c>
      <c r="C128" s="110">
        <v>0.002136312879159079</v>
      </c>
      <c r="D128" s="83" t="s">
        <v>3175</v>
      </c>
      <c r="E128" s="83" t="b">
        <v>0</v>
      </c>
      <c r="F128" s="83" t="b">
        <v>0</v>
      </c>
      <c r="G128" s="83" t="b">
        <v>0</v>
      </c>
    </row>
    <row r="129" spans="1:7" ht="15">
      <c r="A129" s="84" t="s">
        <v>2247</v>
      </c>
      <c r="B129" s="83">
        <v>8</v>
      </c>
      <c r="C129" s="110">
        <v>0.002367119926685213</v>
      </c>
      <c r="D129" s="83" t="s">
        <v>3175</v>
      </c>
      <c r="E129" s="83" t="b">
        <v>0</v>
      </c>
      <c r="F129" s="83" t="b">
        <v>0</v>
      </c>
      <c r="G129" s="83" t="b">
        <v>0</v>
      </c>
    </row>
    <row r="130" spans="1:7" ht="15">
      <c r="A130" s="84" t="s">
        <v>2248</v>
      </c>
      <c r="B130" s="83">
        <v>8</v>
      </c>
      <c r="C130" s="110">
        <v>0.0022018868121373818</v>
      </c>
      <c r="D130" s="83" t="s">
        <v>3175</v>
      </c>
      <c r="E130" s="83" t="b">
        <v>0</v>
      </c>
      <c r="F130" s="83" t="b">
        <v>0</v>
      </c>
      <c r="G130" s="83" t="b">
        <v>0</v>
      </c>
    </row>
    <row r="131" spans="1:7" ht="15">
      <c r="A131" s="84" t="s">
        <v>2249</v>
      </c>
      <c r="B131" s="83">
        <v>8</v>
      </c>
      <c r="C131" s="110">
        <v>0.002136312879159079</v>
      </c>
      <c r="D131" s="83" t="s">
        <v>3175</v>
      </c>
      <c r="E131" s="83" t="b">
        <v>1</v>
      </c>
      <c r="F131" s="83" t="b">
        <v>0</v>
      </c>
      <c r="G131" s="83" t="b">
        <v>0</v>
      </c>
    </row>
    <row r="132" spans="1:7" ht="15">
      <c r="A132" s="84" t="s">
        <v>2250</v>
      </c>
      <c r="B132" s="83">
        <v>8</v>
      </c>
      <c r="C132" s="110">
        <v>0.0022775863622497357</v>
      </c>
      <c r="D132" s="83" t="s">
        <v>3175</v>
      </c>
      <c r="E132" s="83" t="b">
        <v>0</v>
      </c>
      <c r="F132" s="83" t="b">
        <v>1</v>
      </c>
      <c r="G132" s="83" t="b">
        <v>0</v>
      </c>
    </row>
    <row r="133" spans="1:7" ht="15">
      <c r="A133" s="84" t="s">
        <v>2251</v>
      </c>
      <c r="B133" s="83">
        <v>8</v>
      </c>
      <c r="C133" s="110">
        <v>0.0022775863622497357</v>
      </c>
      <c r="D133" s="83" t="s">
        <v>3175</v>
      </c>
      <c r="E133" s="83" t="b">
        <v>0</v>
      </c>
      <c r="F133" s="83" t="b">
        <v>0</v>
      </c>
      <c r="G133" s="83" t="b">
        <v>0</v>
      </c>
    </row>
    <row r="134" spans="1:7" ht="15">
      <c r="A134" s="84" t="s">
        <v>2252</v>
      </c>
      <c r="B134" s="83">
        <v>8</v>
      </c>
      <c r="C134" s="110">
        <v>0.0022018868121373818</v>
      </c>
      <c r="D134" s="83" t="s">
        <v>3175</v>
      </c>
      <c r="E134" s="83" t="b">
        <v>0</v>
      </c>
      <c r="F134" s="83" t="b">
        <v>0</v>
      </c>
      <c r="G134" s="83" t="b">
        <v>0</v>
      </c>
    </row>
    <row r="135" spans="1:7" ht="15">
      <c r="A135" s="84" t="s">
        <v>2253</v>
      </c>
      <c r="B135" s="83">
        <v>8</v>
      </c>
      <c r="C135" s="110">
        <v>0.002136312879159079</v>
      </c>
      <c r="D135" s="83" t="s">
        <v>3175</v>
      </c>
      <c r="E135" s="83" t="b">
        <v>0</v>
      </c>
      <c r="F135" s="83" t="b">
        <v>0</v>
      </c>
      <c r="G135" s="83" t="b">
        <v>0</v>
      </c>
    </row>
    <row r="136" spans="1:7" ht="15">
      <c r="A136" s="84" t="s">
        <v>2254</v>
      </c>
      <c r="B136" s="83">
        <v>8</v>
      </c>
      <c r="C136" s="110">
        <v>0.002136312879159079</v>
      </c>
      <c r="D136" s="83" t="s">
        <v>3175</v>
      </c>
      <c r="E136" s="83" t="b">
        <v>0</v>
      </c>
      <c r="F136" s="83" t="b">
        <v>0</v>
      </c>
      <c r="G136" s="83" t="b">
        <v>0</v>
      </c>
    </row>
    <row r="137" spans="1:7" ht="15">
      <c r="A137" s="84" t="s">
        <v>2255</v>
      </c>
      <c r="B137" s="83">
        <v>8</v>
      </c>
      <c r="C137" s="110">
        <v>0.002136312879159079</v>
      </c>
      <c r="D137" s="83" t="s">
        <v>3175</v>
      </c>
      <c r="E137" s="83" t="b">
        <v>0</v>
      </c>
      <c r="F137" s="83" t="b">
        <v>0</v>
      </c>
      <c r="G137" s="83" t="b">
        <v>0</v>
      </c>
    </row>
    <row r="138" spans="1:7" ht="15">
      <c r="A138" s="84" t="s">
        <v>2256</v>
      </c>
      <c r="B138" s="83">
        <v>8</v>
      </c>
      <c r="C138" s="110">
        <v>0.002136312879159079</v>
      </c>
      <c r="D138" s="83" t="s">
        <v>3175</v>
      </c>
      <c r="E138" s="83" t="b">
        <v>0</v>
      </c>
      <c r="F138" s="83" t="b">
        <v>0</v>
      </c>
      <c r="G138" s="83" t="b">
        <v>0</v>
      </c>
    </row>
    <row r="139" spans="1:7" ht="15">
      <c r="A139" s="84" t="s">
        <v>2257</v>
      </c>
      <c r="B139" s="83">
        <v>8</v>
      </c>
      <c r="C139" s="110">
        <v>0.0022018868121373818</v>
      </c>
      <c r="D139" s="83" t="s">
        <v>3175</v>
      </c>
      <c r="E139" s="83" t="b">
        <v>0</v>
      </c>
      <c r="F139" s="83" t="b">
        <v>0</v>
      </c>
      <c r="G139" s="83" t="b">
        <v>0</v>
      </c>
    </row>
    <row r="140" spans="1:7" ht="15">
      <c r="A140" s="84" t="s">
        <v>2258</v>
      </c>
      <c r="B140" s="83">
        <v>8</v>
      </c>
      <c r="C140" s="110">
        <v>0.002136312879159079</v>
      </c>
      <c r="D140" s="83" t="s">
        <v>3175</v>
      </c>
      <c r="E140" s="83" t="b">
        <v>1</v>
      </c>
      <c r="F140" s="83" t="b">
        <v>0</v>
      </c>
      <c r="G140" s="83" t="b">
        <v>0</v>
      </c>
    </row>
    <row r="141" spans="1:7" ht="15">
      <c r="A141" s="84" t="s">
        <v>2259</v>
      </c>
      <c r="B141" s="83">
        <v>8</v>
      </c>
      <c r="C141" s="110">
        <v>0.002136312879159079</v>
      </c>
      <c r="D141" s="83" t="s">
        <v>3175</v>
      </c>
      <c r="E141" s="83" t="b">
        <v>0</v>
      </c>
      <c r="F141" s="83" t="b">
        <v>0</v>
      </c>
      <c r="G141" s="83" t="b">
        <v>0</v>
      </c>
    </row>
    <row r="142" spans="1:7" ht="15">
      <c r="A142" s="84" t="s">
        <v>2260</v>
      </c>
      <c r="B142" s="83">
        <v>8</v>
      </c>
      <c r="C142" s="110">
        <v>0.0022775863622497357</v>
      </c>
      <c r="D142" s="83" t="s">
        <v>3175</v>
      </c>
      <c r="E142" s="83" t="b">
        <v>0</v>
      </c>
      <c r="F142" s="83" t="b">
        <v>0</v>
      </c>
      <c r="G142" s="83" t="b">
        <v>0</v>
      </c>
    </row>
    <row r="143" spans="1:7" ht="15">
      <c r="A143" s="84" t="s">
        <v>2261</v>
      </c>
      <c r="B143" s="83">
        <v>8</v>
      </c>
      <c r="C143" s="110">
        <v>0.0022775863622497357</v>
      </c>
      <c r="D143" s="83" t="s">
        <v>3175</v>
      </c>
      <c r="E143" s="83" t="b">
        <v>1</v>
      </c>
      <c r="F143" s="83" t="b">
        <v>0</v>
      </c>
      <c r="G143" s="83" t="b">
        <v>0</v>
      </c>
    </row>
    <row r="144" spans="1:7" ht="15">
      <c r="A144" s="84" t="s">
        <v>2262</v>
      </c>
      <c r="B144" s="83">
        <v>8</v>
      </c>
      <c r="C144" s="110">
        <v>0.0028170874276571283</v>
      </c>
      <c r="D144" s="83" t="s">
        <v>3175</v>
      </c>
      <c r="E144" s="83" t="b">
        <v>0</v>
      </c>
      <c r="F144" s="83" t="b">
        <v>0</v>
      </c>
      <c r="G144" s="83" t="b">
        <v>0</v>
      </c>
    </row>
    <row r="145" spans="1:7" ht="15">
      <c r="A145" s="84" t="s">
        <v>2263</v>
      </c>
      <c r="B145" s="83">
        <v>8</v>
      </c>
      <c r="C145" s="110">
        <v>0.002136312879159079</v>
      </c>
      <c r="D145" s="83" t="s">
        <v>3175</v>
      </c>
      <c r="E145" s="83" t="b">
        <v>0</v>
      </c>
      <c r="F145" s="83" t="b">
        <v>0</v>
      </c>
      <c r="G145" s="83" t="b">
        <v>0</v>
      </c>
    </row>
    <row r="146" spans="1:7" ht="15">
      <c r="A146" s="84" t="s">
        <v>2052</v>
      </c>
      <c r="B146" s="83">
        <v>8</v>
      </c>
      <c r="C146" s="110">
        <v>0.002136312879159079</v>
      </c>
      <c r="D146" s="83" t="s">
        <v>3175</v>
      </c>
      <c r="E146" s="83" t="b">
        <v>0</v>
      </c>
      <c r="F146" s="83" t="b">
        <v>0</v>
      </c>
      <c r="G146" s="83" t="b">
        <v>0</v>
      </c>
    </row>
    <row r="147" spans="1:7" ht="15">
      <c r="A147" s="84" t="s">
        <v>2264</v>
      </c>
      <c r="B147" s="83">
        <v>7</v>
      </c>
      <c r="C147" s="110">
        <v>0.001926650960620209</v>
      </c>
      <c r="D147" s="83" t="s">
        <v>3175</v>
      </c>
      <c r="E147" s="83" t="b">
        <v>0</v>
      </c>
      <c r="F147" s="83" t="b">
        <v>0</v>
      </c>
      <c r="G147" s="83" t="b">
        <v>0</v>
      </c>
    </row>
    <row r="148" spans="1:7" ht="15">
      <c r="A148" s="84" t="s">
        <v>2265</v>
      </c>
      <c r="B148" s="83">
        <v>7</v>
      </c>
      <c r="C148" s="110">
        <v>0.001992888066968519</v>
      </c>
      <c r="D148" s="83" t="s">
        <v>3175</v>
      </c>
      <c r="E148" s="83" t="b">
        <v>0</v>
      </c>
      <c r="F148" s="83" t="b">
        <v>0</v>
      </c>
      <c r="G148" s="83" t="b">
        <v>0</v>
      </c>
    </row>
    <row r="149" spans="1:7" ht="15">
      <c r="A149" s="84" t="s">
        <v>2266</v>
      </c>
      <c r="B149" s="83">
        <v>7</v>
      </c>
      <c r="C149" s="110">
        <v>0.001992888066968519</v>
      </c>
      <c r="D149" s="83" t="s">
        <v>3175</v>
      </c>
      <c r="E149" s="83" t="b">
        <v>0</v>
      </c>
      <c r="F149" s="83" t="b">
        <v>0</v>
      </c>
      <c r="G149" s="83" t="b">
        <v>0</v>
      </c>
    </row>
    <row r="150" spans="1:7" ht="15">
      <c r="A150" s="84" t="s">
        <v>2267</v>
      </c>
      <c r="B150" s="83">
        <v>7</v>
      </c>
      <c r="C150" s="110">
        <v>0.001992888066968519</v>
      </c>
      <c r="D150" s="83" t="s">
        <v>3175</v>
      </c>
      <c r="E150" s="83" t="b">
        <v>0</v>
      </c>
      <c r="F150" s="83" t="b">
        <v>0</v>
      </c>
      <c r="G150" s="83" t="b">
        <v>0</v>
      </c>
    </row>
    <row r="151" spans="1:7" ht="15">
      <c r="A151" s="84" t="s">
        <v>2268</v>
      </c>
      <c r="B151" s="83">
        <v>7</v>
      </c>
      <c r="C151" s="110">
        <v>0.001926650960620209</v>
      </c>
      <c r="D151" s="83" t="s">
        <v>3175</v>
      </c>
      <c r="E151" s="83" t="b">
        <v>0</v>
      </c>
      <c r="F151" s="83" t="b">
        <v>0</v>
      </c>
      <c r="G151" s="83" t="b">
        <v>0</v>
      </c>
    </row>
    <row r="152" spans="1:7" ht="15">
      <c r="A152" s="84" t="s">
        <v>2269</v>
      </c>
      <c r="B152" s="83">
        <v>7</v>
      </c>
      <c r="C152" s="110">
        <v>0.0020712299358495614</v>
      </c>
      <c r="D152" s="83" t="s">
        <v>3175</v>
      </c>
      <c r="E152" s="83" t="b">
        <v>0</v>
      </c>
      <c r="F152" s="83" t="b">
        <v>0</v>
      </c>
      <c r="G152" s="83" t="b">
        <v>0</v>
      </c>
    </row>
    <row r="153" spans="1:7" ht="15">
      <c r="A153" s="84" t="s">
        <v>2270</v>
      </c>
      <c r="B153" s="83">
        <v>7</v>
      </c>
      <c r="C153" s="110">
        <v>0.0020712299358495614</v>
      </c>
      <c r="D153" s="83" t="s">
        <v>3175</v>
      </c>
      <c r="E153" s="83" t="b">
        <v>0</v>
      </c>
      <c r="F153" s="83" t="b">
        <v>0</v>
      </c>
      <c r="G153" s="83" t="b">
        <v>0</v>
      </c>
    </row>
    <row r="154" spans="1:7" ht="15">
      <c r="A154" s="84" t="s">
        <v>2271</v>
      </c>
      <c r="B154" s="83">
        <v>7</v>
      </c>
      <c r="C154" s="110">
        <v>0.001992888066968519</v>
      </c>
      <c r="D154" s="83" t="s">
        <v>3175</v>
      </c>
      <c r="E154" s="83" t="b">
        <v>0</v>
      </c>
      <c r="F154" s="83" t="b">
        <v>0</v>
      </c>
      <c r="G154" s="83" t="b">
        <v>0</v>
      </c>
    </row>
    <row r="155" spans="1:7" ht="15">
      <c r="A155" s="84" t="s">
        <v>2272</v>
      </c>
      <c r="B155" s="83">
        <v>7</v>
      </c>
      <c r="C155" s="110">
        <v>0.001926650960620209</v>
      </c>
      <c r="D155" s="83" t="s">
        <v>3175</v>
      </c>
      <c r="E155" s="83" t="b">
        <v>0</v>
      </c>
      <c r="F155" s="83" t="b">
        <v>0</v>
      </c>
      <c r="G155" s="83" t="b">
        <v>0</v>
      </c>
    </row>
    <row r="156" spans="1:7" ht="15">
      <c r="A156" s="84" t="s">
        <v>2273</v>
      </c>
      <c r="B156" s="83">
        <v>7</v>
      </c>
      <c r="C156" s="110">
        <v>0.0020712299358495614</v>
      </c>
      <c r="D156" s="83" t="s">
        <v>3175</v>
      </c>
      <c r="E156" s="83" t="b">
        <v>0</v>
      </c>
      <c r="F156" s="83" t="b">
        <v>1</v>
      </c>
      <c r="G156" s="83" t="b">
        <v>0</v>
      </c>
    </row>
    <row r="157" spans="1:7" ht="15">
      <c r="A157" s="84" t="s">
        <v>2274</v>
      </c>
      <c r="B157" s="83">
        <v>7</v>
      </c>
      <c r="C157" s="110">
        <v>0.001992888066968519</v>
      </c>
      <c r="D157" s="83" t="s">
        <v>3175</v>
      </c>
      <c r="E157" s="83" t="b">
        <v>0</v>
      </c>
      <c r="F157" s="83" t="b">
        <v>0</v>
      </c>
      <c r="G157" s="83" t="b">
        <v>0</v>
      </c>
    </row>
    <row r="158" spans="1:7" ht="15">
      <c r="A158" s="84" t="s">
        <v>2275</v>
      </c>
      <c r="B158" s="83">
        <v>7</v>
      </c>
      <c r="C158" s="110">
        <v>0.0020712299358495614</v>
      </c>
      <c r="D158" s="83" t="s">
        <v>3175</v>
      </c>
      <c r="E158" s="83" t="b">
        <v>0</v>
      </c>
      <c r="F158" s="83" t="b">
        <v>0</v>
      </c>
      <c r="G158" s="83" t="b">
        <v>0</v>
      </c>
    </row>
    <row r="159" spans="1:7" ht="15">
      <c r="A159" s="84" t="s">
        <v>2276</v>
      </c>
      <c r="B159" s="83">
        <v>7</v>
      </c>
      <c r="C159" s="110">
        <v>0.001926650960620209</v>
      </c>
      <c r="D159" s="83" t="s">
        <v>3175</v>
      </c>
      <c r="E159" s="83" t="b">
        <v>0</v>
      </c>
      <c r="F159" s="83" t="b">
        <v>0</v>
      </c>
      <c r="G159" s="83" t="b">
        <v>0</v>
      </c>
    </row>
    <row r="160" spans="1:7" ht="15">
      <c r="A160" s="84" t="s">
        <v>2277</v>
      </c>
      <c r="B160" s="83">
        <v>7</v>
      </c>
      <c r="C160" s="110">
        <v>0.001926650960620209</v>
      </c>
      <c r="D160" s="83" t="s">
        <v>3175</v>
      </c>
      <c r="E160" s="83" t="b">
        <v>0</v>
      </c>
      <c r="F160" s="83" t="b">
        <v>0</v>
      </c>
      <c r="G160" s="83" t="b">
        <v>0</v>
      </c>
    </row>
    <row r="161" spans="1:7" ht="15">
      <c r="A161" s="84" t="s">
        <v>2278</v>
      </c>
      <c r="B161" s="83">
        <v>7</v>
      </c>
      <c r="C161" s="110">
        <v>0.001926650960620209</v>
      </c>
      <c r="D161" s="83" t="s">
        <v>3175</v>
      </c>
      <c r="E161" s="83" t="b">
        <v>0</v>
      </c>
      <c r="F161" s="83" t="b">
        <v>0</v>
      </c>
      <c r="G161" s="83" t="b">
        <v>0</v>
      </c>
    </row>
    <row r="162" spans="1:7" ht="15">
      <c r="A162" s="84" t="s">
        <v>2279</v>
      </c>
      <c r="B162" s="83">
        <v>7</v>
      </c>
      <c r="C162" s="110">
        <v>0.0020712299358495614</v>
      </c>
      <c r="D162" s="83" t="s">
        <v>3175</v>
      </c>
      <c r="E162" s="83" t="b">
        <v>0</v>
      </c>
      <c r="F162" s="83" t="b">
        <v>0</v>
      </c>
      <c r="G162" s="83" t="b">
        <v>0</v>
      </c>
    </row>
    <row r="163" spans="1:7" ht="15">
      <c r="A163" s="84" t="s">
        <v>796</v>
      </c>
      <c r="B163" s="83">
        <v>7</v>
      </c>
      <c r="C163" s="110">
        <v>0.001992888066968519</v>
      </c>
      <c r="D163" s="83" t="s">
        <v>3175</v>
      </c>
      <c r="E163" s="83" t="b">
        <v>1</v>
      </c>
      <c r="F163" s="83" t="b">
        <v>0</v>
      </c>
      <c r="G163" s="83" t="b">
        <v>0</v>
      </c>
    </row>
    <row r="164" spans="1:7" ht="15">
      <c r="A164" s="84" t="s">
        <v>2280</v>
      </c>
      <c r="B164" s="83">
        <v>7</v>
      </c>
      <c r="C164" s="110">
        <v>0.001926650960620209</v>
      </c>
      <c r="D164" s="83" t="s">
        <v>3175</v>
      </c>
      <c r="E164" s="83" t="b">
        <v>0</v>
      </c>
      <c r="F164" s="83" t="b">
        <v>0</v>
      </c>
      <c r="G164" s="83" t="b">
        <v>0</v>
      </c>
    </row>
    <row r="165" spans="1:7" ht="15">
      <c r="A165" s="84" t="s">
        <v>2281</v>
      </c>
      <c r="B165" s="83">
        <v>7</v>
      </c>
      <c r="C165" s="110">
        <v>0.001926650960620209</v>
      </c>
      <c r="D165" s="83" t="s">
        <v>3175</v>
      </c>
      <c r="E165" s="83" t="b">
        <v>0</v>
      </c>
      <c r="F165" s="83" t="b">
        <v>0</v>
      </c>
      <c r="G165" s="83" t="b">
        <v>0</v>
      </c>
    </row>
    <row r="166" spans="1:7" ht="15">
      <c r="A166" s="84" t="s">
        <v>2282</v>
      </c>
      <c r="B166" s="83">
        <v>7</v>
      </c>
      <c r="C166" s="110">
        <v>0.0020712299358495614</v>
      </c>
      <c r="D166" s="83" t="s">
        <v>3175</v>
      </c>
      <c r="E166" s="83" t="b">
        <v>0</v>
      </c>
      <c r="F166" s="83" t="b">
        <v>1</v>
      </c>
      <c r="G166" s="83" t="b">
        <v>0</v>
      </c>
    </row>
    <row r="167" spans="1:7" ht="15">
      <c r="A167" s="84" t="s">
        <v>2283</v>
      </c>
      <c r="B167" s="83">
        <v>7</v>
      </c>
      <c r="C167" s="110">
        <v>0.0020712299358495614</v>
      </c>
      <c r="D167" s="83" t="s">
        <v>3175</v>
      </c>
      <c r="E167" s="83" t="b">
        <v>0</v>
      </c>
      <c r="F167" s="83" t="b">
        <v>1</v>
      </c>
      <c r="G167" s="83" t="b">
        <v>0</v>
      </c>
    </row>
    <row r="168" spans="1:7" ht="15">
      <c r="A168" s="84" t="s">
        <v>2284</v>
      </c>
      <c r="B168" s="83">
        <v>7</v>
      </c>
      <c r="C168" s="110">
        <v>0.001992888066968519</v>
      </c>
      <c r="D168" s="83" t="s">
        <v>3175</v>
      </c>
      <c r="E168" s="83" t="b">
        <v>0</v>
      </c>
      <c r="F168" s="83" t="b">
        <v>0</v>
      </c>
      <c r="G168" s="83" t="b">
        <v>0</v>
      </c>
    </row>
    <row r="169" spans="1:7" ht="15">
      <c r="A169" s="84" t="s">
        <v>2285</v>
      </c>
      <c r="B169" s="83">
        <v>7</v>
      </c>
      <c r="C169" s="110">
        <v>0.0021671126342320906</v>
      </c>
      <c r="D169" s="83" t="s">
        <v>3175</v>
      </c>
      <c r="E169" s="83" t="b">
        <v>0</v>
      </c>
      <c r="F169" s="83" t="b">
        <v>0</v>
      </c>
      <c r="G169" s="83" t="b">
        <v>0</v>
      </c>
    </row>
    <row r="170" spans="1:7" ht="15">
      <c r="A170" s="84" t="s">
        <v>2286</v>
      </c>
      <c r="B170" s="83">
        <v>7</v>
      </c>
      <c r="C170" s="110">
        <v>0.001926650960620209</v>
      </c>
      <c r="D170" s="83" t="s">
        <v>3175</v>
      </c>
      <c r="E170" s="83" t="b">
        <v>0</v>
      </c>
      <c r="F170" s="83" t="b">
        <v>0</v>
      </c>
      <c r="G170" s="83" t="b">
        <v>0</v>
      </c>
    </row>
    <row r="171" spans="1:7" ht="15">
      <c r="A171" s="84" t="s">
        <v>2287</v>
      </c>
      <c r="B171" s="83">
        <v>7</v>
      </c>
      <c r="C171" s="110">
        <v>0.001992888066968519</v>
      </c>
      <c r="D171" s="83" t="s">
        <v>3175</v>
      </c>
      <c r="E171" s="83" t="b">
        <v>0</v>
      </c>
      <c r="F171" s="83" t="b">
        <v>0</v>
      </c>
      <c r="G171" s="83" t="b">
        <v>0</v>
      </c>
    </row>
    <row r="172" spans="1:7" ht="15">
      <c r="A172" s="84" t="s">
        <v>2288</v>
      </c>
      <c r="B172" s="83">
        <v>7</v>
      </c>
      <c r="C172" s="110">
        <v>0.001926650960620209</v>
      </c>
      <c r="D172" s="83" t="s">
        <v>3175</v>
      </c>
      <c r="E172" s="83" t="b">
        <v>0</v>
      </c>
      <c r="F172" s="83" t="b">
        <v>0</v>
      </c>
      <c r="G172" s="83" t="b">
        <v>0</v>
      </c>
    </row>
    <row r="173" spans="1:7" ht="15">
      <c r="A173" s="84" t="s">
        <v>2289</v>
      </c>
      <c r="B173" s="83">
        <v>7</v>
      </c>
      <c r="C173" s="110">
        <v>0.001992888066968519</v>
      </c>
      <c r="D173" s="83" t="s">
        <v>3175</v>
      </c>
      <c r="E173" s="83" t="b">
        <v>1</v>
      </c>
      <c r="F173" s="83" t="b">
        <v>0</v>
      </c>
      <c r="G173" s="83" t="b">
        <v>0</v>
      </c>
    </row>
    <row r="174" spans="1:7" ht="15">
      <c r="A174" s="84" t="s">
        <v>2290</v>
      </c>
      <c r="B174" s="83">
        <v>7</v>
      </c>
      <c r="C174" s="110">
        <v>0.0021671126342320906</v>
      </c>
      <c r="D174" s="83" t="s">
        <v>3175</v>
      </c>
      <c r="E174" s="83" t="b">
        <v>0</v>
      </c>
      <c r="F174" s="83" t="b">
        <v>0</v>
      </c>
      <c r="G174" s="83" t="b">
        <v>0</v>
      </c>
    </row>
    <row r="175" spans="1:7" ht="15">
      <c r="A175" s="84" t="s">
        <v>2291</v>
      </c>
      <c r="B175" s="83">
        <v>7</v>
      </c>
      <c r="C175" s="110">
        <v>0.0021671126342320906</v>
      </c>
      <c r="D175" s="83" t="s">
        <v>3175</v>
      </c>
      <c r="E175" s="83" t="b">
        <v>0</v>
      </c>
      <c r="F175" s="83" t="b">
        <v>0</v>
      </c>
      <c r="G175" s="83" t="b">
        <v>0</v>
      </c>
    </row>
    <row r="176" spans="1:7" ht="15">
      <c r="A176" s="84" t="s">
        <v>2292</v>
      </c>
      <c r="B176" s="83">
        <v>7</v>
      </c>
      <c r="C176" s="110">
        <v>0.0027627903641678836</v>
      </c>
      <c r="D176" s="83" t="s">
        <v>3175</v>
      </c>
      <c r="E176" s="83" t="b">
        <v>0</v>
      </c>
      <c r="F176" s="83" t="b">
        <v>0</v>
      </c>
      <c r="G176" s="83" t="b">
        <v>0</v>
      </c>
    </row>
    <row r="177" spans="1:7" ht="15">
      <c r="A177" s="84" t="s">
        <v>2293</v>
      </c>
      <c r="B177" s="83">
        <v>7</v>
      </c>
      <c r="C177" s="110">
        <v>0.0021671126342320906</v>
      </c>
      <c r="D177" s="83" t="s">
        <v>3175</v>
      </c>
      <c r="E177" s="83" t="b">
        <v>0</v>
      </c>
      <c r="F177" s="83" t="b">
        <v>0</v>
      </c>
      <c r="G177" s="83" t="b">
        <v>0</v>
      </c>
    </row>
    <row r="178" spans="1:7" ht="15">
      <c r="A178" s="84" t="s">
        <v>2294</v>
      </c>
      <c r="B178" s="83">
        <v>7</v>
      </c>
      <c r="C178" s="110">
        <v>0.0020712299358495614</v>
      </c>
      <c r="D178" s="83" t="s">
        <v>3175</v>
      </c>
      <c r="E178" s="83" t="b">
        <v>0</v>
      </c>
      <c r="F178" s="83" t="b">
        <v>0</v>
      </c>
      <c r="G178" s="83" t="b">
        <v>0</v>
      </c>
    </row>
    <row r="179" spans="1:7" ht="15">
      <c r="A179" s="84" t="s">
        <v>2295</v>
      </c>
      <c r="B179" s="83">
        <v>7</v>
      </c>
      <c r="C179" s="110">
        <v>0.001992888066968519</v>
      </c>
      <c r="D179" s="83" t="s">
        <v>3175</v>
      </c>
      <c r="E179" s="83" t="b">
        <v>0</v>
      </c>
      <c r="F179" s="83" t="b">
        <v>0</v>
      </c>
      <c r="G179" s="83" t="b">
        <v>0</v>
      </c>
    </row>
    <row r="180" spans="1:7" ht="15">
      <c r="A180" s="84" t="s">
        <v>2296</v>
      </c>
      <c r="B180" s="83">
        <v>6</v>
      </c>
      <c r="C180" s="110">
        <v>0.0018575251150560776</v>
      </c>
      <c r="D180" s="83" t="s">
        <v>3175</v>
      </c>
      <c r="E180" s="83" t="b">
        <v>0</v>
      </c>
      <c r="F180" s="83" t="b">
        <v>0</v>
      </c>
      <c r="G180" s="83" t="b">
        <v>0</v>
      </c>
    </row>
    <row r="181" spans="1:7" ht="15">
      <c r="A181" s="84" t="s">
        <v>2297</v>
      </c>
      <c r="B181" s="83">
        <v>6</v>
      </c>
      <c r="C181" s="110">
        <v>0.0017753399450139097</v>
      </c>
      <c r="D181" s="83" t="s">
        <v>3175</v>
      </c>
      <c r="E181" s="83" t="b">
        <v>0</v>
      </c>
      <c r="F181" s="83" t="b">
        <v>0</v>
      </c>
      <c r="G181" s="83" t="b">
        <v>0</v>
      </c>
    </row>
    <row r="182" spans="1:7" ht="15">
      <c r="A182" s="84" t="s">
        <v>2298</v>
      </c>
      <c r="B182" s="83">
        <v>6</v>
      </c>
      <c r="C182" s="110">
        <v>0.0017753399450139097</v>
      </c>
      <c r="D182" s="83" t="s">
        <v>3175</v>
      </c>
      <c r="E182" s="83" t="b">
        <v>0</v>
      </c>
      <c r="F182" s="83" t="b">
        <v>0</v>
      </c>
      <c r="G182" s="83" t="b">
        <v>0</v>
      </c>
    </row>
    <row r="183" spans="1:7" ht="15">
      <c r="A183" s="84" t="s">
        <v>2299</v>
      </c>
      <c r="B183" s="83">
        <v>6</v>
      </c>
      <c r="C183" s="110">
        <v>0.0017753399450139097</v>
      </c>
      <c r="D183" s="83" t="s">
        <v>3175</v>
      </c>
      <c r="E183" s="83" t="b">
        <v>0</v>
      </c>
      <c r="F183" s="83" t="b">
        <v>0</v>
      </c>
      <c r="G183" s="83" t="b">
        <v>0</v>
      </c>
    </row>
    <row r="184" spans="1:7" ht="15">
      <c r="A184" s="84" t="s">
        <v>2300</v>
      </c>
      <c r="B184" s="83">
        <v>6</v>
      </c>
      <c r="C184" s="110">
        <v>0.0017081897716873019</v>
      </c>
      <c r="D184" s="83" t="s">
        <v>3175</v>
      </c>
      <c r="E184" s="83" t="b">
        <v>0</v>
      </c>
      <c r="F184" s="83" t="b">
        <v>0</v>
      </c>
      <c r="G184" s="83" t="b">
        <v>0</v>
      </c>
    </row>
    <row r="185" spans="1:7" ht="15">
      <c r="A185" s="84" t="s">
        <v>2301</v>
      </c>
      <c r="B185" s="83">
        <v>6</v>
      </c>
      <c r="C185" s="110">
        <v>0.0017081897716873019</v>
      </c>
      <c r="D185" s="83" t="s">
        <v>3175</v>
      </c>
      <c r="E185" s="83" t="b">
        <v>0</v>
      </c>
      <c r="F185" s="83" t="b">
        <v>0</v>
      </c>
      <c r="G185" s="83" t="b">
        <v>0</v>
      </c>
    </row>
    <row r="186" spans="1:7" ht="15">
      <c r="A186" s="84" t="s">
        <v>2302</v>
      </c>
      <c r="B186" s="83">
        <v>6</v>
      </c>
      <c r="C186" s="110">
        <v>0.0017753399450139097</v>
      </c>
      <c r="D186" s="83" t="s">
        <v>3175</v>
      </c>
      <c r="E186" s="83" t="b">
        <v>0</v>
      </c>
      <c r="F186" s="83" t="b">
        <v>0</v>
      </c>
      <c r="G186" s="83" t="b">
        <v>0</v>
      </c>
    </row>
    <row r="187" spans="1:7" ht="15">
      <c r="A187" s="84" t="s">
        <v>2303</v>
      </c>
      <c r="B187" s="83">
        <v>6</v>
      </c>
      <c r="C187" s="110">
        <v>0.0018575251150560776</v>
      </c>
      <c r="D187" s="83" t="s">
        <v>3175</v>
      </c>
      <c r="E187" s="83" t="b">
        <v>0</v>
      </c>
      <c r="F187" s="83" t="b">
        <v>1</v>
      </c>
      <c r="G187" s="83" t="b">
        <v>0</v>
      </c>
    </row>
    <row r="188" spans="1:7" ht="15">
      <c r="A188" s="84" t="s">
        <v>2304</v>
      </c>
      <c r="B188" s="83">
        <v>6</v>
      </c>
      <c r="C188" s="110">
        <v>0.0017081897716873019</v>
      </c>
      <c r="D188" s="83" t="s">
        <v>3175</v>
      </c>
      <c r="E188" s="83" t="b">
        <v>1</v>
      </c>
      <c r="F188" s="83" t="b">
        <v>0</v>
      </c>
      <c r="G188" s="83" t="b">
        <v>0</v>
      </c>
    </row>
    <row r="189" spans="1:7" ht="15">
      <c r="A189" s="84" t="s">
        <v>2305</v>
      </c>
      <c r="B189" s="83">
        <v>6</v>
      </c>
      <c r="C189" s="110">
        <v>0.0017081897716873019</v>
      </c>
      <c r="D189" s="83" t="s">
        <v>3175</v>
      </c>
      <c r="E189" s="83" t="b">
        <v>0</v>
      </c>
      <c r="F189" s="83" t="b">
        <v>0</v>
      </c>
      <c r="G189" s="83" t="b">
        <v>0</v>
      </c>
    </row>
    <row r="190" spans="1:7" ht="15">
      <c r="A190" s="84" t="s">
        <v>2306</v>
      </c>
      <c r="B190" s="83">
        <v>6</v>
      </c>
      <c r="C190" s="110">
        <v>0.0017081897716873019</v>
      </c>
      <c r="D190" s="83" t="s">
        <v>3175</v>
      </c>
      <c r="E190" s="83" t="b">
        <v>0</v>
      </c>
      <c r="F190" s="83" t="b">
        <v>0</v>
      </c>
      <c r="G190" s="83" t="b">
        <v>0</v>
      </c>
    </row>
    <row r="191" spans="1:7" ht="15">
      <c r="A191" s="84" t="s">
        <v>2307</v>
      </c>
      <c r="B191" s="83">
        <v>6</v>
      </c>
      <c r="C191" s="110">
        <v>0.0017753399450139097</v>
      </c>
      <c r="D191" s="83" t="s">
        <v>3175</v>
      </c>
      <c r="E191" s="83" t="b">
        <v>0</v>
      </c>
      <c r="F191" s="83" t="b">
        <v>0</v>
      </c>
      <c r="G191" s="83" t="b">
        <v>0</v>
      </c>
    </row>
    <row r="192" spans="1:7" ht="15">
      <c r="A192" s="84" t="s">
        <v>2308</v>
      </c>
      <c r="B192" s="83">
        <v>6</v>
      </c>
      <c r="C192" s="110">
        <v>0.0017081897716873019</v>
      </c>
      <c r="D192" s="83" t="s">
        <v>3175</v>
      </c>
      <c r="E192" s="83" t="b">
        <v>0</v>
      </c>
      <c r="F192" s="83" t="b">
        <v>0</v>
      </c>
      <c r="G192" s="83" t="b">
        <v>0</v>
      </c>
    </row>
    <row r="193" spans="1:7" ht="15">
      <c r="A193" s="84" t="s">
        <v>2309</v>
      </c>
      <c r="B193" s="83">
        <v>6</v>
      </c>
      <c r="C193" s="110">
        <v>0.0017753399450139097</v>
      </c>
      <c r="D193" s="83" t="s">
        <v>3175</v>
      </c>
      <c r="E193" s="83" t="b">
        <v>0</v>
      </c>
      <c r="F193" s="83" t="b">
        <v>0</v>
      </c>
      <c r="G193" s="83" t="b">
        <v>0</v>
      </c>
    </row>
    <row r="194" spans="1:7" ht="15">
      <c r="A194" s="84" t="s">
        <v>2310</v>
      </c>
      <c r="B194" s="83">
        <v>6</v>
      </c>
      <c r="C194" s="110">
        <v>0.0017753399450139097</v>
      </c>
      <c r="D194" s="83" t="s">
        <v>3175</v>
      </c>
      <c r="E194" s="83" t="b">
        <v>0</v>
      </c>
      <c r="F194" s="83" t="b">
        <v>0</v>
      </c>
      <c r="G194" s="83" t="b">
        <v>0</v>
      </c>
    </row>
    <row r="195" spans="1:7" ht="15">
      <c r="A195" s="84" t="s">
        <v>2311</v>
      </c>
      <c r="B195" s="83">
        <v>6</v>
      </c>
      <c r="C195" s="110">
        <v>0.0017081897716873019</v>
      </c>
      <c r="D195" s="83" t="s">
        <v>3175</v>
      </c>
      <c r="E195" s="83" t="b">
        <v>0</v>
      </c>
      <c r="F195" s="83" t="b">
        <v>0</v>
      </c>
      <c r="G195" s="83" t="b">
        <v>0</v>
      </c>
    </row>
    <row r="196" spans="1:7" ht="15">
      <c r="A196" s="84" t="s">
        <v>2312</v>
      </c>
      <c r="B196" s="83">
        <v>6</v>
      </c>
      <c r="C196" s="110">
        <v>0.0017081897716873019</v>
      </c>
      <c r="D196" s="83" t="s">
        <v>3175</v>
      </c>
      <c r="E196" s="83" t="b">
        <v>0</v>
      </c>
      <c r="F196" s="83" t="b">
        <v>0</v>
      </c>
      <c r="G196" s="83" t="b">
        <v>0</v>
      </c>
    </row>
    <row r="197" spans="1:7" ht="15">
      <c r="A197" s="84" t="s">
        <v>2313</v>
      </c>
      <c r="B197" s="83">
        <v>6</v>
      </c>
      <c r="C197" s="110">
        <v>0.0017081897716873019</v>
      </c>
      <c r="D197" s="83" t="s">
        <v>3175</v>
      </c>
      <c r="E197" s="83" t="b">
        <v>0</v>
      </c>
      <c r="F197" s="83" t="b">
        <v>0</v>
      </c>
      <c r="G197" s="83" t="b">
        <v>0</v>
      </c>
    </row>
    <row r="198" spans="1:7" ht="15">
      <c r="A198" s="84" t="s">
        <v>2314</v>
      </c>
      <c r="B198" s="83">
        <v>6</v>
      </c>
      <c r="C198" s="110">
        <v>0.0017753399450139097</v>
      </c>
      <c r="D198" s="83" t="s">
        <v>3175</v>
      </c>
      <c r="E198" s="83" t="b">
        <v>0</v>
      </c>
      <c r="F198" s="83" t="b">
        <v>0</v>
      </c>
      <c r="G198" s="83" t="b">
        <v>0</v>
      </c>
    </row>
    <row r="199" spans="1:7" ht="15">
      <c r="A199" s="84" t="s">
        <v>2315</v>
      </c>
      <c r="B199" s="83">
        <v>6</v>
      </c>
      <c r="C199" s="110">
        <v>0.0017081897716873019</v>
      </c>
      <c r="D199" s="83" t="s">
        <v>3175</v>
      </c>
      <c r="E199" s="83" t="b">
        <v>0</v>
      </c>
      <c r="F199" s="83" t="b">
        <v>0</v>
      </c>
      <c r="G199" s="83" t="b">
        <v>0</v>
      </c>
    </row>
    <row r="200" spans="1:7" ht="15">
      <c r="A200" s="84" t="s">
        <v>2316</v>
      </c>
      <c r="B200" s="83">
        <v>6</v>
      </c>
      <c r="C200" s="110">
        <v>0.0017081897716873019</v>
      </c>
      <c r="D200" s="83" t="s">
        <v>3175</v>
      </c>
      <c r="E200" s="83" t="b">
        <v>0</v>
      </c>
      <c r="F200" s="83" t="b">
        <v>0</v>
      </c>
      <c r="G200" s="83" t="b">
        <v>0</v>
      </c>
    </row>
    <row r="201" spans="1:7" ht="15">
      <c r="A201" s="84" t="s">
        <v>2317</v>
      </c>
      <c r="B201" s="83">
        <v>6</v>
      </c>
      <c r="C201" s="110">
        <v>0.0017753399450139097</v>
      </c>
      <c r="D201" s="83" t="s">
        <v>3175</v>
      </c>
      <c r="E201" s="83" t="b">
        <v>0</v>
      </c>
      <c r="F201" s="83" t="b">
        <v>0</v>
      </c>
      <c r="G201" s="83" t="b">
        <v>0</v>
      </c>
    </row>
    <row r="202" spans="1:7" ht="15">
      <c r="A202" s="84" t="s">
        <v>2318</v>
      </c>
      <c r="B202" s="83">
        <v>6</v>
      </c>
      <c r="C202" s="110">
        <v>0.0017081897716873019</v>
      </c>
      <c r="D202" s="83" t="s">
        <v>3175</v>
      </c>
      <c r="E202" s="83" t="b">
        <v>0</v>
      </c>
      <c r="F202" s="83" t="b">
        <v>0</v>
      </c>
      <c r="G202" s="83" t="b">
        <v>0</v>
      </c>
    </row>
    <row r="203" spans="1:7" ht="15">
      <c r="A203" s="84" t="s">
        <v>2319</v>
      </c>
      <c r="B203" s="83">
        <v>6</v>
      </c>
      <c r="C203" s="110">
        <v>0.0017081897716873019</v>
      </c>
      <c r="D203" s="83" t="s">
        <v>3175</v>
      </c>
      <c r="E203" s="83" t="b">
        <v>0</v>
      </c>
      <c r="F203" s="83" t="b">
        <v>0</v>
      </c>
      <c r="G203" s="83" t="b">
        <v>0</v>
      </c>
    </row>
    <row r="204" spans="1:7" ht="15">
      <c r="A204" s="84" t="s">
        <v>2320</v>
      </c>
      <c r="B204" s="83">
        <v>6</v>
      </c>
      <c r="C204" s="110">
        <v>0.0017081897716873019</v>
      </c>
      <c r="D204" s="83" t="s">
        <v>3175</v>
      </c>
      <c r="E204" s="83" t="b">
        <v>0</v>
      </c>
      <c r="F204" s="83" t="b">
        <v>0</v>
      </c>
      <c r="G204" s="83" t="b">
        <v>0</v>
      </c>
    </row>
    <row r="205" spans="1:7" ht="15">
      <c r="A205" s="84" t="s">
        <v>2321</v>
      </c>
      <c r="B205" s="83">
        <v>6</v>
      </c>
      <c r="C205" s="110">
        <v>0.0017081897716873019</v>
      </c>
      <c r="D205" s="83" t="s">
        <v>3175</v>
      </c>
      <c r="E205" s="83" t="b">
        <v>0</v>
      </c>
      <c r="F205" s="83" t="b">
        <v>0</v>
      </c>
      <c r="G205" s="83" t="b">
        <v>0</v>
      </c>
    </row>
    <row r="206" spans="1:7" ht="15">
      <c r="A206" s="84" t="s">
        <v>2322</v>
      </c>
      <c r="B206" s="83">
        <v>6</v>
      </c>
      <c r="C206" s="110">
        <v>0.0017081897716873019</v>
      </c>
      <c r="D206" s="83" t="s">
        <v>3175</v>
      </c>
      <c r="E206" s="83" t="b">
        <v>0</v>
      </c>
      <c r="F206" s="83" t="b">
        <v>0</v>
      </c>
      <c r="G206" s="83" t="b">
        <v>0</v>
      </c>
    </row>
    <row r="207" spans="1:7" ht="15">
      <c r="A207" s="84" t="s">
        <v>2323</v>
      </c>
      <c r="B207" s="83">
        <v>6</v>
      </c>
      <c r="C207" s="110">
        <v>0.0017753399450139097</v>
      </c>
      <c r="D207" s="83" t="s">
        <v>3175</v>
      </c>
      <c r="E207" s="83" t="b">
        <v>0</v>
      </c>
      <c r="F207" s="83" t="b">
        <v>0</v>
      </c>
      <c r="G207" s="83" t="b">
        <v>0</v>
      </c>
    </row>
    <row r="208" spans="1:7" ht="15">
      <c r="A208" s="84" t="s">
        <v>2324</v>
      </c>
      <c r="B208" s="83">
        <v>6</v>
      </c>
      <c r="C208" s="110">
        <v>0.0017753399450139097</v>
      </c>
      <c r="D208" s="83" t="s">
        <v>3175</v>
      </c>
      <c r="E208" s="83" t="b">
        <v>0</v>
      </c>
      <c r="F208" s="83" t="b">
        <v>0</v>
      </c>
      <c r="G208" s="83" t="b">
        <v>0</v>
      </c>
    </row>
    <row r="209" spans="1:7" ht="15">
      <c r="A209" s="84" t="s">
        <v>2325</v>
      </c>
      <c r="B209" s="83">
        <v>6</v>
      </c>
      <c r="C209" s="110">
        <v>0.0017081897716873019</v>
      </c>
      <c r="D209" s="83" t="s">
        <v>3175</v>
      </c>
      <c r="E209" s="83" t="b">
        <v>1</v>
      </c>
      <c r="F209" s="83" t="b">
        <v>0</v>
      </c>
      <c r="G209" s="83" t="b">
        <v>0</v>
      </c>
    </row>
    <row r="210" spans="1:7" ht="15">
      <c r="A210" s="84" t="s">
        <v>2326</v>
      </c>
      <c r="B210" s="83">
        <v>6</v>
      </c>
      <c r="C210" s="110">
        <v>0.0017081897716873019</v>
      </c>
      <c r="D210" s="83" t="s">
        <v>3175</v>
      </c>
      <c r="E210" s="83" t="b">
        <v>0</v>
      </c>
      <c r="F210" s="83" t="b">
        <v>0</v>
      </c>
      <c r="G210" s="83" t="b">
        <v>0</v>
      </c>
    </row>
    <row r="211" spans="1:7" ht="15">
      <c r="A211" s="84" t="s">
        <v>2327</v>
      </c>
      <c r="B211" s="83">
        <v>6</v>
      </c>
      <c r="C211" s="110">
        <v>0.0017081897716873019</v>
      </c>
      <c r="D211" s="83" t="s">
        <v>3175</v>
      </c>
      <c r="E211" s="83" t="b">
        <v>0</v>
      </c>
      <c r="F211" s="83" t="b">
        <v>0</v>
      </c>
      <c r="G211" s="83" t="b">
        <v>0</v>
      </c>
    </row>
    <row r="212" spans="1:7" ht="15">
      <c r="A212" s="84" t="s">
        <v>2328</v>
      </c>
      <c r="B212" s="83">
        <v>6</v>
      </c>
      <c r="C212" s="110">
        <v>0.0017081897716873019</v>
      </c>
      <c r="D212" s="83" t="s">
        <v>3175</v>
      </c>
      <c r="E212" s="83" t="b">
        <v>0</v>
      </c>
      <c r="F212" s="83" t="b">
        <v>0</v>
      </c>
      <c r="G212" s="83" t="b">
        <v>0</v>
      </c>
    </row>
    <row r="213" spans="1:7" ht="15">
      <c r="A213" s="84" t="s">
        <v>2329</v>
      </c>
      <c r="B213" s="83">
        <v>6</v>
      </c>
      <c r="C213" s="110">
        <v>0.0017753399450139097</v>
      </c>
      <c r="D213" s="83" t="s">
        <v>3175</v>
      </c>
      <c r="E213" s="83" t="b">
        <v>0</v>
      </c>
      <c r="F213" s="83" t="b">
        <v>0</v>
      </c>
      <c r="G213" s="83" t="b">
        <v>0</v>
      </c>
    </row>
    <row r="214" spans="1:7" ht="15">
      <c r="A214" s="84" t="s">
        <v>2330</v>
      </c>
      <c r="B214" s="83">
        <v>6</v>
      </c>
      <c r="C214" s="110">
        <v>0.0017081897716873019</v>
      </c>
      <c r="D214" s="83" t="s">
        <v>3175</v>
      </c>
      <c r="E214" s="83" t="b">
        <v>0</v>
      </c>
      <c r="F214" s="83" t="b">
        <v>0</v>
      </c>
      <c r="G214" s="83" t="b">
        <v>0</v>
      </c>
    </row>
    <row r="215" spans="1:7" ht="15">
      <c r="A215" s="84" t="s">
        <v>2331</v>
      </c>
      <c r="B215" s="83">
        <v>6</v>
      </c>
      <c r="C215" s="110">
        <v>0.0017753399450139097</v>
      </c>
      <c r="D215" s="83" t="s">
        <v>3175</v>
      </c>
      <c r="E215" s="83" t="b">
        <v>0</v>
      </c>
      <c r="F215" s="83" t="b">
        <v>0</v>
      </c>
      <c r="G215" s="83" t="b">
        <v>0</v>
      </c>
    </row>
    <row r="216" spans="1:7" ht="15">
      <c r="A216" s="84" t="s">
        <v>2332</v>
      </c>
      <c r="B216" s="83">
        <v>6</v>
      </c>
      <c r="C216" s="110">
        <v>0.0017081897716873019</v>
      </c>
      <c r="D216" s="83" t="s">
        <v>3175</v>
      </c>
      <c r="E216" s="83" t="b">
        <v>0</v>
      </c>
      <c r="F216" s="83" t="b">
        <v>0</v>
      </c>
      <c r="G216" s="83" t="b">
        <v>0</v>
      </c>
    </row>
    <row r="217" spans="1:7" ht="15">
      <c r="A217" s="84" t="s">
        <v>2333</v>
      </c>
      <c r="B217" s="83">
        <v>6</v>
      </c>
      <c r="C217" s="110">
        <v>0.0017081897716873019</v>
      </c>
      <c r="D217" s="83" t="s">
        <v>3175</v>
      </c>
      <c r="E217" s="83" t="b">
        <v>0</v>
      </c>
      <c r="F217" s="83" t="b">
        <v>0</v>
      </c>
      <c r="G217" s="83" t="b">
        <v>0</v>
      </c>
    </row>
    <row r="218" spans="1:7" ht="15">
      <c r="A218" s="84" t="s">
        <v>2334</v>
      </c>
      <c r="B218" s="83">
        <v>6</v>
      </c>
      <c r="C218" s="110">
        <v>0.0017081897716873019</v>
      </c>
      <c r="D218" s="83" t="s">
        <v>3175</v>
      </c>
      <c r="E218" s="83" t="b">
        <v>0</v>
      </c>
      <c r="F218" s="83" t="b">
        <v>0</v>
      </c>
      <c r="G218" s="83" t="b">
        <v>0</v>
      </c>
    </row>
    <row r="219" spans="1:7" ht="15">
      <c r="A219" s="84" t="s">
        <v>2335</v>
      </c>
      <c r="B219" s="83">
        <v>6</v>
      </c>
      <c r="C219" s="110">
        <v>0.0017753399450139097</v>
      </c>
      <c r="D219" s="83" t="s">
        <v>3175</v>
      </c>
      <c r="E219" s="83" t="b">
        <v>0</v>
      </c>
      <c r="F219" s="83" t="b">
        <v>0</v>
      </c>
      <c r="G219" s="83" t="b">
        <v>0</v>
      </c>
    </row>
    <row r="220" spans="1:7" ht="15">
      <c r="A220" s="84" t="s">
        <v>2336</v>
      </c>
      <c r="B220" s="83">
        <v>6</v>
      </c>
      <c r="C220" s="110">
        <v>0.0017753399450139097</v>
      </c>
      <c r="D220" s="83" t="s">
        <v>3175</v>
      </c>
      <c r="E220" s="83" t="b">
        <v>0</v>
      </c>
      <c r="F220" s="83" t="b">
        <v>0</v>
      </c>
      <c r="G220" s="83" t="b">
        <v>0</v>
      </c>
    </row>
    <row r="221" spans="1:7" ht="15">
      <c r="A221" s="84" t="s">
        <v>2337</v>
      </c>
      <c r="B221" s="83">
        <v>6</v>
      </c>
      <c r="C221" s="110">
        <v>0.0017753399450139097</v>
      </c>
      <c r="D221" s="83" t="s">
        <v>3175</v>
      </c>
      <c r="E221" s="83" t="b">
        <v>0</v>
      </c>
      <c r="F221" s="83" t="b">
        <v>0</v>
      </c>
      <c r="G221" s="83" t="b">
        <v>0</v>
      </c>
    </row>
    <row r="222" spans="1:7" ht="15">
      <c r="A222" s="84" t="s">
        <v>2338</v>
      </c>
      <c r="B222" s="83">
        <v>6</v>
      </c>
      <c r="C222" s="110">
        <v>0.0017753399450139097</v>
      </c>
      <c r="D222" s="83" t="s">
        <v>3175</v>
      </c>
      <c r="E222" s="83" t="b">
        <v>0</v>
      </c>
      <c r="F222" s="83" t="b">
        <v>0</v>
      </c>
      <c r="G222" s="83" t="b">
        <v>0</v>
      </c>
    </row>
    <row r="223" spans="1:7" ht="15">
      <c r="A223" s="84" t="s">
        <v>2339</v>
      </c>
      <c r="B223" s="83">
        <v>6</v>
      </c>
      <c r="C223" s="110">
        <v>0.0017081897716873019</v>
      </c>
      <c r="D223" s="83" t="s">
        <v>3175</v>
      </c>
      <c r="E223" s="83" t="b">
        <v>0</v>
      </c>
      <c r="F223" s="83" t="b">
        <v>1</v>
      </c>
      <c r="G223" s="83" t="b">
        <v>0</v>
      </c>
    </row>
    <row r="224" spans="1:7" ht="15">
      <c r="A224" s="84" t="s">
        <v>2340</v>
      </c>
      <c r="B224" s="83">
        <v>6</v>
      </c>
      <c r="C224" s="110">
        <v>0.0017753399450139097</v>
      </c>
      <c r="D224" s="83" t="s">
        <v>3175</v>
      </c>
      <c r="E224" s="83" t="b">
        <v>1</v>
      </c>
      <c r="F224" s="83" t="b">
        <v>0</v>
      </c>
      <c r="G224" s="83" t="b">
        <v>0</v>
      </c>
    </row>
    <row r="225" spans="1:7" ht="15">
      <c r="A225" s="84" t="s">
        <v>2341</v>
      </c>
      <c r="B225" s="83">
        <v>6</v>
      </c>
      <c r="C225" s="110">
        <v>0.0017753399450139097</v>
      </c>
      <c r="D225" s="83" t="s">
        <v>3175</v>
      </c>
      <c r="E225" s="83" t="b">
        <v>0</v>
      </c>
      <c r="F225" s="83" t="b">
        <v>0</v>
      </c>
      <c r="G225" s="83" t="b">
        <v>0</v>
      </c>
    </row>
    <row r="226" spans="1:7" ht="15">
      <c r="A226" s="84" t="s">
        <v>2342</v>
      </c>
      <c r="B226" s="83">
        <v>6</v>
      </c>
      <c r="C226" s="110">
        <v>0.0017081897716873019</v>
      </c>
      <c r="D226" s="83" t="s">
        <v>3175</v>
      </c>
      <c r="E226" s="83" t="b">
        <v>0</v>
      </c>
      <c r="F226" s="83" t="b">
        <v>0</v>
      </c>
      <c r="G226" s="83" t="b">
        <v>0</v>
      </c>
    </row>
    <row r="227" spans="1:7" ht="15">
      <c r="A227" s="84" t="s">
        <v>2343</v>
      </c>
      <c r="B227" s="83">
        <v>6</v>
      </c>
      <c r="C227" s="110">
        <v>0.0021128155707428463</v>
      </c>
      <c r="D227" s="83" t="s">
        <v>3175</v>
      </c>
      <c r="E227" s="83" t="b">
        <v>0</v>
      </c>
      <c r="F227" s="83" t="b">
        <v>0</v>
      </c>
      <c r="G227" s="83" t="b">
        <v>0</v>
      </c>
    </row>
    <row r="228" spans="1:7" ht="15">
      <c r="A228" s="84" t="s">
        <v>2344</v>
      </c>
      <c r="B228" s="83">
        <v>6</v>
      </c>
      <c r="C228" s="110">
        <v>0.0018575251150560776</v>
      </c>
      <c r="D228" s="83" t="s">
        <v>3175</v>
      </c>
      <c r="E228" s="83" t="b">
        <v>0</v>
      </c>
      <c r="F228" s="83" t="b">
        <v>0</v>
      </c>
      <c r="G228" s="83" t="b">
        <v>0</v>
      </c>
    </row>
    <row r="229" spans="1:7" ht="15">
      <c r="A229" s="84" t="s">
        <v>2345</v>
      </c>
      <c r="B229" s="83">
        <v>6</v>
      </c>
      <c r="C229" s="110">
        <v>0.0017753399450139097</v>
      </c>
      <c r="D229" s="83" t="s">
        <v>3175</v>
      </c>
      <c r="E229" s="83" t="b">
        <v>0</v>
      </c>
      <c r="F229" s="83" t="b">
        <v>0</v>
      </c>
      <c r="G229" s="83" t="b">
        <v>0</v>
      </c>
    </row>
    <row r="230" spans="1:7" ht="15">
      <c r="A230" s="84" t="s">
        <v>2346</v>
      </c>
      <c r="B230" s="83">
        <v>6</v>
      </c>
      <c r="C230" s="110">
        <v>0.0017753399450139097</v>
      </c>
      <c r="D230" s="83" t="s">
        <v>3175</v>
      </c>
      <c r="E230" s="83" t="b">
        <v>0</v>
      </c>
      <c r="F230" s="83" t="b">
        <v>0</v>
      </c>
      <c r="G230" s="83" t="b">
        <v>0</v>
      </c>
    </row>
    <row r="231" spans="1:7" ht="15">
      <c r="A231" s="84" t="s">
        <v>2347</v>
      </c>
      <c r="B231" s="83">
        <v>6</v>
      </c>
      <c r="C231" s="110">
        <v>0.0017753399450139097</v>
      </c>
      <c r="D231" s="83" t="s">
        <v>3175</v>
      </c>
      <c r="E231" s="83" t="b">
        <v>0</v>
      </c>
      <c r="F231" s="83" t="b">
        <v>0</v>
      </c>
      <c r="G231" s="83" t="b">
        <v>0</v>
      </c>
    </row>
    <row r="232" spans="1:7" ht="15">
      <c r="A232" s="84" t="s">
        <v>2348</v>
      </c>
      <c r="B232" s="83">
        <v>6</v>
      </c>
      <c r="C232" s="110">
        <v>0.0018575251150560776</v>
      </c>
      <c r="D232" s="83" t="s">
        <v>3175</v>
      </c>
      <c r="E232" s="83" t="b">
        <v>1</v>
      </c>
      <c r="F232" s="83" t="b">
        <v>0</v>
      </c>
      <c r="G232" s="83" t="b">
        <v>0</v>
      </c>
    </row>
    <row r="233" spans="1:7" ht="15">
      <c r="A233" s="84" t="s">
        <v>2349</v>
      </c>
      <c r="B233" s="83">
        <v>6</v>
      </c>
      <c r="C233" s="110">
        <v>0.0017753399450139097</v>
      </c>
      <c r="D233" s="83" t="s">
        <v>3175</v>
      </c>
      <c r="E233" s="83" t="b">
        <v>0</v>
      </c>
      <c r="F233" s="83" t="b">
        <v>0</v>
      </c>
      <c r="G233" s="83" t="b">
        <v>0</v>
      </c>
    </row>
    <row r="234" spans="1:7" ht="15">
      <c r="A234" s="84" t="s">
        <v>2350</v>
      </c>
      <c r="B234" s="83">
        <v>6</v>
      </c>
      <c r="C234" s="110">
        <v>0.0017081897716873019</v>
      </c>
      <c r="D234" s="83" t="s">
        <v>3175</v>
      </c>
      <c r="E234" s="83" t="b">
        <v>0</v>
      </c>
      <c r="F234" s="83" t="b">
        <v>0</v>
      </c>
      <c r="G234" s="83" t="b">
        <v>0</v>
      </c>
    </row>
    <row r="235" spans="1:7" ht="15">
      <c r="A235" s="84" t="s">
        <v>2351</v>
      </c>
      <c r="B235" s="83">
        <v>6</v>
      </c>
      <c r="C235" s="110">
        <v>0.0019634802273740706</v>
      </c>
      <c r="D235" s="83" t="s">
        <v>3175</v>
      </c>
      <c r="E235" s="83" t="b">
        <v>0</v>
      </c>
      <c r="F235" s="83" t="b">
        <v>0</v>
      </c>
      <c r="G235" s="83" t="b">
        <v>0</v>
      </c>
    </row>
    <row r="236" spans="1:7" ht="15">
      <c r="A236" s="84" t="s">
        <v>2352</v>
      </c>
      <c r="B236" s="83">
        <v>5</v>
      </c>
      <c r="C236" s="110">
        <v>0.0015479375958800646</v>
      </c>
      <c r="D236" s="83" t="s">
        <v>3175</v>
      </c>
      <c r="E236" s="83" t="b">
        <v>0</v>
      </c>
      <c r="F236" s="83" t="b">
        <v>0</v>
      </c>
      <c r="G236" s="83" t="b">
        <v>0</v>
      </c>
    </row>
    <row r="237" spans="1:7" ht="15">
      <c r="A237" s="84" t="s">
        <v>2353</v>
      </c>
      <c r="B237" s="83">
        <v>5</v>
      </c>
      <c r="C237" s="110">
        <v>0.001479449954178258</v>
      </c>
      <c r="D237" s="83" t="s">
        <v>3175</v>
      </c>
      <c r="E237" s="83" t="b">
        <v>0</v>
      </c>
      <c r="F237" s="83" t="b">
        <v>0</v>
      </c>
      <c r="G237" s="83" t="b">
        <v>0</v>
      </c>
    </row>
    <row r="238" spans="1:7" ht="15">
      <c r="A238" s="84" t="s">
        <v>2354</v>
      </c>
      <c r="B238" s="83">
        <v>5</v>
      </c>
      <c r="C238" s="110">
        <v>0.0015479375958800646</v>
      </c>
      <c r="D238" s="83" t="s">
        <v>3175</v>
      </c>
      <c r="E238" s="83" t="b">
        <v>1</v>
      </c>
      <c r="F238" s="83" t="b">
        <v>0</v>
      </c>
      <c r="G238" s="83" t="b">
        <v>0</v>
      </c>
    </row>
    <row r="239" spans="1:7" ht="15">
      <c r="A239" s="84" t="s">
        <v>2355</v>
      </c>
      <c r="B239" s="83">
        <v>5</v>
      </c>
      <c r="C239" s="110">
        <v>0.001479449954178258</v>
      </c>
      <c r="D239" s="83" t="s">
        <v>3175</v>
      </c>
      <c r="E239" s="83" t="b">
        <v>1</v>
      </c>
      <c r="F239" s="83" t="b">
        <v>0</v>
      </c>
      <c r="G239" s="83" t="b">
        <v>0</v>
      </c>
    </row>
    <row r="240" spans="1:7" ht="15">
      <c r="A240" s="84" t="s">
        <v>2356</v>
      </c>
      <c r="B240" s="83">
        <v>5</v>
      </c>
      <c r="C240" s="110">
        <v>0.001479449954178258</v>
      </c>
      <c r="D240" s="83" t="s">
        <v>3175</v>
      </c>
      <c r="E240" s="83" t="b">
        <v>0</v>
      </c>
      <c r="F240" s="83" t="b">
        <v>0</v>
      </c>
      <c r="G240" s="83" t="b">
        <v>0</v>
      </c>
    </row>
    <row r="241" spans="1:7" ht="15">
      <c r="A241" s="84" t="s">
        <v>2357</v>
      </c>
      <c r="B241" s="83">
        <v>5</v>
      </c>
      <c r="C241" s="110">
        <v>0.0015479375958800646</v>
      </c>
      <c r="D241" s="83" t="s">
        <v>3175</v>
      </c>
      <c r="E241" s="83" t="b">
        <v>0</v>
      </c>
      <c r="F241" s="83" t="b">
        <v>0</v>
      </c>
      <c r="G241" s="83" t="b">
        <v>0</v>
      </c>
    </row>
    <row r="242" spans="1:7" ht="15">
      <c r="A242" s="84" t="s">
        <v>2358</v>
      </c>
      <c r="B242" s="83">
        <v>5</v>
      </c>
      <c r="C242" s="110">
        <v>0.001479449954178258</v>
      </c>
      <c r="D242" s="83" t="s">
        <v>3175</v>
      </c>
      <c r="E242" s="83" t="b">
        <v>0</v>
      </c>
      <c r="F242" s="83" t="b">
        <v>0</v>
      </c>
      <c r="G242" s="83" t="b">
        <v>0</v>
      </c>
    </row>
    <row r="243" spans="1:7" ht="15">
      <c r="A243" s="84" t="s">
        <v>2359</v>
      </c>
      <c r="B243" s="83">
        <v>5</v>
      </c>
      <c r="C243" s="110">
        <v>0.001479449954178258</v>
      </c>
      <c r="D243" s="83" t="s">
        <v>3175</v>
      </c>
      <c r="E243" s="83" t="b">
        <v>1</v>
      </c>
      <c r="F243" s="83" t="b">
        <v>0</v>
      </c>
      <c r="G243" s="83" t="b">
        <v>0</v>
      </c>
    </row>
    <row r="244" spans="1:7" ht="15">
      <c r="A244" s="84" t="s">
        <v>2360</v>
      </c>
      <c r="B244" s="83">
        <v>5</v>
      </c>
      <c r="C244" s="110">
        <v>0.001479449954178258</v>
      </c>
      <c r="D244" s="83" t="s">
        <v>3175</v>
      </c>
      <c r="E244" s="83" t="b">
        <v>1</v>
      </c>
      <c r="F244" s="83" t="b">
        <v>0</v>
      </c>
      <c r="G244" s="83" t="b">
        <v>0</v>
      </c>
    </row>
    <row r="245" spans="1:7" ht="15">
      <c r="A245" s="84" t="s">
        <v>2361</v>
      </c>
      <c r="B245" s="83">
        <v>5</v>
      </c>
      <c r="C245" s="110">
        <v>0.0016362335228117253</v>
      </c>
      <c r="D245" s="83" t="s">
        <v>3175</v>
      </c>
      <c r="E245" s="83" t="b">
        <v>0</v>
      </c>
      <c r="F245" s="83" t="b">
        <v>1</v>
      </c>
      <c r="G245" s="83" t="b">
        <v>0</v>
      </c>
    </row>
    <row r="246" spans="1:7" ht="15">
      <c r="A246" s="84" t="s">
        <v>2362</v>
      </c>
      <c r="B246" s="83">
        <v>5</v>
      </c>
      <c r="C246" s="110">
        <v>0.0015479375958800646</v>
      </c>
      <c r="D246" s="83" t="s">
        <v>3175</v>
      </c>
      <c r="E246" s="83" t="b">
        <v>0</v>
      </c>
      <c r="F246" s="83" t="b">
        <v>0</v>
      </c>
      <c r="G246" s="83" t="b">
        <v>0</v>
      </c>
    </row>
    <row r="247" spans="1:7" ht="15">
      <c r="A247" s="84" t="s">
        <v>2363</v>
      </c>
      <c r="B247" s="83">
        <v>5</v>
      </c>
      <c r="C247" s="110">
        <v>0.0015479375958800646</v>
      </c>
      <c r="D247" s="83" t="s">
        <v>3175</v>
      </c>
      <c r="E247" s="83" t="b">
        <v>0</v>
      </c>
      <c r="F247" s="83" t="b">
        <v>0</v>
      </c>
      <c r="G247" s="83" t="b">
        <v>0</v>
      </c>
    </row>
    <row r="248" spans="1:7" ht="15">
      <c r="A248" s="84" t="s">
        <v>2364</v>
      </c>
      <c r="B248" s="83">
        <v>5</v>
      </c>
      <c r="C248" s="110">
        <v>0.001479449954178258</v>
      </c>
      <c r="D248" s="83" t="s">
        <v>3175</v>
      </c>
      <c r="E248" s="83" t="b">
        <v>0</v>
      </c>
      <c r="F248" s="83" t="b">
        <v>0</v>
      </c>
      <c r="G248" s="83" t="b">
        <v>0</v>
      </c>
    </row>
    <row r="249" spans="1:7" ht="15">
      <c r="A249" s="84" t="s">
        <v>2365</v>
      </c>
      <c r="B249" s="83">
        <v>5</v>
      </c>
      <c r="C249" s="110">
        <v>0.001479449954178258</v>
      </c>
      <c r="D249" s="83" t="s">
        <v>3175</v>
      </c>
      <c r="E249" s="83" t="b">
        <v>0</v>
      </c>
      <c r="F249" s="83" t="b">
        <v>0</v>
      </c>
      <c r="G249" s="83" t="b">
        <v>0</v>
      </c>
    </row>
    <row r="250" spans="1:7" ht="15">
      <c r="A250" s="84" t="s">
        <v>2366</v>
      </c>
      <c r="B250" s="83">
        <v>5</v>
      </c>
      <c r="C250" s="110">
        <v>0.001479449954178258</v>
      </c>
      <c r="D250" s="83" t="s">
        <v>3175</v>
      </c>
      <c r="E250" s="83" t="b">
        <v>0</v>
      </c>
      <c r="F250" s="83" t="b">
        <v>1</v>
      </c>
      <c r="G250" s="83" t="b">
        <v>0</v>
      </c>
    </row>
    <row r="251" spans="1:7" ht="15">
      <c r="A251" s="84" t="s">
        <v>2367</v>
      </c>
      <c r="B251" s="83">
        <v>5</v>
      </c>
      <c r="C251" s="110">
        <v>0.001479449954178258</v>
      </c>
      <c r="D251" s="83" t="s">
        <v>3175</v>
      </c>
      <c r="E251" s="83" t="b">
        <v>0</v>
      </c>
      <c r="F251" s="83" t="b">
        <v>0</v>
      </c>
      <c r="G251" s="83" t="b">
        <v>0</v>
      </c>
    </row>
    <row r="252" spans="1:7" ht="15">
      <c r="A252" s="84" t="s">
        <v>2368</v>
      </c>
      <c r="B252" s="83">
        <v>5</v>
      </c>
      <c r="C252" s="110">
        <v>0.0015479375958800646</v>
      </c>
      <c r="D252" s="83" t="s">
        <v>3175</v>
      </c>
      <c r="E252" s="83" t="b">
        <v>0</v>
      </c>
      <c r="F252" s="83" t="b">
        <v>1</v>
      </c>
      <c r="G252" s="83" t="b">
        <v>0</v>
      </c>
    </row>
    <row r="253" spans="1:7" ht="15">
      <c r="A253" s="84" t="s">
        <v>2369</v>
      </c>
      <c r="B253" s="83">
        <v>5</v>
      </c>
      <c r="C253" s="110">
        <v>0.0015479375958800646</v>
      </c>
      <c r="D253" s="83" t="s">
        <v>3175</v>
      </c>
      <c r="E253" s="83" t="b">
        <v>0</v>
      </c>
      <c r="F253" s="83" t="b">
        <v>0</v>
      </c>
      <c r="G253" s="83" t="b">
        <v>0</v>
      </c>
    </row>
    <row r="254" spans="1:7" ht="15">
      <c r="A254" s="84" t="s">
        <v>2370</v>
      </c>
      <c r="B254" s="83">
        <v>5</v>
      </c>
      <c r="C254" s="110">
        <v>0.001479449954178258</v>
      </c>
      <c r="D254" s="83" t="s">
        <v>3175</v>
      </c>
      <c r="E254" s="83" t="b">
        <v>0</v>
      </c>
      <c r="F254" s="83" t="b">
        <v>0</v>
      </c>
      <c r="G254" s="83" t="b">
        <v>0</v>
      </c>
    </row>
    <row r="255" spans="1:7" ht="15">
      <c r="A255" s="84" t="s">
        <v>2371</v>
      </c>
      <c r="B255" s="83">
        <v>5</v>
      </c>
      <c r="C255" s="110">
        <v>0.001479449954178258</v>
      </c>
      <c r="D255" s="83" t="s">
        <v>3175</v>
      </c>
      <c r="E255" s="83" t="b">
        <v>0</v>
      </c>
      <c r="F255" s="83" t="b">
        <v>0</v>
      </c>
      <c r="G255" s="83" t="b">
        <v>0</v>
      </c>
    </row>
    <row r="256" spans="1:7" ht="15">
      <c r="A256" s="84" t="s">
        <v>2372</v>
      </c>
      <c r="B256" s="83">
        <v>5</v>
      </c>
      <c r="C256" s="110">
        <v>0.0015479375958800646</v>
      </c>
      <c r="D256" s="83" t="s">
        <v>3175</v>
      </c>
      <c r="E256" s="83" t="b">
        <v>0</v>
      </c>
      <c r="F256" s="83" t="b">
        <v>1</v>
      </c>
      <c r="G256" s="83" t="b">
        <v>0</v>
      </c>
    </row>
    <row r="257" spans="1:7" ht="15">
      <c r="A257" s="84" t="s">
        <v>2373</v>
      </c>
      <c r="B257" s="83">
        <v>5</v>
      </c>
      <c r="C257" s="110">
        <v>0.001479449954178258</v>
      </c>
      <c r="D257" s="83" t="s">
        <v>3175</v>
      </c>
      <c r="E257" s="83" t="b">
        <v>0</v>
      </c>
      <c r="F257" s="83" t="b">
        <v>0</v>
      </c>
      <c r="G257" s="83" t="b">
        <v>0</v>
      </c>
    </row>
    <row r="258" spans="1:7" ht="15">
      <c r="A258" s="84" t="s">
        <v>2374</v>
      </c>
      <c r="B258" s="83">
        <v>5</v>
      </c>
      <c r="C258" s="110">
        <v>0.001479449954178258</v>
      </c>
      <c r="D258" s="83" t="s">
        <v>3175</v>
      </c>
      <c r="E258" s="83" t="b">
        <v>0</v>
      </c>
      <c r="F258" s="83" t="b">
        <v>0</v>
      </c>
      <c r="G258" s="83" t="b">
        <v>0</v>
      </c>
    </row>
    <row r="259" spans="1:7" ht="15">
      <c r="A259" s="84" t="s">
        <v>2375</v>
      </c>
      <c r="B259" s="83">
        <v>5</v>
      </c>
      <c r="C259" s="110">
        <v>0.001479449954178258</v>
      </c>
      <c r="D259" s="83" t="s">
        <v>3175</v>
      </c>
      <c r="E259" s="83" t="b">
        <v>0</v>
      </c>
      <c r="F259" s="83" t="b">
        <v>0</v>
      </c>
      <c r="G259" s="83" t="b">
        <v>0</v>
      </c>
    </row>
    <row r="260" spans="1:7" ht="15">
      <c r="A260" s="84" t="s">
        <v>2376</v>
      </c>
      <c r="B260" s="83">
        <v>5</v>
      </c>
      <c r="C260" s="110">
        <v>0.001479449954178258</v>
      </c>
      <c r="D260" s="83" t="s">
        <v>3175</v>
      </c>
      <c r="E260" s="83" t="b">
        <v>0</v>
      </c>
      <c r="F260" s="83" t="b">
        <v>0</v>
      </c>
      <c r="G260" s="83" t="b">
        <v>0</v>
      </c>
    </row>
    <row r="261" spans="1:7" ht="15">
      <c r="A261" s="84" t="s">
        <v>2377</v>
      </c>
      <c r="B261" s="83">
        <v>5</v>
      </c>
      <c r="C261" s="110">
        <v>0.001479449954178258</v>
      </c>
      <c r="D261" s="83" t="s">
        <v>3175</v>
      </c>
      <c r="E261" s="83" t="b">
        <v>0</v>
      </c>
      <c r="F261" s="83" t="b">
        <v>0</v>
      </c>
      <c r="G261" s="83" t="b">
        <v>0</v>
      </c>
    </row>
    <row r="262" spans="1:7" ht="15">
      <c r="A262" s="84" t="s">
        <v>2378</v>
      </c>
      <c r="B262" s="83">
        <v>5</v>
      </c>
      <c r="C262" s="110">
        <v>0.0015479375958800646</v>
      </c>
      <c r="D262" s="83" t="s">
        <v>3175</v>
      </c>
      <c r="E262" s="83" t="b">
        <v>0</v>
      </c>
      <c r="F262" s="83" t="b">
        <v>0</v>
      </c>
      <c r="G262" s="83" t="b">
        <v>0</v>
      </c>
    </row>
    <row r="263" spans="1:7" ht="15">
      <c r="A263" s="84" t="s">
        <v>2379</v>
      </c>
      <c r="B263" s="83">
        <v>5</v>
      </c>
      <c r="C263" s="110">
        <v>0.001479449954178258</v>
      </c>
      <c r="D263" s="83" t="s">
        <v>3175</v>
      </c>
      <c r="E263" s="83" t="b">
        <v>0</v>
      </c>
      <c r="F263" s="83" t="b">
        <v>0</v>
      </c>
      <c r="G263" s="83" t="b">
        <v>0</v>
      </c>
    </row>
    <row r="264" spans="1:7" ht="15">
      <c r="A264" s="84" t="s">
        <v>2380</v>
      </c>
      <c r="B264" s="83">
        <v>5</v>
      </c>
      <c r="C264" s="110">
        <v>0.001479449954178258</v>
      </c>
      <c r="D264" s="83" t="s">
        <v>3175</v>
      </c>
      <c r="E264" s="83" t="b">
        <v>0</v>
      </c>
      <c r="F264" s="83" t="b">
        <v>0</v>
      </c>
      <c r="G264" s="83" t="b">
        <v>0</v>
      </c>
    </row>
    <row r="265" spans="1:7" ht="15">
      <c r="A265" s="84" t="s">
        <v>2381</v>
      </c>
      <c r="B265" s="83">
        <v>5</v>
      </c>
      <c r="C265" s="110">
        <v>0.001479449954178258</v>
      </c>
      <c r="D265" s="83" t="s">
        <v>3175</v>
      </c>
      <c r="E265" s="83" t="b">
        <v>0</v>
      </c>
      <c r="F265" s="83" t="b">
        <v>0</v>
      </c>
      <c r="G265" s="83" t="b">
        <v>0</v>
      </c>
    </row>
    <row r="266" spans="1:7" ht="15">
      <c r="A266" s="84" t="s">
        <v>2382</v>
      </c>
      <c r="B266" s="83">
        <v>5</v>
      </c>
      <c r="C266" s="110">
        <v>0.001479449954178258</v>
      </c>
      <c r="D266" s="83" t="s">
        <v>3175</v>
      </c>
      <c r="E266" s="83" t="b">
        <v>0</v>
      </c>
      <c r="F266" s="83" t="b">
        <v>1</v>
      </c>
      <c r="G266" s="83" t="b">
        <v>0</v>
      </c>
    </row>
    <row r="267" spans="1:7" ht="15">
      <c r="A267" s="84" t="s">
        <v>2383</v>
      </c>
      <c r="B267" s="83">
        <v>5</v>
      </c>
      <c r="C267" s="110">
        <v>0.001760679642285705</v>
      </c>
      <c r="D267" s="83" t="s">
        <v>3175</v>
      </c>
      <c r="E267" s="83" t="b">
        <v>0</v>
      </c>
      <c r="F267" s="83" t="b">
        <v>1</v>
      </c>
      <c r="G267" s="83" t="b">
        <v>0</v>
      </c>
    </row>
    <row r="268" spans="1:7" ht="15">
      <c r="A268" s="84" t="s">
        <v>2384</v>
      </c>
      <c r="B268" s="83">
        <v>5</v>
      </c>
      <c r="C268" s="110">
        <v>0.001479449954178258</v>
      </c>
      <c r="D268" s="83" t="s">
        <v>3175</v>
      </c>
      <c r="E268" s="83" t="b">
        <v>0</v>
      </c>
      <c r="F268" s="83" t="b">
        <v>0</v>
      </c>
      <c r="G268" s="83" t="b">
        <v>0</v>
      </c>
    </row>
    <row r="269" spans="1:7" ht="15">
      <c r="A269" s="84" t="s">
        <v>2385</v>
      </c>
      <c r="B269" s="83">
        <v>5</v>
      </c>
      <c r="C269" s="110">
        <v>0.001479449954178258</v>
      </c>
      <c r="D269" s="83" t="s">
        <v>3175</v>
      </c>
      <c r="E269" s="83" t="b">
        <v>0</v>
      </c>
      <c r="F269" s="83" t="b">
        <v>0</v>
      </c>
      <c r="G269" s="83" t="b">
        <v>0</v>
      </c>
    </row>
    <row r="270" spans="1:7" ht="15">
      <c r="A270" s="84" t="s">
        <v>2386</v>
      </c>
      <c r="B270" s="83">
        <v>5</v>
      </c>
      <c r="C270" s="110">
        <v>0.001479449954178258</v>
      </c>
      <c r="D270" s="83" t="s">
        <v>3175</v>
      </c>
      <c r="E270" s="83" t="b">
        <v>0</v>
      </c>
      <c r="F270" s="83" t="b">
        <v>0</v>
      </c>
      <c r="G270" s="83" t="b">
        <v>0</v>
      </c>
    </row>
    <row r="271" spans="1:7" ht="15">
      <c r="A271" s="84" t="s">
        <v>2387</v>
      </c>
      <c r="B271" s="83">
        <v>5</v>
      </c>
      <c r="C271" s="110">
        <v>0.001479449954178258</v>
      </c>
      <c r="D271" s="83" t="s">
        <v>3175</v>
      </c>
      <c r="E271" s="83" t="b">
        <v>0</v>
      </c>
      <c r="F271" s="83" t="b">
        <v>0</v>
      </c>
      <c r="G271" s="83" t="b">
        <v>0</v>
      </c>
    </row>
    <row r="272" spans="1:7" ht="15">
      <c r="A272" s="84" t="s">
        <v>2388</v>
      </c>
      <c r="B272" s="83">
        <v>5</v>
      </c>
      <c r="C272" s="110">
        <v>0.0015479375958800646</v>
      </c>
      <c r="D272" s="83" t="s">
        <v>3175</v>
      </c>
      <c r="E272" s="83" t="b">
        <v>0</v>
      </c>
      <c r="F272" s="83" t="b">
        <v>0</v>
      </c>
      <c r="G272" s="83" t="b">
        <v>0</v>
      </c>
    </row>
    <row r="273" spans="1:7" ht="15">
      <c r="A273" s="84" t="s">
        <v>2389</v>
      </c>
      <c r="B273" s="83">
        <v>5</v>
      </c>
      <c r="C273" s="110">
        <v>0.001479449954178258</v>
      </c>
      <c r="D273" s="83" t="s">
        <v>3175</v>
      </c>
      <c r="E273" s="83" t="b">
        <v>0</v>
      </c>
      <c r="F273" s="83" t="b">
        <v>0</v>
      </c>
      <c r="G273" s="83" t="b">
        <v>0</v>
      </c>
    </row>
    <row r="274" spans="1:7" ht="15">
      <c r="A274" s="84" t="s">
        <v>2390</v>
      </c>
      <c r="B274" s="83">
        <v>5</v>
      </c>
      <c r="C274" s="110">
        <v>0.0015479375958800646</v>
      </c>
      <c r="D274" s="83" t="s">
        <v>3175</v>
      </c>
      <c r="E274" s="83" t="b">
        <v>0</v>
      </c>
      <c r="F274" s="83" t="b">
        <v>0</v>
      </c>
      <c r="G274" s="83" t="b">
        <v>0</v>
      </c>
    </row>
    <row r="275" spans="1:7" ht="15">
      <c r="A275" s="84" t="s">
        <v>2391</v>
      </c>
      <c r="B275" s="83">
        <v>5</v>
      </c>
      <c r="C275" s="110">
        <v>0.001479449954178258</v>
      </c>
      <c r="D275" s="83" t="s">
        <v>3175</v>
      </c>
      <c r="E275" s="83" t="b">
        <v>0</v>
      </c>
      <c r="F275" s="83" t="b">
        <v>0</v>
      </c>
      <c r="G275" s="83" t="b">
        <v>0</v>
      </c>
    </row>
    <row r="276" spans="1:7" ht="15">
      <c r="A276" s="84" t="s">
        <v>2392</v>
      </c>
      <c r="B276" s="83">
        <v>5</v>
      </c>
      <c r="C276" s="110">
        <v>0.001479449954178258</v>
      </c>
      <c r="D276" s="83" t="s">
        <v>3175</v>
      </c>
      <c r="E276" s="83" t="b">
        <v>0</v>
      </c>
      <c r="F276" s="83" t="b">
        <v>0</v>
      </c>
      <c r="G276" s="83" t="b">
        <v>0</v>
      </c>
    </row>
    <row r="277" spans="1:7" ht="15">
      <c r="A277" s="84" t="s">
        <v>2393</v>
      </c>
      <c r="B277" s="83">
        <v>5</v>
      </c>
      <c r="C277" s="110">
        <v>0.001973421688691345</v>
      </c>
      <c r="D277" s="83" t="s">
        <v>3175</v>
      </c>
      <c r="E277" s="83" t="b">
        <v>0</v>
      </c>
      <c r="F277" s="83" t="b">
        <v>1</v>
      </c>
      <c r="G277" s="83" t="b">
        <v>0</v>
      </c>
    </row>
    <row r="278" spans="1:7" ht="15">
      <c r="A278" s="84" t="s">
        <v>2394</v>
      </c>
      <c r="B278" s="83">
        <v>5</v>
      </c>
      <c r="C278" s="110">
        <v>0.0016362335228117253</v>
      </c>
      <c r="D278" s="83" t="s">
        <v>3175</v>
      </c>
      <c r="E278" s="83" t="b">
        <v>0</v>
      </c>
      <c r="F278" s="83" t="b">
        <v>0</v>
      </c>
      <c r="G278" s="83" t="b">
        <v>0</v>
      </c>
    </row>
    <row r="279" spans="1:7" ht="15">
      <c r="A279" s="84" t="s">
        <v>2395</v>
      </c>
      <c r="B279" s="83">
        <v>5</v>
      </c>
      <c r="C279" s="110">
        <v>0.0016362335228117253</v>
      </c>
      <c r="D279" s="83" t="s">
        <v>3175</v>
      </c>
      <c r="E279" s="83" t="b">
        <v>0</v>
      </c>
      <c r="F279" s="83" t="b">
        <v>0</v>
      </c>
      <c r="G279" s="83" t="b">
        <v>0</v>
      </c>
    </row>
    <row r="280" spans="1:7" ht="15">
      <c r="A280" s="84" t="s">
        <v>2396</v>
      </c>
      <c r="B280" s="83">
        <v>5</v>
      </c>
      <c r="C280" s="110">
        <v>0.001479449954178258</v>
      </c>
      <c r="D280" s="83" t="s">
        <v>3175</v>
      </c>
      <c r="E280" s="83" t="b">
        <v>0</v>
      </c>
      <c r="F280" s="83" t="b">
        <v>0</v>
      </c>
      <c r="G280" s="83" t="b">
        <v>0</v>
      </c>
    </row>
    <row r="281" spans="1:7" ht="15">
      <c r="A281" s="84" t="s">
        <v>2397</v>
      </c>
      <c r="B281" s="83">
        <v>5</v>
      </c>
      <c r="C281" s="110">
        <v>0.001479449954178258</v>
      </c>
      <c r="D281" s="83" t="s">
        <v>3175</v>
      </c>
      <c r="E281" s="83" t="b">
        <v>0</v>
      </c>
      <c r="F281" s="83" t="b">
        <v>0</v>
      </c>
      <c r="G281" s="83" t="b">
        <v>0</v>
      </c>
    </row>
    <row r="282" spans="1:7" ht="15">
      <c r="A282" s="84" t="s">
        <v>2398</v>
      </c>
      <c r="B282" s="83">
        <v>5</v>
      </c>
      <c r="C282" s="110">
        <v>0.001479449954178258</v>
      </c>
      <c r="D282" s="83" t="s">
        <v>3175</v>
      </c>
      <c r="E282" s="83" t="b">
        <v>0</v>
      </c>
      <c r="F282" s="83" t="b">
        <v>0</v>
      </c>
      <c r="G282" s="83" t="b">
        <v>0</v>
      </c>
    </row>
    <row r="283" spans="1:7" ht="15">
      <c r="A283" s="84" t="s">
        <v>2399</v>
      </c>
      <c r="B283" s="83">
        <v>5</v>
      </c>
      <c r="C283" s="110">
        <v>0.001479449954178258</v>
      </c>
      <c r="D283" s="83" t="s">
        <v>3175</v>
      </c>
      <c r="E283" s="83" t="b">
        <v>0</v>
      </c>
      <c r="F283" s="83" t="b">
        <v>0</v>
      </c>
      <c r="G283" s="83" t="b">
        <v>0</v>
      </c>
    </row>
    <row r="284" spans="1:7" ht="15">
      <c r="A284" s="84" t="s">
        <v>2400</v>
      </c>
      <c r="B284" s="83">
        <v>5</v>
      </c>
      <c r="C284" s="110">
        <v>0.001479449954178258</v>
      </c>
      <c r="D284" s="83" t="s">
        <v>3175</v>
      </c>
      <c r="E284" s="83" t="b">
        <v>0</v>
      </c>
      <c r="F284" s="83" t="b">
        <v>0</v>
      </c>
      <c r="G284" s="83" t="b">
        <v>0</v>
      </c>
    </row>
    <row r="285" spans="1:7" ht="15">
      <c r="A285" s="84" t="s">
        <v>2401</v>
      </c>
      <c r="B285" s="83">
        <v>5</v>
      </c>
      <c r="C285" s="110">
        <v>0.001479449954178258</v>
      </c>
      <c r="D285" s="83" t="s">
        <v>3175</v>
      </c>
      <c r="E285" s="83" t="b">
        <v>0</v>
      </c>
      <c r="F285" s="83" t="b">
        <v>0</v>
      </c>
      <c r="G285" s="83" t="b">
        <v>0</v>
      </c>
    </row>
    <row r="286" spans="1:7" ht="15">
      <c r="A286" s="84" t="s">
        <v>2402</v>
      </c>
      <c r="B286" s="83">
        <v>5</v>
      </c>
      <c r="C286" s="110">
        <v>0.001479449954178258</v>
      </c>
      <c r="D286" s="83" t="s">
        <v>3175</v>
      </c>
      <c r="E286" s="83" t="b">
        <v>0</v>
      </c>
      <c r="F286" s="83" t="b">
        <v>0</v>
      </c>
      <c r="G286" s="83" t="b">
        <v>0</v>
      </c>
    </row>
    <row r="287" spans="1:7" ht="15">
      <c r="A287" s="84" t="s">
        <v>2403</v>
      </c>
      <c r="B287" s="83">
        <v>5</v>
      </c>
      <c r="C287" s="110">
        <v>0.0015479375958800646</v>
      </c>
      <c r="D287" s="83" t="s">
        <v>3175</v>
      </c>
      <c r="E287" s="83" t="b">
        <v>0</v>
      </c>
      <c r="F287" s="83" t="b">
        <v>0</v>
      </c>
      <c r="G287" s="83" t="b">
        <v>0</v>
      </c>
    </row>
    <row r="288" spans="1:7" ht="15">
      <c r="A288" s="84" t="s">
        <v>2404</v>
      </c>
      <c r="B288" s="83">
        <v>5</v>
      </c>
      <c r="C288" s="110">
        <v>0.001479449954178258</v>
      </c>
      <c r="D288" s="83" t="s">
        <v>3175</v>
      </c>
      <c r="E288" s="83" t="b">
        <v>0</v>
      </c>
      <c r="F288" s="83" t="b">
        <v>0</v>
      </c>
      <c r="G288" s="83" t="b">
        <v>0</v>
      </c>
    </row>
    <row r="289" spans="1:7" ht="15">
      <c r="A289" s="84" t="s">
        <v>2405</v>
      </c>
      <c r="B289" s="83">
        <v>5</v>
      </c>
      <c r="C289" s="110">
        <v>0.001479449954178258</v>
      </c>
      <c r="D289" s="83" t="s">
        <v>3175</v>
      </c>
      <c r="E289" s="83" t="b">
        <v>0</v>
      </c>
      <c r="F289" s="83" t="b">
        <v>1</v>
      </c>
      <c r="G289" s="83" t="b">
        <v>0</v>
      </c>
    </row>
    <row r="290" spans="1:7" ht="15">
      <c r="A290" s="84" t="s">
        <v>2406</v>
      </c>
      <c r="B290" s="83">
        <v>5</v>
      </c>
      <c r="C290" s="110">
        <v>0.001479449954178258</v>
      </c>
      <c r="D290" s="83" t="s">
        <v>3175</v>
      </c>
      <c r="E290" s="83" t="b">
        <v>0</v>
      </c>
      <c r="F290" s="83" t="b">
        <v>0</v>
      </c>
      <c r="G290" s="83" t="b">
        <v>0</v>
      </c>
    </row>
    <row r="291" spans="1:7" ht="15">
      <c r="A291" s="84" t="s">
        <v>2407</v>
      </c>
      <c r="B291" s="83">
        <v>5</v>
      </c>
      <c r="C291" s="110">
        <v>0.0016362335228117253</v>
      </c>
      <c r="D291" s="83" t="s">
        <v>3175</v>
      </c>
      <c r="E291" s="83" t="b">
        <v>0</v>
      </c>
      <c r="F291" s="83" t="b">
        <v>1</v>
      </c>
      <c r="G291" s="83" t="b">
        <v>0</v>
      </c>
    </row>
    <row r="292" spans="1:7" ht="15">
      <c r="A292" s="84" t="s">
        <v>2408</v>
      </c>
      <c r="B292" s="83">
        <v>5</v>
      </c>
      <c r="C292" s="110">
        <v>0.001760679642285705</v>
      </c>
      <c r="D292" s="83" t="s">
        <v>3175</v>
      </c>
      <c r="E292" s="83" t="b">
        <v>0</v>
      </c>
      <c r="F292" s="83" t="b">
        <v>0</v>
      </c>
      <c r="G292" s="83" t="b">
        <v>0</v>
      </c>
    </row>
    <row r="293" spans="1:7" ht="15">
      <c r="A293" s="84" t="s">
        <v>2409</v>
      </c>
      <c r="B293" s="83">
        <v>5</v>
      </c>
      <c r="C293" s="110">
        <v>0.001479449954178258</v>
      </c>
      <c r="D293" s="83" t="s">
        <v>3175</v>
      </c>
      <c r="E293" s="83" t="b">
        <v>0</v>
      </c>
      <c r="F293" s="83" t="b">
        <v>0</v>
      </c>
      <c r="G293" s="83" t="b">
        <v>0</v>
      </c>
    </row>
    <row r="294" spans="1:7" ht="15">
      <c r="A294" s="84" t="s">
        <v>2410</v>
      </c>
      <c r="B294" s="83">
        <v>5</v>
      </c>
      <c r="C294" s="110">
        <v>0.001479449954178258</v>
      </c>
      <c r="D294" s="83" t="s">
        <v>3175</v>
      </c>
      <c r="E294" s="83" t="b">
        <v>0</v>
      </c>
      <c r="F294" s="83" t="b">
        <v>0</v>
      </c>
      <c r="G294" s="83" t="b">
        <v>0</v>
      </c>
    </row>
    <row r="295" spans="1:7" ht="15">
      <c r="A295" s="84" t="s">
        <v>2411</v>
      </c>
      <c r="B295" s="83">
        <v>5</v>
      </c>
      <c r="C295" s="110">
        <v>0.0015479375958800646</v>
      </c>
      <c r="D295" s="83" t="s">
        <v>3175</v>
      </c>
      <c r="E295" s="83" t="b">
        <v>0</v>
      </c>
      <c r="F295" s="83" t="b">
        <v>0</v>
      </c>
      <c r="G295" s="83" t="b">
        <v>0</v>
      </c>
    </row>
    <row r="296" spans="1:7" ht="15">
      <c r="A296" s="84" t="s">
        <v>2412</v>
      </c>
      <c r="B296" s="83">
        <v>5</v>
      </c>
      <c r="C296" s="110">
        <v>0.001479449954178258</v>
      </c>
      <c r="D296" s="83" t="s">
        <v>3175</v>
      </c>
      <c r="E296" s="83" t="b">
        <v>0</v>
      </c>
      <c r="F296" s="83" t="b">
        <v>0</v>
      </c>
      <c r="G296" s="83" t="b">
        <v>0</v>
      </c>
    </row>
    <row r="297" spans="1:7" ht="15">
      <c r="A297" s="84" t="s">
        <v>2413</v>
      </c>
      <c r="B297" s="83">
        <v>5</v>
      </c>
      <c r="C297" s="110">
        <v>0.0016362335228117253</v>
      </c>
      <c r="D297" s="83" t="s">
        <v>3175</v>
      </c>
      <c r="E297" s="83" t="b">
        <v>0</v>
      </c>
      <c r="F297" s="83" t="b">
        <v>0</v>
      </c>
      <c r="G297" s="83" t="b">
        <v>0</v>
      </c>
    </row>
    <row r="298" spans="1:7" ht="15">
      <c r="A298" s="84" t="s">
        <v>2414</v>
      </c>
      <c r="B298" s="83">
        <v>5</v>
      </c>
      <c r="C298" s="110">
        <v>0.0016362335228117253</v>
      </c>
      <c r="D298" s="83" t="s">
        <v>3175</v>
      </c>
      <c r="E298" s="83" t="b">
        <v>0</v>
      </c>
      <c r="F298" s="83" t="b">
        <v>0</v>
      </c>
      <c r="G298" s="83" t="b">
        <v>0</v>
      </c>
    </row>
    <row r="299" spans="1:7" ht="15">
      <c r="A299" s="84" t="s">
        <v>2415</v>
      </c>
      <c r="B299" s="83">
        <v>5</v>
      </c>
      <c r="C299" s="110">
        <v>0.0015479375958800646</v>
      </c>
      <c r="D299" s="83" t="s">
        <v>3175</v>
      </c>
      <c r="E299" s="83" t="b">
        <v>0</v>
      </c>
      <c r="F299" s="83" t="b">
        <v>0</v>
      </c>
      <c r="G299" s="83" t="b">
        <v>0</v>
      </c>
    </row>
    <row r="300" spans="1:7" ht="15">
      <c r="A300" s="84" t="s">
        <v>2416</v>
      </c>
      <c r="B300" s="83">
        <v>5</v>
      </c>
      <c r="C300" s="110">
        <v>0.001973421688691345</v>
      </c>
      <c r="D300" s="83" t="s">
        <v>3175</v>
      </c>
      <c r="E300" s="83" t="b">
        <v>0</v>
      </c>
      <c r="F300" s="83" t="b">
        <v>0</v>
      </c>
      <c r="G300" s="83" t="b">
        <v>0</v>
      </c>
    </row>
    <row r="301" spans="1:7" ht="15">
      <c r="A301" s="84" t="s">
        <v>2417</v>
      </c>
      <c r="B301" s="83">
        <v>5</v>
      </c>
      <c r="C301" s="110">
        <v>0.001973421688691345</v>
      </c>
      <c r="D301" s="83" t="s">
        <v>3175</v>
      </c>
      <c r="E301" s="83" t="b">
        <v>0</v>
      </c>
      <c r="F301" s="83" t="b">
        <v>0</v>
      </c>
      <c r="G301" s="83" t="b">
        <v>0</v>
      </c>
    </row>
    <row r="302" spans="1:7" ht="15">
      <c r="A302" s="84" t="s">
        <v>2418</v>
      </c>
      <c r="B302" s="83">
        <v>5</v>
      </c>
      <c r="C302" s="110">
        <v>0.0015479375958800646</v>
      </c>
      <c r="D302" s="83" t="s">
        <v>3175</v>
      </c>
      <c r="E302" s="83" t="b">
        <v>0</v>
      </c>
      <c r="F302" s="83" t="b">
        <v>0</v>
      </c>
      <c r="G302" s="83" t="b">
        <v>0</v>
      </c>
    </row>
    <row r="303" spans="1:7" ht="15">
      <c r="A303" s="84" t="s">
        <v>2419</v>
      </c>
      <c r="B303" s="83">
        <v>5</v>
      </c>
      <c r="C303" s="110">
        <v>0.0015479375958800646</v>
      </c>
      <c r="D303" s="83" t="s">
        <v>3175</v>
      </c>
      <c r="E303" s="83" t="b">
        <v>0</v>
      </c>
      <c r="F303" s="83" t="b">
        <v>0</v>
      </c>
      <c r="G303" s="83" t="b">
        <v>0</v>
      </c>
    </row>
    <row r="304" spans="1:7" ht="15">
      <c r="A304" s="84" t="s">
        <v>2420</v>
      </c>
      <c r="B304" s="83">
        <v>5</v>
      </c>
      <c r="C304" s="110">
        <v>0.0016362335228117253</v>
      </c>
      <c r="D304" s="83" t="s">
        <v>3175</v>
      </c>
      <c r="E304" s="83" t="b">
        <v>0</v>
      </c>
      <c r="F304" s="83" t="b">
        <v>0</v>
      </c>
      <c r="G304" s="83" t="b">
        <v>0</v>
      </c>
    </row>
    <row r="305" spans="1:7" ht="15">
      <c r="A305" s="84" t="s">
        <v>2421</v>
      </c>
      <c r="B305" s="83">
        <v>5</v>
      </c>
      <c r="C305" s="110">
        <v>0.0016362335228117253</v>
      </c>
      <c r="D305" s="83" t="s">
        <v>3175</v>
      </c>
      <c r="E305" s="83" t="b">
        <v>0</v>
      </c>
      <c r="F305" s="83" t="b">
        <v>1</v>
      </c>
      <c r="G305" s="83" t="b">
        <v>0</v>
      </c>
    </row>
    <row r="306" spans="1:7" ht="15">
      <c r="A306" s="84" t="s">
        <v>2422</v>
      </c>
      <c r="B306" s="83">
        <v>5</v>
      </c>
      <c r="C306" s="110">
        <v>0.001479449954178258</v>
      </c>
      <c r="D306" s="83" t="s">
        <v>3175</v>
      </c>
      <c r="E306" s="83" t="b">
        <v>1</v>
      </c>
      <c r="F306" s="83" t="b">
        <v>0</v>
      </c>
      <c r="G306" s="83" t="b">
        <v>0</v>
      </c>
    </row>
    <row r="307" spans="1:7" ht="15">
      <c r="A307" s="84" t="s">
        <v>2423</v>
      </c>
      <c r="B307" s="83">
        <v>5</v>
      </c>
      <c r="C307" s="110">
        <v>0.0015479375958800646</v>
      </c>
      <c r="D307" s="83" t="s">
        <v>3175</v>
      </c>
      <c r="E307" s="83" t="b">
        <v>0</v>
      </c>
      <c r="F307" s="83" t="b">
        <v>0</v>
      </c>
      <c r="G307" s="83" t="b">
        <v>0</v>
      </c>
    </row>
    <row r="308" spans="1:7" ht="15">
      <c r="A308" s="84" t="s">
        <v>2424</v>
      </c>
      <c r="B308" s="83">
        <v>5</v>
      </c>
      <c r="C308" s="110">
        <v>0.001479449954178258</v>
      </c>
      <c r="D308" s="83" t="s">
        <v>3175</v>
      </c>
      <c r="E308" s="83" t="b">
        <v>0</v>
      </c>
      <c r="F308" s="83" t="b">
        <v>0</v>
      </c>
      <c r="G308" s="83" t="b">
        <v>0</v>
      </c>
    </row>
    <row r="309" spans="1:7" ht="15">
      <c r="A309" s="84" t="s">
        <v>2425</v>
      </c>
      <c r="B309" s="83">
        <v>5</v>
      </c>
      <c r="C309" s="110">
        <v>0.0016362335228117253</v>
      </c>
      <c r="D309" s="83" t="s">
        <v>3175</v>
      </c>
      <c r="E309" s="83" t="b">
        <v>0</v>
      </c>
      <c r="F309" s="83" t="b">
        <v>0</v>
      </c>
      <c r="G309" s="83" t="b">
        <v>0</v>
      </c>
    </row>
    <row r="310" spans="1:7" ht="15">
      <c r="A310" s="84" t="s">
        <v>2426</v>
      </c>
      <c r="B310" s="83">
        <v>5</v>
      </c>
      <c r="C310" s="110">
        <v>0.001973421688691345</v>
      </c>
      <c r="D310" s="83" t="s">
        <v>3175</v>
      </c>
      <c r="E310" s="83" t="b">
        <v>0</v>
      </c>
      <c r="F310" s="83" t="b">
        <v>0</v>
      </c>
      <c r="G310" s="83" t="b">
        <v>0</v>
      </c>
    </row>
    <row r="311" spans="1:7" ht="15">
      <c r="A311" s="84" t="s">
        <v>2427</v>
      </c>
      <c r="B311" s="83">
        <v>5</v>
      </c>
      <c r="C311" s="110">
        <v>0.001973421688691345</v>
      </c>
      <c r="D311" s="83" t="s">
        <v>3175</v>
      </c>
      <c r="E311" s="83" t="b">
        <v>0</v>
      </c>
      <c r="F311" s="83" t="b">
        <v>0</v>
      </c>
      <c r="G311" s="83" t="b">
        <v>0</v>
      </c>
    </row>
    <row r="312" spans="1:7" ht="15">
      <c r="A312" s="84" t="s">
        <v>2428</v>
      </c>
      <c r="B312" s="83">
        <v>4</v>
      </c>
      <c r="C312" s="110">
        <v>0.0012383500767040518</v>
      </c>
      <c r="D312" s="83" t="s">
        <v>3175</v>
      </c>
      <c r="E312" s="83" t="b">
        <v>0</v>
      </c>
      <c r="F312" s="83" t="b">
        <v>0</v>
      </c>
      <c r="G312" s="83" t="b">
        <v>0</v>
      </c>
    </row>
    <row r="313" spans="1:7" ht="15">
      <c r="A313" s="84" t="s">
        <v>2429</v>
      </c>
      <c r="B313" s="83">
        <v>4</v>
      </c>
      <c r="C313" s="110">
        <v>0.0012383500767040518</v>
      </c>
      <c r="D313" s="83" t="s">
        <v>3175</v>
      </c>
      <c r="E313" s="83" t="b">
        <v>1</v>
      </c>
      <c r="F313" s="83" t="b">
        <v>0</v>
      </c>
      <c r="G313" s="83" t="b">
        <v>0</v>
      </c>
    </row>
    <row r="314" spans="1:7" ht="15">
      <c r="A314" s="84" t="s">
        <v>2430</v>
      </c>
      <c r="B314" s="83">
        <v>4</v>
      </c>
      <c r="C314" s="110">
        <v>0.0012383500767040518</v>
      </c>
      <c r="D314" s="83" t="s">
        <v>3175</v>
      </c>
      <c r="E314" s="83" t="b">
        <v>0</v>
      </c>
      <c r="F314" s="83" t="b">
        <v>0</v>
      </c>
      <c r="G314" s="83" t="b">
        <v>0</v>
      </c>
    </row>
    <row r="315" spans="1:7" ht="15">
      <c r="A315" s="84" t="s">
        <v>2431</v>
      </c>
      <c r="B315" s="83">
        <v>4</v>
      </c>
      <c r="C315" s="110">
        <v>0.0012383500767040518</v>
      </c>
      <c r="D315" s="83" t="s">
        <v>3175</v>
      </c>
      <c r="E315" s="83" t="b">
        <v>0</v>
      </c>
      <c r="F315" s="83" t="b">
        <v>0</v>
      </c>
      <c r="G315" s="83" t="b">
        <v>0</v>
      </c>
    </row>
    <row r="316" spans="1:7" ht="15">
      <c r="A316" s="84" t="s">
        <v>2432</v>
      </c>
      <c r="B316" s="83">
        <v>4</v>
      </c>
      <c r="C316" s="110">
        <v>0.0013089868182493802</v>
      </c>
      <c r="D316" s="83" t="s">
        <v>3175</v>
      </c>
      <c r="E316" s="83" t="b">
        <v>0</v>
      </c>
      <c r="F316" s="83" t="b">
        <v>0</v>
      </c>
      <c r="G316" s="83" t="b">
        <v>0</v>
      </c>
    </row>
    <row r="317" spans="1:7" ht="15">
      <c r="A317" s="84" t="s">
        <v>2433</v>
      </c>
      <c r="B317" s="83">
        <v>4</v>
      </c>
      <c r="C317" s="110">
        <v>0.0013089868182493802</v>
      </c>
      <c r="D317" s="83" t="s">
        <v>3175</v>
      </c>
      <c r="E317" s="83" t="b">
        <v>0</v>
      </c>
      <c r="F317" s="83" t="b">
        <v>0</v>
      </c>
      <c r="G317" s="83" t="b">
        <v>0</v>
      </c>
    </row>
    <row r="318" spans="1:7" ht="15">
      <c r="A318" s="84" t="s">
        <v>2434</v>
      </c>
      <c r="B318" s="83">
        <v>4</v>
      </c>
      <c r="C318" s="110">
        <v>0.0012383500767040518</v>
      </c>
      <c r="D318" s="83" t="s">
        <v>3175</v>
      </c>
      <c r="E318" s="83" t="b">
        <v>0</v>
      </c>
      <c r="F318" s="83" t="b">
        <v>0</v>
      </c>
      <c r="G318" s="83" t="b">
        <v>0</v>
      </c>
    </row>
    <row r="319" spans="1:7" ht="15">
      <c r="A319" s="84" t="s">
        <v>2435</v>
      </c>
      <c r="B319" s="83">
        <v>4</v>
      </c>
      <c r="C319" s="110">
        <v>0.0012383500767040518</v>
      </c>
      <c r="D319" s="83" t="s">
        <v>3175</v>
      </c>
      <c r="E319" s="83" t="b">
        <v>0</v>
      </c>
      <c r="F319" s="83" t="b">
        <v>0</v>
      </c>
      <c r="G319" s="83" t="b">
        <v>0</v>
      </c>
    </row>
    <row r="320" spans="1:7" ht="15">
      <c r="A320" s="84" t="s">
        <v>2436</v>
      </c>
      <c r="B320" s="83">
        <v>4</v>
      </c>
      <c r="C320" s="110">
        <v>0.0012383500767040518</v>
      </c>
      <c r="D320" s="83" t="s">
        <v>3175</v>
      </c>
      <c r="E320" s="83" t="b">
        <v>0</v>
      </c>
      <c r="F320" s="83" t="b">
        <v>0</v>
      </c>
      <c r="G320" s="83" t="b">
        <v>0</v>
      </c>
    </row>
    <row r="321" spans="1:7" ht="15">
      <c r="A321" s="84" t="s">
        <v>2437</v>
      </c>
      <c r="B321" s="83">
        <v>4</v>
      </c>
      <c r="C321" s="110">
        <v>0.0013089868182493802</v>
      </c>
      <c r="D321" s="83" t="s">
        <v>3175</v>
      </c>
      <c r="E321" s="83" t="b">
        <v>0</v>
      </c>
      <c r="F321" s="83" t="b">
        <v>0</v>
      </c>
      <c r="G321" s="83" t="b">
        <v>0</v>
      </c>
    </row>
    <row r="322" spans="1:7" ht="15">
      <c r="A322" s="84" t="s">
        <v>2438</v>
      </c>
      <c r="B322" s="83">
        <v>4</v>
      </c>
      <c r="C322" s="110">
        <v>0.0012383500767040518</v>
      </c>
      <c r="D322" s="83" t="s">
        <v>3175</v>
      </c>
      <c r="E322" s="83" t="b">
        <v>0</v>
      </c>
      <c r="F322" s="83" t="b">
        <v>0</v>
      </c>
      <c r="G322" s="83" t="b">
        <v>0</v>
      </c>
    </row>
    <row r="323" spans="1:7" ht="15">
      <c r="A323" s="84" t="s">
        <v>2439</v>
      </c>
      <c r="B323" s="83">
        <v>4</v>
      </c>
      <c r="C323" s="110">
        <v>0.0012383500767040518</v>
      </c>
      <c r="D323" s="83" t="s">
        <v>3175</v>
      </c>
      <c r="E323" s="83" t="b">
        <v>0</v>
      </c>
      <c r="F323" s="83" t="b">
        <v>0</v>
      </c>
      <c r="G323" s="83" t="b">
        <v>0</v>
      </c>
    </row>
    <row r="324" spans="1:7" ht="15">
      <c r="A324" s="84" t="s">
        <v>2440</v>
      </c>
      <c r="B324" s="83">
        <v>4</v>
      </c>
      <c r="C324" s="110">
        <v>0.0012383500767040518</v>
      </c>
      <c r="D324" s="83" t="s">
        <v>3175</v>
      </c>
      <c r="E324" s="83" t="b">
        <v>0</v>
      </c>
      <c r="F324" s="83" t="b">
        <v>1</v>
      </c>
      <c r="G324" s="83" t="b">
        <v>0</v>
      </c>
    </row>
    <row r="325" spans="1:7" ht="15">
      <c r="A325" s="84" t="s">
        <v>2441</v>
      </c>
      <c r="B325" s="83">
        <v>4</v>
      </c>
      <c r="C325" s="110">
        <v>0.0012383500767040518</v>
      </c>
      <c r="D325" s="83" t="s">
        <v>3175</v>
      </c>
      <c r="E325" s="83" t="b">
        <v>0</v>
      </c>
      <c r="F325" s="83" t="b">
        <v>0</v>
      </c>
      <c r="G325" s="83" t="b">
        <v>0</v>
      </c>
    </row>
    <row r="326" spans="1:7" ht="15">
      <c r="A326" s="84" t="s">
        <v>2442</v>
      </c>
      <c r="B326" s="83">
        <v>4</v>
      </c>
      <c r="C326" s="110">
        <v>0.0012383500767040518</v>
      </c>
      <c r="D326" s="83" t="s">
        <v>3175</v>
      </c>
      <c r="E326" s="83" t="b">
        <v>0</v>
      </c>
      <c r="F326" s="83" t="b">
        <v>0</v>
      </c>
      <c r="G326" s="83" t="b">
        <v>0</v>
      </c>
    </row>
    <row r="327" spans="1:7" ht="15">
      <c r="A327" s="84" t="s">
        <v>2443</v>
      </c>
      <c r="B327" s="83">
        <v>4</v>
      </c>
      <c r="C327" s="110">
        <v>0.0012383500767040518</v>
      </c>
      <c r="D327" s="83" t="s">
        <v>3175</v>
      </c>
      <c r="E327" s="83" t="b">
        <v>0</v>
      </c>
      <c r="F327" s="83" t="b">
        <v>0</v>
      </c>
      <c r="G327" s="83" t="b">
        <v>0</v>
      </c>
    </row>
    <row r="328" spans="1:7" ht="15">
      <c r="A328" s="84" t="s">
        <v>2444</v>
      </c>
      <c r="B328" s="83">
        <v>4</v>
      </c>
      <c r="C328" s="110">
        <v>0.0012383500767040518</v>
      </c>
      <c r="D328" s="83" t="s">
        <v>3175</v>
      </c>
      <c r="E328" s="83" t="b">
        <v>0</v>
      </c>
      <c r="F328" s="83" t="b">
        <v>0</v>
      </c>
      <c r="G328" s="83" t="b">
        <v>0</v>
      </c>
    </row>
    <row r="329" spans="1:7" ht="15">
      <c r="A329" s="84" t="s">
        <v>2445</v>
      </c>
      <c r="B329" s="83">
        <v>4</v>
      </c>
      <c r="C329" s="110">
        <v>0.0012383500767040518</v>
      </c>
      <c r="D329" s="83" t="s">
        <v>3175</v>
      </c>
      <c r="E329" s="83" t="b">
        <v>0</v>
      </c>
      <c r="F329" s="83" t="b">
        <v>0</v>
      </c>
      <c r="G329" s="83" t="b">
        <v>0</v>
      </c>
    </row>
    <row r="330" spans="1:7" ht="15">
      <c r="A330" s="84" t="s">
        <v>2446</v>
      </c>
      <c r="B330" s="83">
        <v>4</v>
      </c>
      <c r="C330" s="110">
        <v>0.0012383500767040518</v>
      </c>
      <c r="D330" s="83" t="s">
        <v>3175</v>
      </c>
      <c r="E330" s="83" t="b">
        <v>0</v>
      </c>
      <c r="F330" s="83" t="b">
        <v>0</v>
      </c>
      <c r="G330" s="83" t="b">
        <v>0</v>
      </c>
    </row>
    <row r="331" spans="1:7" ht="15">
      <c r="A331" s="84" t="s">
        <v>2447</v>
      </c>
      <c r="B331" s="83">
        <v>4</v>
      </c>
      <c r="C331" s="110">
        <v>0.0012383500767040518</v>
      </c>
      <c r="D331" s="83" t="s">
        <v>3175</v>
      </c>
      <c r="E331" s="83" t="b">
        <v>0</v>
      </c>
      <c r="F331" s="83" t="b">
        <v>0</v>
      </c>
      <c r="G331" s="83" t="b">
        <v>0</v>
      </c>
    </row>
    <row r="332" spans="1:7" ht="15">
      <c r="A332" s="84" t="s">
        <v>2448</v>
      </c>
      <c r="B332" s="83">
        <v>4</v>
      </c>
      <c r="C332" s="110">
        <v>0.0012383500767040518</v>
      </c>
      <c r="D332" s="83" t="s">
        <v>3175</v>
      </c>
      <c r="E332" s="83" t="b">
        <v>0</v>
      </c>
      <c r="F332" s="83" t="b">
        <v>0</v>
      </c>
      <c r="G332" s="83" t="b">
        <v>0</v>
      </c>
    </row>
    <row r="333" spans="1:7" ht="15">
      <c r="A333" s="84" t="s">
        <v>2449</v>
      </c>
      <c r="B333" s="83">
        <v>4</v>
      </c>
      <c r="C333" s="110">
        <v>0.0013089868182493802</v>
      </c>
      <c r="D333" s="83" t="s">
        <v>3175</v>
      </c>
      <c r="E333" s="83" t="b">
        <v>0</v>
      </c>
      <c r="F333" s="83" t="b">
        <v>0</v>
      </c>
      <c r="G333" s="83" t="b">
        <v>0</v>
      </c>
    </row>
    <row r="334" spans="1:7" ht="15">
      <c r="A334" s="84" t="s">
        <v>2450</v>
      </c>
      <c r="B334" s="83">
        <v>4</v>
      </c>
      <c r="C334" s="110">
        <v>0.0013089868182493802</v>
      </c>
      <c r="D334" s="83" t="s">
        <v>3175</v>
      </c>
      <c r="E334" s="83" t="b">
        <v>0</v>
      </c>
      <c r="F334" s="83" t="b">
        <v>0</v>
      </c>
      <c r="G334" s="83" t="b">
        <v>0</v>
      </c>
    </row>
    <row r="335" spans="1:7" ht="15">
      <c r="A335" s="84" t="s">
        <v>2451</v>
      </c>
      <c r="B335" s="83">
        <v>4</v>
      </c>
      <c r="C335" s="110">
        <v>0.0012383500767040518</v>
      </c>
      <c r="D335" s="83" t="s">
        <v>3175</v>
      </c>
      <c r="E335" s="83" t="b">
        <v>1</v>
      </c>
      <c r="F335" s="83" t="b">
        <v>0</v>
      </c>
      <c r="G335" s="83" t="b">
        <v>0</v>
      </c>
    </row>
    <row r="336" spans="1:7" ht="15">
      <c r="A336" s="84" t="s">
        <v>2452</v>
      </c>
      <c r="B336" s="83">
        <v>4</v>
      </c>
      <c r="C336" s="110">
        <v>0.0012383500767040518</v>
      </c>
      <c r="D336" s="83" t="s">
        <v>3175</v>
      </c>
      <c r="E336" s="83" t="b">
        <v>0</v>
      </c>
      <c r="F336" s="83" t="b">
        <v>1</v>
      </c>
      <c r="G336" s="83" t="b">
        <v>0</v>
      </c>
    </row>
    <row r="337" spans="1:7" ht="15">
      <c r="A337" s="84" t="s">
        <v>2453</v>
      </c>
      <c r="B337" s="83">
        <v>4</v>
      </c>
      <c r="C337" s="110">
        <v>0.0013089868182493802</v>
      </c>
      <c r="D337" s="83" t="s">
        <v>3175</v>
      </c>
      <c r="E337" s="83" t="b">
        <v>0</v>
      </c>
      <c r="F337" s="83" t="b">
        <v>0</v>
      </c>
      <c r="G337" s="83" t="b">
        <v>0</v>
      </c>
    </row>
    <row r="338" spans="1:7" ht="15">
      <c r="A338" s="84" t="s">
        <v>2454</v>
      </c>
      <c r="B338" s="83">
        <v>4</v>
      </c>
      <c r="C338" s="110">
        <v>0.0012383500767040518</v>
      </c>
      <c r="D338" s="83" t="s">
        <v>3175</v>
      </c>
      <c r="E338" s="83" t="b">
        <v>0</v>
      </c>
      <c r="F338" s="83" t="b">
        <v>0</v>
      </c>
      <c r="G338" s="83" t="b">
        <v>0</v>
      </c>
    </row>
    <row r="339" spans="1:7" ht="15">
      <c r="A339" s="84" t="s">
        <v>2455</v>
      </c>
      <c r="B339" s="83">
        <v>4</v>
      </c>
      <c r="C339" s="110">
        <v>0.0012383500767040518</v>
      </c>
      <c r="D339" s="83" t="s">
        <v>3175</v>
      </c>
      <c r="E339" s="83" t="b">
        <v>0</v>
      </c>
      <c r="F339" s="83" t="b">
        <v>0</v>
      </c>
      <c r="G339" s="83" t="b">
        <v>0</v>
      </c>
    </row>
    <row r="340" spans="1:7" ht="15">
      <c r="A340" s="84" t="s">
        <v>2456</v>
      </c>
      <c r="B340" s="83">
        <v>4</v>
      </c>
      <c r="C340" s="110">
        <v>0.0012383500767040518</v>
      </c>
      <c r="D340" s="83" t="s">
        <v>3175</v>
      </c>
      <c r="E340" s="83" t="b">
        <v>1</v>
      </c>
      <c r="F340" s="83" t="b">
        <v>0</v>
      </c>
      <c r="G340" s="83" t="b">
        <v>0</v>
      </c>
    </row>
    <row r="341" spans="1:7" ht="15">
      <c r="A341" s="84" t="s">
        <v>2457</v>
      </c>
      <c r="B341" s="83">
        <v>4</v>
      </c>
      <c r="C341" s="110">
        <v>0.0012383500767040518</v>
      </c>
      <c r="D341" s="83" t="s">
        <v>3175</v>
      </c>
      <c r="E341" s="83" t="b">
        <v>1</v>
      </c>
      <c r="F341" s="83" t="b">
        <v>0</v>
      </c>
      <c r="G341" s="83" t="b">
        <v>0</v>
      </c>
    </row>
    <row r="342" spans="1:7" ht="15">
      <c r="A342" s="84" t="s">
        <v>2458</v>
      </c>
      <c r="B342" s="83">
        <v>4</v>
      </c>
      <c r="C342" s="110">
        <v>0.0014085437138285641</v>
      </c>
      <c r="D342" s="83" t="s">
        <v>3175</v>
      </c>
      <c r="E342" s="83" t="b">
        <v>1</v>
      </c>
      <c r="F342" s="83" t="b">
        <v>0</v>
      </c>
      <c r="G342" s="83" t="b">
        <v>0</v>
      </c>
    </row>
    <row r="343" spans="1:7" ht="15">
      <c r="A343" s="84" t="s">
        <v>2459</v>
      </c>
      <c r="B343" s="83">
        <v>4</v>
      </c>
      <c r="C343" s="110">
        <v>0.0012383500767040518</v>
      </c>
      <c r="D343" s="83" t="s">
        <v>3175</v>
      </c>
      <c r="E343" s="83" t="b">
        <v>0</v>
      </c>
      <c r="F343" s="83" t="b">
        <v>0</v>
      </c>
      <c r="G343" s="83" t="b">
        <v>0</v>
      </c>
    </row>
    <row r="344" spans="1:7" ht="15">
      <c r="A344" s="84" t="s">
        <v>2460</v>
      </c>
      <c r="B344" s="83">
        <v>4</v>
      </c>
      <c r="C344" s="110">
        <v>0.0013089868182493802</v>
      </c>
      <c r="D344" s="83" t="s">
        <v>3175</v>
      </c>
      <c r="E344" s="83" t="b">
        <v>0</v>
      </c>
      <c r="F344" s="83" t="b">
        <v>0</v>
      </c>
      <c r="G344" s="83" t="b">
        <v>0</v>
      </c>
    </row>
    <row r="345" spans="1:7" ht="15">
      <c r="A345" s="84" t="s">
        <v>2461</v>
      </c>
      <c r="B345" s="83">
        <v>4</v>
      </c>
      <c r="C345" s="110">
        <v>0.0014085437138285641</v>
      </c>
      <c r="D345" s="83" t="s">
        <v>3175</v>
      </c>
      <c r="E345" s="83" t="b">
        <v>0</v>
      </c>
      <c r="F345" s="83" t="b">
        <v>0</v>
      </c>
      <c r="G345" s="83" t="b">
        <v>0</v>
      </c>
    </row>
    <row r="346" spans="1:7" ht="15">
      <c r="A346" s="84" t="s">
        <v>2462</v>
      </c>
      <c r="B346" s="83">
        <v>4</v>
      </c>
      <c r="C346" s="110">
        <v>0.0013089868182493802</v>
      </c>
      <c r="D346" s="83" t="s">
        <v>3175</v>
      </c>
      <c r="E346" s="83" t="b">
        <v>0</v>
      </c>
      <c r="F346" s="83" t="b">
        <v>0</v>
      </c>
      <c r="G346" s="83" t="b">
        <v>0</v>
      </c>
    </row>
    <row r="347" spans="1:7" ht="15">
      <c r="A347" s="84" t="s">
        <v>2463</v>
      </c>
      <c r="B347" s="83">
        <v>4</v>
      </c>
      <c r="C347" s="110">
        <v>0.0012383500767040518</v>
      </c>
      <c r="D347" s="83" t="s">
        <v>3175</v>
      </c>
      <c r="E347" s="83" t="b">
        <v>1</v>
      </c>
      <c r="F347" s="83" t="b">
        <v>0</v>
      </c>
      <c r="G347" s="83" t="b">
        <v>0</v>
      </c>
    </row>
    <row r="348" spans="1:7" ht="15">
      <c r="A348" s="84" t="s">
        <v>2464</v>
      </c>
      <c r="B348" s="83">
        <v>4</v>
      </c>
      <c r="C348" s="110">
        <v>0.0013089868182493802</v>
      </c>
      <c r="D348" s="83" t="s">
        <v>3175</v>
      </c>
      <c r="E348" s="83" t="b">
        <v>0</v>
      </c>
      <c r="F348" s="83" t="b">
        <v>0</v>
      </c>
      <c r="G348" s="83" t="b">
        <v>0</v>
      </c>
    </row>
    <row r="349" spans="1:7" ht="15">
      <c r="A349" s="84" t="s">
        <v>2465</v>
      </c>
      <c r="B349" s="83">
        <v>4</v>
      </c>
      <c r="C349" s="110">
        <v>0.0012383500767040518</v>
      </c>
      <c r="D349" s="83" t="s">
        <v>3175</v>
      </c>
      <c r="E349" s="83" t="b">
        <v>0</v>
      </c>
      <c r="F349" s="83" t="b">
        <v>0</v>
      </c>
      <c r="G349" s="83" t="b">
        <v>0</v>
      </c>
    </row>
    <row r="350" spans="1:7" ht="15">
      <c r="A350" s="84" t="s">
        <v>2466</v>
      </c>
      <c r="B350" s="83">
        <v>4</v>
      </c>
      <c r="C350" s="110">
        <v>0.0012383500767040518</v>
      </c>
      <c r="D350" s="83" t="s">
        <v>3175</v>
      </c>
      <c r="E350" s="83" t="b">
        <v>0</v>
      </c>
      <c r="F350" s="83" t="b">
        <v>0</v>
      </c>
      <c r="G350" s="83" t="b">
        <v>0</v>
      </c>
    </row>
    <row r="351" spans="1:7" ht="15">
      <c r="A351" s="84" t="s">
        <v>2467</v>
      </c>
      <c r="B351" s="83">
        <v>4</v>
      </c>
      <c r="C351" s="110">
        <v>0.0013089868182493802</v>
      </c>
      <c r="D351" s="83" t="s">
        <v>3175</v>
      </c>
      <c r="E351" s="83" t="b">
        <v>0</v>
      </c>
      <c r="F351" s="83" t="b">
        <v>0</v>
      </c>
      <c r="G351" s="83" t="b">
        <v>0</v>
      </c>
    </row>
    <row r="352" spans="1:7" ht="15">
      <c r="A352" s="84" t="s">
        <v>2468</v>
      </c>
      <c r="B352" s="83">
        <v>4</v>
      </c>
      <c r="C352" s="110">
        <v>0.0012383500767040518</v>
      </c>
      <c r="D352" s="83" t="s">
        <v>3175</v>
      </c>
      <c r="E352" s="83" t="b">
        <v>0</v>
      </c>
      <c r="F352" s="83" t="b">
        <v>0</v>
      </c>
      <c r="G352" s="83" t="b">
        <v>0</v>
      </c>
    </row>
    <row r="353" spans="1:7" ht="15">
      <c r="A353" s="84" t="s">
        <v>2469</v>
      </c>
      <c r="B353" s="83">
        <v>4</v>
      </c>
      <c r="C353" s="110">
        <v>0.0012383500767040518</v>
      </c>
      <c r="D353" s="83" t="s">
        <v>3175</v>
      </c>
      <c r="E353" s="83" t="b">
        <v>0</v>
      </c>
      <c r="F353" s="83" t="b">
        <v>1</v>
      </c>
      <c r="G353" s="83" t="b">
        <v>0</v>
      </c>
    </row>
    <row r="354" spans="1:7" ht="15">
      <c r="A354" s="84" t="s">
        <v>2470</v>
      </c>
      <c r="B354" s="83">
        <v>4</v>
      </c>
      <c r="C354" s="110">
        <v>0.0013089868182493802</v>
      </c>
      <c r="D354" s="83" t="s">
        <v>3175</v>
      </c>
      <c r="E354" s="83" t="b">
        <v>0</v>
      </c>
      <c r="F354" s="83" t="b">
        <v>0</v>
      </c>
      <c r="G354" s="83" t="b">
        <v>0</v>
      </c>
    </row>
    <row r="355" spans="1:7" ht="15">
      <c r="A355" s="84" t="s">
        <v>2471</v>
      </c>
      <c r="B355" s="83">
        <v>4</v>
      </c>
      <c r="C355" s="110">
        <v>0.0013089868182493802</v>
      </c>
      <c r="D355" s="83" t="s">
        <v>3175</v>
      </c>
      <c r="E355" s="83" t="b">
        <v>0</v>
      </c>
      <c r="F355" s="83" t="b">
        <v>0</v>
      </c>
      <c r="G355" s="83" t="b">
        <v>0</v>
      </c>
    </row>
    <row r="356" spans="1:7" ht="15">
      <c r="A356" s="84" t="s">
        <v>2472</v>
      </c>
      <c r="B356" s="83">
        <v>4</v>
      </c>
      <c r="C356" s="110">
        <v>0.0012383500767040518</v>
      </c>
      <c r="D356" s="83" t="s">
        <v>3175</v>
      </c>
      <c r="E356" s="83" t="b">
        <v>0</v>
      </c>
      <c r="F356" s="83" t="b">
        <v>1</v>
      </c>
      <c r="G356" s="83" t="b">
        <v>0</v>
      </c>
    </row>
    <row r="357" spans="1:7" ht="15">
      <c r="A357" s="84" t="s">
        <v>2473</v>
      </c>
      <c r="B357" s="83">
        <v>4</v>
      </c>
      <c r="C357" s="110">
        <v>0.0012383500767040518</v>
      </c>
      <c r="D357" s="83" t="s">
        <v>3175</v>
      </c>
      <c r="E357" s="83" t="b">
        <v>1</v>
      </c>
      <c r="F357" s="83" t="b">
        <v>0</v>
      </c>
      <c r="G357" s="83" t="b">
        <v>0</v>
      </c>
    </row>
    <row r="358" spans="1:7" ht="15">
      <c r="A358" s="84" t="s">
        <v>2474</v>
      </c>
      <c r="B358" s="83">
        <v>4</v>
      </c>
      <c r="C358" s="110">
        <v>0.0012383500767040518</v>
      </c>
      <c r="D358" s="83" t="s">
        <v>3175</v>
      </c>
      <c r="E358" s="83" t="b">
        <v>1</v>
      </c>
      <c r="F358" s="83" t="b">
        <v>0</v>
      </c>
      <c r="G358" s="83" t="b">
        <v>0</v>
      </c>
    </row>
    <row r="359" spans="1:7" ht="15">
      <c r="A359" s="84" t="s">
        <v>2475</v>
      </c>
      <c r="B359" s="83">
        <v>4</v>
      </c>
      <c r="C359" s="110">
        <v>0.0013089868182493802</v>
      </c>
      <c r="D359" s="83" t="s">
        <v>3175</v>
      </c>
      <c r="E359" s="83" t="b">
        <v>0</v>
      </c>
      <c r="F359" s="83" t="b">
        <v>1</v>
      </c>
      <c r="G359" s="83" t="b">
        <v>0</v>
      </c>
    </row>
    <row r="360" spans="1:7" ht="15">
      <c r="A360" s="84" t="s">
        <v>2476</v>
      </c>
      <c r="B360" s="83">
        <v>4</v>
      </c>
      <c r="C360" s="110">
        <v>0.0012383500767040518</v>
      </c>
      <c r="D360" s="83" t="s">
        <v>3175</v>
      </c>
      <c r="E360" s="83" t="b">
        <v>0</v>
      </c>
      <c r="F360" s="83" t="b">
        <v>0</v>
      </c>
      <c r="G360" s="83" t="b">
        <v>0</v>
      </c>
    </row>
    <row r="361" spans="1:7" ht="15">
      <c r="A361" s="84" t="s">
        <v>2477</v>
      </c>
      <c r="B361" s="83">
        <v>4</v>
      </c>
      <c r="C361" s="110">
        <v>0.0012383500767040518</v>
      </c>
      <c r="D361" s="83" t="s">
        <v>3175</v>
      </c>
      <c r="E361" s="83" t="b">
        <v>0</v>
      </c>
      <c r="F361" s="83" t="b">
        <v>1</v>
      </c>
      <c r="G361" s="83" t="b">
        <v>0</v>
      </c>
    </row>
    <row r="362" spans="1:7" ht="15">
      <c r="A362" s="84" t="s">
        <v>2478</v>
      </c>
      <c r="B362" s="83">
        <v>4</v>
      </c>
      <c r="C362" s="110">
        <v>0.0012383500767040518</v>
      </c>
      <c r="D362" s="83" t="s">
        <v>3175</v>
      </c>
      <c r="E362" s="83" t="b">
        <v>0</v>
      </c>
      <c r="F362" s="83" t="b">
        <v>0</v>
      </c>
      <c r="G362" s="83" t="b">
        <v>0</v>
      </c>
    </row>
    <row r="363" spans="1:7" ht="15">
      <c r="A363" s="84" t="s">
        <v>2479</v>
      </c>
      <c r="B363" s="83">
        <v>4</v>
      </c>
      <c r="C363" s="110">
        <v>0.0012383500767040518</v>
      </c>
      <c r="D363" s="83" t="s">
        <v>3175</v>
      </c>
      <c r="E363" s="83" t="b">
        <v>0</v>
      </c>
      <c r="F363" s="83" t="b">
        <v>0</v>
      </c>
      <c r="G363" s="83" t="b">
        <v>0</v>
      </c>
    </row>
    <row r="364" spans="1:7" ht="15">
      <c r="A364" s="84" t="s">
        <v>2480</v>
      </c>
      <c r="B364" s="83">
        <v>4</v>
      </c>
      <c r="C364" s="110">
        <v>0.0012383500767040518</v>
      </c>
      <c r="D364" s="83" t="s">
        <v>3175</v>
      </c>
      <c r="E364" s="83" t="b">
        <v>0</v>
      </c>
      <c r="F364" s="83" t="b">
        <v>0</v>
      </c>
      <c r="G364" s="83" t="b">
        <v>0</v>
      </c>
    </row>
    <row r="365" spans="1:7" ht="15">
      <c r="A365" s="84" t="s">
        <v>2481</v>
      </c>
      <c r="B365" s="83">
        <v>4</v>
      </c>
      <c r="C365" s="110">
        <v>0.0012383500767040518</v>
      </c>
      <c r="D365" s="83" t="s">
        <v>3175</v>
      </c>
      <c r="E365" s="83" t="b">
        <v>0</v>
      </c>
      <c r="F365" s="83" t="b">
        <v>0</v>
      </c>
      <c r="G365" s="83" t="b">
        <v>0</v>
      </c>
    </row>
    <row r="366" spans="1:7" ht="15">
      <c r="A366" s="84" t="s">
        <v>2482</v>
      </c>
      <c r="B366" s="83">
        <v>4</v>
      </c>
      <c r="C366" s="110">
        <v>0.0013089868182493802</v>
      </c>
      <c r="D366" s="83" t="s">
        <v>3175</v>
      </c>
      <c r="E366" s="83" t="b">
        <v>0</v>
      </c>
      <c r="F366" s="83" t="b">
        <v>0</v>
      </c>
      <c r="G366" s="83" t="b">
        <v>0</v>
      </c>
    </row>
    <row r="367" spans="1:7" ht="15">
      <c r="A367" s="84" t="s">
        <v>2483</v>
      </c>
      <c r="B367" s="83">
        <v>4</v>
      </c>
      <c r="C367" s="110">
        <v>0.0012383500767040518</v>
      </c>
      <c r="D367" s="83" t="s">
        <v>3175</v>
      </c>
      <c r="E367" s="83" t="b">
        <v>0</v>
      </c>
      <c r="F367" s="83" t="b">
        <v>0</v>
      </c>
      <c r="G367" s="83" t="b">
        <v>0</v>
      </c>
    </row>
    <row r="368" spans="1:7" ht="15">
      <c r="A368" s="84" t="s">
        <v>2484</v>
      </c>
      <c r="B368" s="83">
        <v>4</v>
      </c>
      <c r="C368" s="110">
        <v>0.0014085437138285641</v>
      </c>
      <c r="D368" s="83" t="s">
        <v>3175</v>
      </c>
      <c r="E368" s="83" t="b">
        <v>0</v>
      </c>
      <c r="F368" s="83" t="b">
        <v>0</v>
      </c>
      <c r="G368" s="83" t="b">
        <v>0</v>
      </c>
    </row>
    <row r="369" spans="1:7" ht="15">
      <c r="A369" s="84" t="s">
        <v>2485</v>
      </c>
      <c r="B369" s="83">
        <v>4</v>
      </c>
      <c r="C369" s="110">
        <v>0.0012383500767040518</v>
      </c>
      <c r="D369" s="83" t="s">
        <v>3175</v>
      </c>
      <c r="E369" s="83" t="b">
        <v>0</v>
      </c>
      <c r="F369" s="83" t="b">
        <v>0</v>
      </c>
      <c r="G369" s="83" t="b">
        <v>0</v>
      </c>
    </row>
    <row r="370" spans="1:7" ht="15">
      <c r="A370" s="84" t="s">
        <v>2486</v>
      </c>
      <c r="B370" s="83">
        <v>4</v>
      </c>
      <c r="C370" s="110">
        <v>0.0012383500767040518</v>
      </c>
      <c r="D370" s="83" t="s">
        <v>3175</v>
      </c>
      <c r="E370" s="83" t="b">
        <v>0</v>
      </c>
      <c r="F370" s="83" t="b">
        <v>0</v>
      </c>
      <c r="G370" s="83" t="b">
        <v>0</v>
      </c>
    </row>
    <row r="371" spans="1:7" ht="15">
      <c r="A371" s="84" t="s">
        <v>2487</v>
      </c>
      <c r="B371" s="83">
        <v>4</v>
      </c>
      <c r="C371" s="110">
        <v>0.0012383500767040518</v>
      </c>
      <c r="D371" s="83" t="s">
        <v>3175</v>
      </c>
      <c r="E371" s="83" t="b">
        <v>0</v>
      </c>
      <c r="F371" s="83" t="b">
        <v>0</v>
      </c>
      <c r="G371" s="83" t="b">
        <v>0</v>
      </c>
    </row>
    <row r="372" spans="1:7" ht="15">
      <c r="A372" s="84" t="s">
        <v>2488</v>
      </c>
      <c r="B372" s="83">
        <v>4</v>
      </c>
      <c r="C372" s="110">
        <v>0.0012383500767040518</v>
      </c>
      <c r="D372" s="83" t="s">
        <v>3175</v>
      </c>
      <c r="E372" s="83" t="b">
        <v>0</v>
      </c>
      <c r="F372" s="83" t="b">
        <v>0</v>
      </c>
      <c r="G372" s="83" t="b">
        <v>0</v>
      </c>
    </row>
    <row r="373" spans="1:7" ht="15">
      <c r="A373" s="84" t="s">
        <v>2489</v>
      </c>
      <c r="B373" s="83">
        <v>4</v>
      </c>
      <c r="C373" s="110">
        <v>0.0012383500767040518</v>
      </c>
      <c r="D373" s="83" t="s">
        <v>3175</v>
      </c>
      <c r="E373" s="83" t="b">
        <v>0</v>
      </c>
      <c r="F373" s="83" t="b">
        <v>0</v>
      </c>
      <c r="G373" s="83" t="b">
        <v>0</v>
      </c>
    </row>
    <row r="374" spans="1:7" ht="15">
      <c r="A374" s="84" t="s">
        <v>2490</v>
      </c>
      <c r="B374" s="83">
        <v>4</v>
      </c>
      <c r="C374" s="110">
        <v>0.0012383500767040518</v>
      </c>
      <c r="D374" s="83" t="s">
        <v>3175</v>
      </c>
      <c r="E374" s="83" t="b">
        <v>0</v>
      </c>
      <c r="F374" s="83" t="b">
        <v>0</v>
      </c>
      <c r="G374" s="83" t="b">
        <v>0</v>
      </c>
    </row>
    <row r="375" spans="1:7" ht="15">
      <c r="A375" s="84" t="s">
        <v>2491</v>
      </c>
      <c r="B375" s="83">
        <v>4</v>
      </c>
      <c r="C375" s="110">
        <v>0.0012383500767040518</v>
      </c>
      <c r="D375" s="83" t="s">
        <v>3175</v>
      </c>
      <c r="E375" s="83" t="b">
        <v>0</v>
      </c>
      <c r="F375" s="83" t="b">
        <v>0</v>
      </c>
      <c r="G375" s="83" t="b">
        <v>0</v>
      </c>
    </row>
    <row r="376" spans="1:7" ht="15">
      <c r="A376" s="84" t="s">
        <v>2492</v>
      </c>
      <c r="B376" s="83">
        <v>4</v>
      </c>
      <c r="C376" s="110">
        <v>0.0012383500767040518</v>
      </c>
      <c r="D376" s="83" t="s">
        <v>3175</v>
      </c>
      <c r="E376" s="83" t="b">
        <v>0</v>
      </c>
      <c r="F376" s="83" t="b">
        <v>0</v>
      </c>
      <c r="G376" s="83" t="b">
        <v>0</v>
      </c>
    </row>
    <row r="377" spans="1:7" ht="15">
      <c r="A377" s="84" t="s">
        <v>2493</v>
      </c>
      <c r="B377" s="83">
        <v>4</v>
      </c>
      <c r="C377" s="110">
        <v>0.0012383500767040518</v>
      </c>
      <c r="D377" s="83" t="s">
        <v>3175</v>
      </c>
      <c r="E377" s="83" t="b">
        <v>0</v>
      </c>
      <c r="F377" s="83" t="b">
        <v>0</v>
      </c>
      <c r="G377" s="83" t="b">
        <v>0</v>
      </c>
    </row>
    <row r="378" spans="1:7" ht="15">
      <c r="A378" s="84" t="s">
        <v>2494</v>
      </c>
      <c r="B378" s="83">
        <v>4</v>
      </c>
      <c r="C378" s="110">
        <v>0.0015787373509530765</v>
      </c>
      <c r="D378" s="83" t="s">
        <v>3175</v>
      </c>
      <c r="E378" s="83" t="b">
        <v>0</v>
      </c>
      <c r="F378" s="83" t="b">
        <v>1</v>
      </c>
      <c r="G378" s="83" t="b">
        <v>0</v>
      </c>
    </row>
    <row r="379" spans="1:7" ht="15">
      <c r="A379" s="84" t="s">
        <v>2495</v>
      </c>
      <c r="B379" s="83">
        <v>4</v>
      </c>
      <c r="C379" s="110">
        <v>0.0012383500767040518</v>
      </c>
      <c r="D379" s="83" t="s">
        <v>3175</v>
      </c>
      <c r="E379" s="83" t="b">
        <v>0</v>
      </c>
      <c r="F379" s="83" t="b">
        <v>0</v>
      </c>
      <c r="G379" s="83" t="b">
        <v>0</v>
      </c>
    </row>
    <row r="380" spans="1:7" ht="15">
      <c r="A380" s="84" t="s">
        <v>2496</v>
      </c>
      <c r="B380" s="83">
        <v>4</v>
      </c>
      <c r="C380" s="110">
        <v>0.0012383500767040518</v>
      </c>
      <c r="D380" s="83" t="s">
        <v>3175</v>
      </c>
      <c r="E380" s="83" t="b">
        <v>0</v>
      </c>
      <c r="F380" s="83" t="b">
        <v>0</v>
      </c>
      <c r="G380" s="83" t="b">
        <v>0</v>
      </c>
    </row>
    <row r="381" spans="1:7" ht="15">
      <c r="A381" s="84" t="s">
        <v>2497</v>
      </c>
      <c r="B381" s="83">
        <v>4</v>
      </c>
      <c r="C381" s="110">
        <v>0.0012383500767040518</v>
      </c>
      <c r="D381" s="83" t="s">
        <v>3175</v>
      </c>
      <c r="E381" s="83" t="b">
        <v>0</v>
      </c>
      <c r="F381" s="83" t="b">
        <v>1</v>
      </c>
      <c r="G381" s="83" t="b">
        <v>0</v>
      </c>
    </row>
    <row r="382" spans="1:7" ht="15">
      <c r="A382" s="84" t="s">
        <v>2498</v>
      </c>
      <c r="B382" s="83">
        <v>4</v>
      </c>
      <c r="C382" s="110">
        <v>0.0012383500767040518</v>
      </c>
      <c r="D382" s="83" t="s">
        <v>3175</v>
      </c>
      <c r="E382" s="83" t="b">
        <v>0</v>
      </c>
      <c r="F382" s="83" t="b">
        <v>0</v>
      </c>
      <c r="G382" s="83" t="b">
        <v>0</v>
      </c>
    </row>
    <row r="383" spans="1:7" ht="15">
      <c r="A383" s="84" t="s">
        <v>2499</v>
      </c>
      <c r="B383" s="83">
        <v>4</v>
      </c>
      <c r="C383" s="110">
        <v>0.0012383500767040518</v>
      </c>
      <c r="D383" s="83" t="s">
        <v>3175</v>
      </c>
      <c r="E383" s="83" t="b">
        <v>0</v>
      </c>
      <c r="F383" s="83" t="b">
        <v>0</v>
      </c>
      <c r="G383" s="83" t="b">
        <v>0</v>
      </c>
    </row>
    <row r="384" spans="1:7" ht="15">
      <c r="A384" s="84" t="s">
        <v>2500</v>
      </c>
      <c r="B384" s="83">
        <v>4</v>
      </c>
      <c r="C384" s="110">
        <v>0.0013089868182493802</v>
      </c>
      <c r="D384" s="83" t="s">
        <v>3175</v>
      </c>
      <c r="E384" s="83" t="b">
        <v>0</v>
      </c>
      <c r="F384" s="83" t="b">
        <v>0</v>
      </c>
      <c r="G384" s="83" t="b">
        <v>0</v>
      </c>
    </row>
    <row r="385" spans="1:7" ht="15">
      <c r="A385" s="84" t="s">
        <v>2501</v>
      </c>
      <c r="B385" s="83">
        <v>4</v>
      </c>
      <c r="C385" s="110">
        <v>0.0012383500767040518</v>
      </c>
      <c r="D385" s="83" t="s">
        <v>3175</v>
      </c>
      <c r="E385" s="83" t="b">
        <v>0</v>
      </c>
      <c r="F385" s="83" t="b">
        <v>1</v>
      </c>
      <c r="G385" s="83" t="b">
        <v>0</v>
      </c>
    </row>
    <row r="386" spans="1:7" ht="15">
      <c r="A386" s="84" t="s">
        <v>2502</v>
      </c>
      <c r="B386" s="83">
        <v>4</v>
      </c>
      <c r="C386" s="110">
        <v>0.0012383500767040518</v>
      </c>
      <c r="D386" s="83" t="s">
        <v>3175</v>
      </c>
      <c r="E386" s="83" t="b">
        <v>0</v>
      </c>
      <c r="F386" s="83" t="b">
        <v>0</v>
      </c>
      <c r="G386" s="83" t="b">
        <v>0</v>
      </c>
    </row>
    <row r="387" spans="1:7" ht="15">
      <c r="A387" s="84" t="s">
        <v>2503</v>
      </c>
      <c r="B387" s="83">
        <v>4</v>
      </c>
      <c r="C387" s="110">
        <v>0.0014085437138285641</v>
      </c>
      <c r="D387" s="83" t="s">
        <v>3175</v>
      </c>
      <c r="E387" s="83" t="b">
        <v>0</v>
      </c>
      <c r="F387" s="83" t="b">
        <v>0</v>
      </c>
      <c r="G387" s="83" t="b">
        <v>0</v>
      </c>
    </row>
    <row r="388" spans="1:7" ht="15">
      <c r="A388" s="84" t="s">
        <v>2504</v>
      </c>
      <c r="B388" s="83">
        <v>4</v>
      </c>
      <c r="C388" s="110">
        <v>0.0014085437138285641</v>
      </c>
      <c r="D388" s="83" t="s">
        <v>3175</v>
      </c>
      <c r="E388" s="83" t="b">
        <v>0</v>
      </c>
      <c r="F388" s="83" t="b">
        <v>0</v>
      </c>
      <c r="G388" s="83" t="b">
        <v>0</v>
      </c>
    </row>
    <row r="389" spans="1:7" ht="15">
      <c r="A389" s="84" t="s">
        <v>2505</v>
      </c>
      <c r="B389" s="83">
        <v>4</v>
      </c>
      <c r="C389" s="110">
        <v>0.0012383500767040518</v>
      </c>
      <c r="D389" s="83" t="s">
        <v>3175</v>
      </c>
      <c r="E389" s="83" t="b">
        <v>0</v>
      </c>
      <c r="F389" s="83" t="b">
        <v>0</v>
      </c>
      <c r="G389" s="83" t="b">
        <v>0</v>
      </c>
    </row>
    <row r="390" spans="1:7" ht="15">
      <c r="A390" s="84" t="s">
        <v>2506</v>
      </c>
      <c r="B390" s="83">
        <v>4</v>
      </c>
      <c r="C390" s="110">
        <v>0.0012383500767040518</v>
      </c>
      <c r="D390" s="83" t="s">
        <v>3175</v>
      </c>
      <c r="E390" s="83" t="b">
        <v>0</v>
      </c>
      <c r="F390" s="83" t="b">
        <v>0</v>
      </c>
      <c r="G390" s="83" t="b">
        <v>0</v>
      </c>
    </row>
    <row r="391" spans="1:7" ht="15">
      <c r="A391" s="84" t="s">
        <v>2507</v>
      </c>
      <c r="B391" s="83">
        <v>4</v>
      </c>
      <c r="C391" s="110">
        <v>0.0012383500767040518</v>
      </c>
      <c r="D391" s="83" t="s">
        <v>3175</v>
      </c>
      <c r="E391" s="83" t="b">
        <v>0</v>
      </c>
      <c r="F391" s="83" t="b">
        <v>0</v>
      </c>
      <c r="G391" s="83" t="b">
        <v>0</v>
      </c>
    </row>
    <row r="392" spans="1:7" ht="15">
      <c r="A392" s="84" t="s">
        <v>2508</v>
      </c>
      <c r="B392" s="83">
        <v>4</v>
      </c>
      <c r="C392" s="110">
        <v>0.0012383500767040518</v>
      </c>
      <c r="D392" s="83" t="s">
        <v>3175</v>
      </c>
      <c r="E392" s="83" t="b">
        <v>0</v>
      </c>
      <c r="F392" s="83" t="b">
        <v>0</v>
      </c>
      <c r="G392" s="83" t="b">
        <v>0</v>
      </c>
    </row>
    <row r="393" spans="1:7" ht="15">
      <c r="A393" s="84" t="s">
        <v>2509</v>
      </c>
      <c r="B393" s="83">
        <v>4</v>
      </c>
      <c r="C393" s="110">
        <v>0.0014085437138285641</v>
      </c>
      <c r="D393" s="83" t="s">
        <v>3175</v>
      </c>
      <c r="E393" s="83" t="b">
        <v>0</v>
      </c>
      <c r="F393" s="83" t="b">
        <v>0</v>
      </c>
      <c r="G393" s="83" t="b">
        <v>0</v>
      </c>
    </row>
    <row r="394" spans="1:7" ht="15">
      <c r="A394" s="84" t="s">
        <v>2510</v>
      </c>
      <c r="B394" s="83">
        <v>4</v>
      </c>
      <c r="C394" s="110">
        <v>0.0013089868182493802</v>
      </c>
      <c r="D394" s="83" t="s">
        <v>3175</v>
      </c>
      <c r="E394" s="83" t="b">
        <v>0</v>
      </c>
      <c r="F394" s="83" t="b">
        <v>0</v>
      </c>
      <c r="G394" s="83" t="b">
        <v>0</v>
      </c>
    </row>
    <row r="395" spans="1:7" ht="15">
      <c r="A395" s="84" t="s">
        <v>2511</v>
      </c>
      <c r="B395" s="83">
        <v>4</v>
      </c>
      <c r="C395" s="110">
        <v>0.0013089868182493802</v>
      </c>
      <c r="D395" s="83" t="s">
        <v>3175</v>
      </c>
      <c r="E395" s="83" t="b">
        <v>0</v>
      </c>
      <c r="F395" s="83" t="b">
        <v>1</v>
      </c>
      <c r="G395" s="83" t="b">
        <v>0</v>
      </c>
    </row>
    <row r="396" spans="1:7" ht="15">
      <c r="A396" s="84" t="s">
        <v>2512</v>
      </c>
      <c r="B396" s="83">
        <v>4</v>
      </c>
      <c r="C396" s="110">
        <v>0.0013089868182493802</v>
      </c>
      <c r="D396" s="83" t="s">
        <v>3175</v>
      </c>
      <c r="E396" s="83" t="b">
        <v>0</v>
      </c>
      <c r="F396" s="83" t="b">
        <v>0</v>
      </c>
      <c r="G396" s="83" t="b">
        <v>0</v>
      </c>
    </row>
    <row r="397" spans="1:7" ht="15">
      <c r="A397" s="84" t="s">
        <v>2513</v>
      </c>
      <c r="B397" s="83">
        <v>4</v>
      </c>
      <c r="C397" s="110">
        <v>0.0012383500767040518</v>
      </c>
      <c r="D397" s="83" t="s">
        <v>3175</v>
      </c>
      <c r="E397" s="83" t="b">
        <v>0</v>
      </c>
      <c r="F397" s="83" t="b">
        <v>0</v>
      </c>
      <c r="G397" s="83" t="b">
        <v>0</v>
      </c>
    </row>
    <row r="398" spans="1:7" ht="15">
      <c r="A398" s="84" t="s">
        <v>2514</v>
      </c>
      <c r="B398" s="83">
        <v>4</v>
      </c>
      <c r="C398" s="110">
        <v>0.0012383500767040518</v>
      </c>
      <c r="D398" s="83" t="s">
        <v>3175</v>
      </c>
      <c r="E398" s="83" t="b">
        <v>0</v>
      </c>
      <c r="F398" s="83" t="b">
        <v>0</v>
      </c>
      <c r="G398" s="83" t="b">
        <v>0</v>
      </c>
    </row>
    <row r="399" spans="1:7" ht="15">
      <c r="A399" s="84" t="s">
        <v>2515</v>
      </c>
      <c r="B399" s="83">
        <v>4</v>
      </c>
      <c r="C399" s="110">
        <v>0.0014085437138285641</v>
      </c>
      <c r="D399" s="83" t="s">
        <v>3175</v>
      </c>
      <c r="E399" s="83" t="b">
        <v>0</v>
      </c>
      <c r="F399" s="83" t="b">
        <v>0</v>
      </c>
      <c r="G399" s="83" t="b">
        <v>0</v>
      </c>
    </row>
    <row r="400" spans="1:7" ht="15">
      <c r="A400" s="84" t="s">
        <v>2516</v>
      </c>
      <c r="B400" s="83">
        <v>4</v>
      </c>
      <c r="C400" s="110">
        <v>0.0013089868182493802</v>
      </c>
      <c r="D400" s="83" t="s">
        <v>3175</v>
      </c>
      <c r="E400" s="83" t="b">
        <v>0</v>
      </c>
      <c r="F400" s="83" t="b">
        <v>0</v>
      </c>
      <c r="G400" s="83" t="b">
        <v>0</v>
      </c>
    </row>
    <row r="401" spans="1:7" ht="15">
      <c r="A401" s="84" t="s">
        <v>2517</v>
      </c>
      <c r="B401" s="83">
        <v>4</v>
      </c>
      <c r="C401" s="110">
        <v>0.0012383500767040518</v>
      </c>
      <c r="D401" s="83" t="s">
        <v>3175</v>
      </c>
      <c r="E401" s="83" t="b">
        <v>0</v>
      </c>
      <c r="F401" s="83" t="b">
        <v>0</v>
      </c>
      <c r="G401" s="83" t="b">
        <v>0</v>
      </c>
    </row>
    <row r="402" spans="1:7" ht="15">
      <c r="A402" s="84" t="s">
        <v>2518</v>
      </c>
      <c r="B402" s="83">
        <v>4</v>
      </c>
      <c r="C402" s="110">
        <v>0.0013089868182493802</v>
      </c>
      <c r="D402" s="83" t="s">
        <v>3175</v>
      </c>
      <c r="E402" s="83" t="b">
        <v>0</v>
      </c>
      <c r="F402" s="83" t="b">
        <v>0</v>
      </c>
      <c r="G402" s="83" t="b">
        <v>0</v>
      </c>
    </row>
    <row r="403" spans="1:7" ht="15">
      <c r="A403" s="84" t="s">
        <v>2519</v>
      </c>
      <c r="B403" s="83">
        <v>4</v>
      </c>
      <c r="C403" s="110">
        <v>0.0013089868182493802</v>
      </c>
      <c r="D403" s="83" t="s">
        <v>3175</v>
      </c>
      <c r="E403" s="83" t="b">
        <v>0</v>
      </c>
      <c r="F403" s="83" t="b">
        <v>0</v>
      </c>
      <c r="G403" s="83" t="b">
        <v>0</v>
      </c>
    </row>
    <row r="404" spans="1:7" ht="15">
      <c r="A404" s="84" t="s">
        <v>2520</v>
      </c>
      <c r="B404" s="83">
        <v>4</v>
      </c>
      <c r="C404" s="110">
        <v>0.0012383500767040518</v>
      </c>
      <c r="D404" s="83" t="s">
        <v>3175</v>
      </c>
      <c r="E404" s="83" t="b">
        <v>0</v>
      </c>
      <c r="F404" s="83" t="b">
        <v>0</v>
      </c>
      <c r="G404" s="83" t="b">
        <v>0</v>
      </c>
    </row>
    <row r="405" spans="1:7" ht="15">
      <c r="A405" s="84" t="s">
        <v>2521</v>
      </c>
      <c r="B405" s="83">
        <v>4</v>
      </c>
      <c r="C405" s="110">
        <v>0.0012383500767040518</v>
      </c>
      <c r="D405" s="83" t="s">
        <v>3175</v>
      </c>
      <c r="E405" s="83" t="b">
        <v>1</v>
      </c>
      <c r="F405" s="83" t="b">
        <v>0</v>
      </c>
      <c r="G405" s="83" t="b">
        <v>0</v>
      </c>
    </row>
    <row r="406" spans="1:7" ht="15">
      <c r="A406" s="84" t="s">
        <v>2522</v>
      </c>
      <c r="B406" s="83">
        <v>4</v>
      </c>
      <c r="C406" s="110">
        <v>0.0015787373509530765</v>
      </c>
      <c r="D406" s="83" t="s">
        <v>3175</v>
      </c>
      <c r="E406" s="83" t="b">
        <v>0</v>
      </c>
      <c r="F406" s="83" t="b">
        <v>0</v>
      </c>
      <c r="G406" s="83" t="b">
        <v>0</v>
      </c>
    </row>
    <row r="407" spans="1:7" ht="15">
      <c r="A407" s="84" t="s">
        <v>2523</v>
      </c>
      <c r="B407" s="83">
        <v>4</v>
      </c>
      <c r="C407" s="110">
        <v>0.0012383500767040518</v>
      </c>
      <c r="D407" s="83" t="s">
        <v>3175</v>
      </c>
      <c r="E407" s="83" t="b">
        <v>0</v>
      </c>
      <c r="F407" s="83" t="b">
        <v>0</v>
      </c>
      <c r="G407" s="83" t="b">
        <v>0</v>
      </c>
    </row>
    <row r="408" spans="1:7" ht="15">
      <c r="A408" s="84" t="s">
        <v>2524</v>
      </c>
      <c r="B408" s="83">
        <v>4</v>
      </c>
      <c r="C408" s="110">
        <v>0.0012383500767040518</v>
      </c>
      <c r="D408" s="83" t="s">
        <v>3175</v>
      </c>
      <c r="E408" s="83" t="b">
        <v>0</v>
      </c>
      <c r="F408" s="83" t="b">
        <v>0</v>
      </c>
      <c r="G408" s="83" t="b">
        <v>0</v>
      </c>
    </row>
    <row r="409" spans="1:7" ht="15">
      <c r="A409" s="84" t="s">
        <v>2525</v>
      </c>
      <c r="B409" s="83">
        <v>4</v>
      </c>
      <c r="C409" s="110">
        <v>0.0013089868182493802</v>
      </c>
      <c r="D409" s="83" t="s">
        <v>3175</v>
      </c>
      <c r="E409" s="83" t="b">
        <v>0</v>
      </c>
      <c r="F409" s="83" t="b">
        <v>0</v>
      </c>
      <c r="G409" s="83" t="b">
        <v>0</v>
      </c>
    </row>
    <row r="410" spans="1:7" ht="15">
      <c r="A410" s="84" t="s">
        <v>2526</v>
      </c>
      <c r="B410" s="83">
        <v>4</v>
      </c>
      <c r="C410" s="110">
        <v>0.0012383500767040518</v>
      </c>
      <c r="D410" s="83" t="s">
        <v>3175</v>
      </c>
      <c r="E410" s="83" t="b">
        <v>0</v>
      </c>
      <c r="F410" s="83" t="b">
        <v>0</v>
      </c>
      <c r="G410" s="83" t="b">
        <v>0</v>
      </c>
    </row>
    <row r="411" spans="1:7" ht="15">
      <c r="A411" s="84" t="s">
        <v>2527</v>
      </c>
      <c r="B411" s="83">
        <v>4</v>
      </c>
      <c r="C411" s="110">
        <v>0.0012383500767040518</v>
      </c>
      <c r="D411" s="83" t="s">
        <v>3175</v>
      </c>
      <c r="E411" s="83" t="b">
        <v>0</v>
      </c>
      <c r="F411" s="83" t="b">
        <v>0</v>
      </c>
      <c r="G411" s="83" t="b">
        <v>0</v>
      </c>
    </row>
    <row r="412" spans="1:7" ht="15">
      <c r="A412" s="84" t="s">
        <v>2528</v>
      </c>
      <c r="B412" s="83">
        <v>4</v>
      </c>
      <c r="C412" s="110">
        <v>0.0013089868182493802</v>
      </c>
      <c r="D412" s="83" t="s">
        <v>3175</v>
      </c>
      <c r="E412" s="83" t="b">
        <v>0</v>
      </c>
      <c r="F412" s="83" t="b">
        <v>0</v>
      </c>
      <c r="G412" s="83" t="b">
        <v>0</v>
      </c>
    </row>
    <row r="413" spans="1:7" ht="15">
      <c r="A413" s="84" t="s">
        <v>2529</v>
      </c>
      <c r="B413" s="83">
        <v>4</v>
      </c>
      <c r="C413" s="110">
        <v>0.0014085437138285641</v>
      </c>
      <c r="D413" s="83" t="s">
        <v>3175</v>
      </c>
      <c r="E413" s="83" t="b">
        <v>0</v>
      </c>
      <c r="F413" s="83" t="b">
        <v>0</v>
      </c>
      <c r="G413" s="83" t="b">
        <v>0</v>
      </c>
    </row>
    <row r="414" spans="1:7" ht="15">
      <c r="A414" s="84" t="s">
        <v>2530</v>
      </c>
      <c r="B414" s="83">
        <v>4</v>
      </c>
      <c r="C414" s="110">
        <v>0.0013089868182493802</v>
      </c>
      <c r="D414" s="83" t="s">
        <v>3175</v>
      </c>
      <c r="E414" s="83" t="b">
        <v>0</v>
      </c>
      <c r="F414" s="83" t="b">
        <v>0</v>
      </c>
      <c r="G414" s="83" t="b">
        <v>0</v>
      </c>
    </row>
    <row r="415" spans="1:7" ht="15">
      <c r="A415" s="84" t="s">
        <v>2531</v>
      </c>
      <c r="B415" s="83">
        <v>4</v>
      </c>
      <c r="C415" s="110">
        <v>0.0013089868182493802</v>
      </c>
      <c r="D415" s="83" t="s">
        <v>3175</v>
      </c>
      <c r="E415" s="83" t="b">
        <v>0</v>
      </c>
      <c r="F415" s="83" t="b">
        <v>0</v>
      </c>
      <c r="G415" s="83" t="b">
        <v>0</v>
      </c>
    </row>
    <row r="416" spans="1:7" ht="15">
      <c r="A416" s="84" t="s">
        <v>2532</v>
      </c>
      <c r="B416" s="83">
        <v>4</v>
      </c>
      <c r="C416" s="110">
        <v>0.0012383500767040518</v>
      </c>
      <c r="D416" s="83" t="s">
        <v>3175</v>
      </c>
      <c r="E416" s="83" t="b">
        <v>0</v>
      </c>
      <c r="F416" s="83" t="b">
        <v>0</v>
      </c>
      <c r="G416" s="83" t="b">
        <v>0</v>
      </c>
    </row>
    <row r="417" spans="1:7" ht="15">
      <c r="A417" s="84" t="s">
        <v>2533</v>
      </c>
      <c r="B417" s="83">
        <v>4</v>
      </c>
      <c r="C417" s="110">
        <v>0.0013089868182493802</v>
      </c>
      <c r="D417" s="83" t="s">
        <v>3175</v>
      </c>
      <c r="E417" s="83" t="b">
        <v>0</v>
      </c>
      <c r="F417" s="83" t="b">
        <v>0</v>
      </c>
      <c r="G417" s="83" t="b">
        <v>0</v>
      </c>
    </row>
    <row r="418" spans="1:7" ht="15">
      <c r="A418" s="84" t="s">
        <v>2534</v>
      </c>
      <c r="B418" s="83">
        <v>4</v>
      </c>
      <c r="C418" s="110">
        <v>0.0012383500767040518</v>
      </c>
      <c r="D418" s="83" t="s">
        <v>3175</v>
      </c>
      <c r="E418" s="83" t="b">
        <v>0</v>
      </c>
      <c r="F418" s="83" t="b">
        <v>0</v>
      </c>
      <c r="G418" s="83" t="b">
        <v>0</v>
      </c>
    </row>
    <row r="419" spans="1:7" ht="15">
      <c r="A419" s="84" t="s">
        <v>2535</v>
      </c>
      <c r="B419" s="83">
        <v>4</v>
      </c>
      <c r="C419" s="110">
        <v>0.0013089868182493802</v>
      </c>
      <c r="D419" s="83" t="s">
        <v>3175</v>
      </c>
      <c r="E419" s="83" t="b">
        <v>0</v>
      </c>
      <c r="F419" s="83" t="b">
        <v>1</v>
      </c>
      <c r="G419" s="83" t="b">
        <v>0</v>
      </c>
    </row>
    <row r="420" spans="1:7" ht="15">
      <c r="A420" s="84" t="s">
        <v>2536</v>
      </c>
      <c r="B420" s="83">
        <v>4</v>
      </c>
      <c r="C420" s="110">
        <v>0.0014085437138285641</v>
      </c>
      <c r="D420" s="83" t="s">
        <v>3175</v>
      </c>
      <c r="E420" s="83" t="b">
        <v>0</v>
      </c>
      <c r="F420" s="83" t="b">
        <v>1</v>
      </c>
      <c r="G420" s="83" t="b">
        <v>0</v>
      </c>
    </row>
    <row r="421" spans="1:7" ht="15">
      <c r="A421" s="84" t="s">
        <v>2537</v>
      </c>
      <c r="B421" s="83">
        <v>4</v>
      </c>
      <c r="C421" s="110">
        <v>0.0013089868182493802</v>
      </c>
      <c r="D421" s="83" t="s">
        <v>3175</v>
      </c>
      <c r="E421" s="83" t="b">
        <v>0</v>
      </c>
      <c r="F421" s="83" t="b">
        <v>1</v>
      </c>
      <c r="G421" s="83" t="b">
        <v>0</v>
      </c>
    </row>
    <row r="422" spans="1:7" ht="15">
      <c r="A422" s="84" t="s">
        <v>2538</v>
      </c>
      <c r="B422" s="83">
        <v>3</v>
      </c>
      <c r="C422" s="110">
        <v>0.0009817401136870353</v>
      </c>
      <c r="D422" s="83" t="s">
        <v>3175</v>
      </c>
      <c r="E422" s="83" t="b">
        <v>0</v>
      </c>
      <c r="F422" s="83" t="b">
        <v>1</v>
      </c>
      <c r="G422" s="83" t="b">
        <v>0</v>
      </c>
    </row>
    <row r="423" spans="1:7" ht="15">
      <c r="A423" s="84" t="s">
        <v>2539</v>
      </c>
      <c r="B423" s="83">
        <v>3</v>
      </c>
      <c r="C423" s="110">
        <v>0.0009817401136870353</v>
      </c>
      <c r="D423" s="83" t="s">
        <v>3175</v>
      </c>
      <c r="E423" s="83" t="b">
        <v>0</v>
      </c>
      <c r="F423" s="83" t="b">
        <v>0</v>
      </c>
      <c r="G423" s="83" t="b">
        <v>0</v>
      </c>
    </row>
    <row r="424" spans="1:7" ht="15">
      <c r="A424" s="84" t="s">
        <v>2540</v>
      </c>
      <c r="B424" s="83">
        <v>3</v>
      </c>
      <c r="C424" s="110">
        <v>0.0009817401136870353</v>
      </c>
      <c r="D424" s="83" t="s">
        <v>3175</v>
      </c>
      <c r="E424" s="83" t="b">
        <v>0</v>
      </c>
      <c r="F424" s="83" t="b">
        <v>0</v>
      </c>
      <c r="G424" s="83" t="b">
        <v>0</v>
      </c>
    </row>
    <row r="425" spans="1:7" ht="15">
      <c r="A425" s="84" t="s">
        <v>2541</v>
      </c>
      <c r="B425" s="83">
        <v>3</v>
      </c>
      <c r="C425" s="110">
        <v>0.0009817401136870353</v>
      </c>
      <c r="D425" s="83" t="s">
        <v>3175</v>
      </c>
      <c r="E425" s="83" t="b">
        <v>1</v>
      </c>
      <c r="F425" s="83" t="b">
        <v>0</v>
      </c>
      <c r="G425" s="83" t="b">
        <v>0</v>
      </c>
    </row>
    <row r="426" spans="1:7" ht="15">
      <c r="A426" s="84" t="s">
        <v>2542</v>
      </c>
      <c r="B426" s="83">
        <v>3</v>
      </c>
      <c r="C426" s="110">
        <v>0.0009817401136870353</v>
      </c>
      <c r="D426" s="83" t="s">
        <v>3175</v>
      </c>
      <c r="E426" s="83" t="b">
        <v>1</v>
      </c>
      <c r="F426" s="83" t="b">
        <v>0</v>
      </c>
      <c r="G426" s="83" t="b">
        <v>0</v>
      </c>
    </row>
    <row r="427" spans="1:7" ht="15">
      <c r="A427" s="84" t="s">
        <v>2543</v>
      </c>
      <c r="B427" s="83">
        <v>3</v>
      </c>
      <c r="C427" s="110">
        <v>0.0009817401136870353</v>
      </c>
      <c r="D427" s="83" t="s">
        <v>3175</v>
      </c>
      <c r="E427" s="83" t="b">
        <v>0</v>
      </c>
      <c r="F427" s="83" t="b">
        <v>0</v>
      </c>
      <c r="G427" s="83" t="b">
        <v>0</v>
      </c>
    </row>
    <row r="428" spans="1:7" ht="15">
      <c r="A428" s="84" t="s">
        <v>2544</v>
      </c>
      <c r="B428" s="83">
        <v>3</v>
      </c>
      <c r="C428" s="110">
        <v>0.0009817401136870353</v>
      </c>
      <c r="D428" s="83" t="s">
        <v>3175</v>
      </c>
      <c r="E428" s="83" t="b">
        <v>0</v>
      </c>
      <c r="F428" s="83" t="b">
        <v>0</v>
      </c>
      <c r="G428" s="83" t="b">
        <v>0</v>
      </c>
    </row>
    <row r="429" spans="1:7" ht="15">
      <c r="A429" s="84" t="s">
        <v>2545</v>
      </c>
      <c r="B429" s="83">
        <v>3</v>
      </c>
      <c r="C429" s="110">
        <v>0.0009817401136870353</v>
      </c>
      <c r="D429" s="83" t="s">
        <v>3175</v>
      </c>
      <c r="E429" s="83" t="b">
        <v>0</v>
      </c>
      <c r="F429" s="83" t="b">
        <v>0</v>
      </c>
      <c r="G429" s="83" t="b">
        <v>0</v>
      </c>
    </row>
    <row r="430" spans="1:7" ht="15">
      <c r="A430" s="84" t="s">
        <v>2546</v>
      </c>
      <c r="B430" s="83">
        <v>3</v>
      </c>
      <c r="C430" s="110">
        <v>0.0009817401136870353</v>
      </c>
      <c r="D430" s="83" t="s">
        <v>3175</v>
      </c>
      <c r="E430" s="83" t="b">
        <v>0</v>
      </c>
      <c r="F430" s="83" t="b">
        <v>0</v>
      </c>
      <c r="G430" s="83" t="b">
        <v>0</v>
      </c>
    </row>
    <row r="431" spans="1:7" ht="15">
      <c r="A431" s="84" t="s">
        <v>2547</v>
      </c>
      <c r="B431" s="83">
        <v>3</v>
      </c>
      <c r="C431" s="110">
        <v>0.0009817401136870353</v>
      </c>
      <c r="D431" s="83" t="s">
        <v>3175</v>
      </c>
      <c r="E431" s="83" t="b">
        <v>0</v>
      </c>
      <c r="F431" s="83" t="b">
        <v>0</v>
      </c>
      <c r="G431" s="83" t="b">
        <v>0</v>
      </c>
    </row>
    <row r="432" spans="1:7" ht="15">
      <c r="A432" s="84" t="s">
        <v>2548</v>
      </c>
      <c r="B432" s="83">
        <v>3</v>
      </c>
      <c r="C432" s="110">
        <v>0.0009817401136870353</v>
      </c>
      <c r="D432" s="83" t="s">
        <v>3175</v>
      </c>
      <c r="E432" s="83" t="b">
        <v>0</v>
      </c>
      <c r="F432" s="83" t="b">
        <v>0</v>
      </c>
      <c r="G432" s="83" t="b">
        <v>0</v>
      </c>
    </row>
    <row r="433" spans="1:7" ht="15">
      <c r="A433" s="84" t="s">
        <v>2549</v>
      </c>
      <c r="B433" s="83">
        <v>3</v>
      </c>
      <c r="C433" s="110">
        <v>0.0010564077853714232</v>
      </c>
      <c r="D433" s="83" t="s">
        <v>3175</v>
      </c>
      <c r="E433" s="83" t="b">
        <v>0</v>
      </c>
      <c r="F433" s="83" t="b">
        <v>0</v>
      </c>
      <c r="G433" s="83" t="b">
        <v>0</v>
      </c>
    </row>
    <row r="434" spans="1:7" ht="15">
      <c r="A434" s="84" t="s">
        <v>2550</v>
      </c>
      <c r="B434" s="83">
        <v>3</v>
      </c>
      <c r="C434" s="110">
        <v>0.0009817401136870353</v>
      </c>
      <c r="D434" s="83" t="s">
        <v>3175</v>
      </c>
      <c r="E434" s="83" t="b">
        <v>0</v>
      </c>
      <c r="F434" s="83" t="b">
        <v>0</v>
      </c>
      <c r="G434" s="83" t="b">
        <v>0</v>
      </c>
    </row>
    <row r="435" spans="1:7" ht="15">
      <c r="A435" s="84" t="s">
        <v>2551</v>
      </c>
      <c r="B435" s="83">
        <v>3</v>
      </c>
      <c r="C435" s="110">
        <v>0.0010564077853714232</v>
      </c>
      <c r="D435" s="83" t="s">
        <v>3175</v>
      </c>
      <c r="E435" s="83" t="b">
        <v>0</v>
      </c>
      <c r="F435" s="83" t="b">
        <v>0</v>
      </c>
      <c r="G435" s="83" t="b">
        <v>0</v>
      </c>
    </row>
    <row r="436" spans="1:7" ht="15">
      <c r="A436" s="84" t="s">
        <v>2552</v>
      </c>
      <c r="B436" s="83">
        <v>3</v>
      </c>
      <c r="C436" s="110">
        <v>0.0009817401136870353</v>
      </c>
      <c r="D436" s="83" t="s">
        <v>3175</v>
      </c>
      <c r="E436" s="83" t="b">
        <v>0</v>
      </c>
      <c r="F436" s="83" t="b">
        <v>0</v>
      </c>
      <c r="G436" s="83" t="b">
        <v>0</v>
      </c>
    </row>
    <row r="437" spans="1:7" ht="15">
      <c r="A437" s="84" t="s">
        <v>2553</v>
      </c>
      <c r="B437" s="83">
        <v>3</v>
      </c>
      <c r="C437" s="110">
        <v>0.0009817401136870353</v>
      </c>
      <c r="D437" s="83" t="s">
        <v>3175</v>
      </c>
      <c r="E437" s="83" t="b">
        <v>0</v>
      </c>
      <c r="F437" s="83" t="b">
        <v>0</v>
      </c>
      <c r="G437" s="83" t="b">
        <v>0</v>
      </c>
    </row>
    <row r="438" spans="1:7" ht="15">
      <c r="A438" s="84" t="s">
        <v>2554</v>
      </c>
      <c r="B438" s="83">
        <v>3</v>
      </c>
      <c r="C438" s="110">
        <v>0.0010564077853714232</v>
      </c>
      <c r="D438" s="83" t="s">
        <v>3175</v>
      </c>
      <c r="E438" s="83" t="b">
        <v>0</v>
      </c>
      <c r="F438" s="83" t="b">
        <v>0</v>
      </c>
      <c r="G438" s="83" t="b">
        <v>0</v>
      </c>
    </row>
    <row r="439" spans="1:7" ht="15">
      <c r="A439" s="84" t="s">
        <v>2555</v>
      </c>
      <c r="B439" s="83">
        <v>3</v>
      </c>
      <c r="C439" s="110">
        <v>0.0009817401136870353</v>
      </c>
      <c r="D439" s="83" t="s">
        <v>3175</v>
      </c>
      <c r="E439" s="83" t="b">
        <v>0</v>
      </c>
      <c r="F439" s="83" t="b">
        <v>0</v>
      </c>
      <c r="G439" s="83" t="b">
        <v>0</v>
      </c>
    </row>
    <row r="440" spans="1:7" ht="15">
      <c r="A440" s="84" t="s">
        <v>2556</v>
      </c>
      <c r="B440" s="83">
        <v>3</v>
      </c>
      <c r="C440" s="110">
        <v>0.0009817401136870353</v>
      </c>
      <c r="D440" s="83" t="s">
        <v>3175</v>
      </c>
      <c r="E440" s="83" t="b">
        <v>0</v>
      </c>
      <c r="F440" s="83" t="b">
        <v>0</v>
      </c>
      <c r="G440" s="83" t="b">
        <v>0</v>
      </c>
    </row>
    <row r="441" spans="1:7" ht="15">
      <c r="A441" s="84" t="s">
        <v>2557</v>
      </c>
      <c r="B441" s="83">
        <v>3</v>
      </c>
      <c r="C441" s="110">
        <v>0.0010564077853714232</v>
      </c>
      <c r="D441" s="83" t="s">
        <v>3175</v>
      </c>
      <c r="E441" s="83" t="b">
        <v>0</v>
      </c>
      <c r="F441" s="83" t="b">
        <v>0</v>
      </c>
      <c r="G441" s="83" t="b">
        <v>0</v>
      </c>
    </row>
    <row r="442" spans="1:7" ht="15">
      <c r="A442" s="84" t="s">
        <v>2558</v>
      </c>
      <c r="B442" s="83">
        <v>3</v>
      </c>
      <c r="C442" s="110">
        <v>0.0009817401136870353</v>
      </c>
      <c r="D442" s="83" t="s">
        <v>3175</v>
      </c>
      <c r="E442" s="83" t="b">
        <v>0</v>
      </c>
      <c r="F442" s="83" t="b">
        <v>0</v>
      </c>
      <c r="G442" s="83" t="b">
        <v>0</v>
      </c>
    </row>
    <row r="443" spans="1:7" ht="15">
      <c r="A443" s="84" t="s">
        <v>2559</v>
      </c>
      <c r="B443" s="83">
        <v>3</v>
      </c>
      <c r="C443" s="110">
        <v>0.0009817401136870353</v>
      </c>
      <c r="D443" s="83" t="s">
        <v>3175</v>
      </c>
      <c r="E443" s="83" t="b">
        <v>1</v>
      </c>
      <c r="F443" s="83" t="b">
        <v>0</v>
      </c>
      <c r="G443" s="83" t="b">
        <v>0</v>
      </c>
    </row>
    <row r="444" spans="1:7" ht="15">
      <c r="A444" s="84" t="s">
        <v>2560</v>
      </c>
      <c r="B444" s="83">
        <v>3</v>
      </c>
      <c r="C444" s="110">
        <v>0.0009817401136870353</v>
      </c>
      <c r="D444" s="83" t="s">
        <v>3175</v>
      </c>
      <c r="E444" s="83" t="b">
        <v>0</v>
      </c>
      <c r="F444" s="83" t="b">
        <v>0</v>
      </c>
      <c r="G444" s="83" t="b">
        <v>0</v>
      </c>
    </row>
    <row r="445" spans="1:7" ht="15">
      <c r="A445" s="84" t="s">
        <v>2561</v>
      </c>
      <c r="B445" s="83">
        <v>3</v>
      </c>
      <c r="C445" s="110">
        <v>0.0009817401136870353</v>
      </c>
      <c r="D445" s="83" t="s">
        <v>3175</v>
      </c>
      <c r="E445" s="83" t="b">
        <v>0</v>
      </c>
      <c r="F445" s="83" t="b">
        <v>0</v>
      </c>
      <c r="G445" s="83" t="b">
        <v>0</v>
      </c>
    </row>
    <row r="446" spans="1:7" ht="15">
      <c r="A446" s="84" t="s">
        <v>2562</v>
      </c>
      <c r="B446" s="83">
        <v>3</v>
      </c>
      <c r="C446" s="110">
        <v>0.0009817401136870353</v>
      </c>
      <c r="D446" s="83" t="s">
        <v>3175</v>
      </c>
      <c r="E446" s="83" t="b">
        <v>0</v>
      </c>
      <c r="F446" s="83" t="b">
        <v>0</v>
      </c>
      <c r="G446" s="83" t="b">
        <v>0</v>
      </c>
    </row>
    <row r="447" spans="1:7" ht="15">
      <c r="A447" s="84" t="s">
        <v>2563</v>
      </c>
      <c r="B447" s="83">
        <v>3</v>
      </c>
      <c r="C447" s="110">
        <v>0.0009817401136870353</v>
      </c>
      <c r="D447" s="83" t="s">
        <v>3175</v>
      </c>
      <c r="E447" s="83" t="b">
        <v>0</v>
      </c>
      <c r="F447" s="83" t="b">
        <v>0</v>
      </c>
      <c r="G447" s="83" t="b">
        <v>0</v>
      </c>
    </row>
    <row r="448" spans="1:7" ht="15">
      <c r="A448" s="84" t="s">
        <v>2564</v>
      </c>
      <c r="B448" s="83">
        <v>3</v>
      </c>
      <c r="C448" s="110">
        <v>0.0009817401136870353</v>
      </c>
      <c r="D448" s="83" t="s">
        <v>3175</v>
      </c>
      <c r="E448" s="83" t="b">
        <v>0</v>
      </c>
      <c r="F448" s="83" t="b">
        <v>0</v>
      </c>
      <c r="G448" s="83" t="b">
        <v>0</v>
      </c>
    </row>
    <row r="449" spans="1:7" ht="15">
      <c r="A449" s="84" t="s">
        <v>2565</v>
      </c>
      <c r="B449" s="83">
        <v>3</v>
      </c>
      <c r="C449" s="110">
        <v>0.0009817401136870353</v>
      </c>
      <c r="D449" s="83" t="s">
        <v>3175</v>
      </c>
      <c r="E449" s="83" t="b">
        <v>0</v>
      </c>
      <c r="F449" s="83" t="b">
        <v>0</v>
      </c>
      <c r="G449" s="83" t="b">
        <v>0</v>
      </c>
    </row>
    <row r="450" spans="1:7" ht="15">
      <c r="A450" s="84" t="s">
        <v>2566</v>
      </c>
      <c r="B450" s="83">
        <v>3</v>
      </c>
      <c r="C450" s="110">
        <v>0.0009817401136870353</v>
      </c>
      <c r="D450" s="83" t="s">
        <v>3175</v>
      </c>
      <c r="E450" s="83" t="b">
        <v>0</v>
      </c>
      <c r="F450" s="83" t="b">
        <v>0</v>
      </c>
      <c r="G450" s="83" t="b">
        <v>0</v>
      </c>
    </row>
    <row r="451" spans="1:7" ht="15">
      <c r="A451" s="84" t="s">
        <v>2567</v>
      </c>
      <c r="B451" s="83">
        <v>3</v>
      </c>
      <c r="C451" s="110">
        <v>0.0009817401136870353</v>
      </c>
      <c r="D451" s="83" t="s">
        <v>3175</v>
      </c>
      <c r="E451" s="83" t="b">
        <v>0</v>
      </c>
      <c r="F451" s="83" t="b">
        <v>0</v>
      </c>
      <c r="G451" s="83" t="b">
        <v>0</v>
      </c>
    </row>
    <row r="452" spans="1:7" ht="15">
      <c r="A452" s="84" t="s">
        <v>2568</v>
      </c>
      <c r="B452" s="83">
        <v>3</v>
      </c>
      <c r="C452" s="110">
        <v>0.0010564077853714232</v>
      </c>
      <c r="D452" s="83" t="s">
        <v>3175</v>
      </c>
      <c r="E452" s="83" t="b">
        <v>0</v>
      </c>
      <c r="F452" s="83" t="b">
        <v>0</v>
      </c>
      <c r="G452" s="83" t="b">
        <v>0</v>
      </c>
    </row>
    <row r="453" spans="1:7" ht="15">
      <c r="A453" s="84" t="s">
        <v>2569</v>
      </c>
      <c r="B453" s="83">
        <v>3</v>
      </c>
      <c r="C453" s="110">
        <v>0.0009817401136870353</v>
      </c>
      <c r="D453" s="83" t="s">
        <v>3175</v>
      </c>
      <c r="E453" s="83" t="b">
        <v>0</v>
      </c>
      <c r="F453" s="83" t="b">
        <v>0</v>
      </c>
      <c r="G453" s="83" t="b">
        <v>0</v>
      </c>
    </row>
    <row r="454" spans="1:7" ht="15">
      <c r="A454" s="84" t="s">
        <v>2570</v>
      </c>
      <c r="B454" s="83">
        <v>3</v>
      </c>
      <c r="C454" s="110">
        <v>0.0009817401136870353</v>
      </c>
      <c r="D454" s="83" t="s">
        <v>3175</v>
      </c>
      <c r="E454" s="83" t="b">
        <v>0</v>
      </c>
      <c r="F454" s="83" t="b">
        <v>0</v>
      </c>
      <c r="G454" s="83" t="b">
        <v>0</v>
      </c>
    </row>
    <row r="455" spans="1:7" ht="15">
      <c r="A455" s="84" t="s">
        <v>2571</v>
      </c>
      <c r="B455" s="83">
        <v>3</v>
      </c>
      <c r="C455" s="110">
        <v>0.0009817401136870353</v>
      </c>
      <c r="D455" s="83" t="s">
        <v>3175</v>
      </c>
      <c r="E455" s="83" t="b">
        <v>0</v>
      </c>
      <c r="F455" s="83" t="b">
        <v>0</v>
      </c>
      <c r="G455" s="83" t="b">
        <v>0</v>
      </c>
    </row>
    <row r="456" spans="1:7" ht="15">
      <c r="A456" s="84" t="s">
        <v>2572</v>
      </c>
      <c r="B456" s="83">
        <v>3</v>
      </c>
      <c r="C456" s="110">
        <v>0.0009817401136870353</v>
      </c>
      <c r="D456" s="83" t="s">
        <v>3175</v>
      </c>
      <c r="E456" s="83" t="b">
        <v>0</v>
      </c>
      <c r="F456" s="83" t="b">
        <v>0</v>
      </c>
      <c r="G456" s="83" t="b">
        <v>0</v>
      </c>
    </row>
    <row r="457" spans="1:7" ht="15">
      <c r="A457" s="84" t="s">
        <v>2573</v>
      </c>
      <c r="B457" s="83">
        <v>3</v>
      </c>
      <c r="C457" s="110">
        <v>0.0009817401136870353</v>
      </c>
      <c r="D457" s="83" t="s">
        <v>3175</v>
      </c>
      <c r="E457" s="83" t="b">
        <v>0</v>
      </c>
      <c r="F457" s="83" t="b">
        <v>0</v>
      </c>
      <c r="G457" s="83" t="b">
        <v>0</v>
      </c>
    </row>
    <row r="458" spans="1:7" ht="15">
      <c r="A458" s="84" t="s">
        <v>2574</v>
      </c>
      <c r="B458" s="83">
        <v>3</v>
      </c>
      <c r="C458" s="110">
        <v>0.0009817401136870353</v>
      </c>
      <c r="D458" s="83" t="s">
        <v>3175</v>
      </c>
      <c r="E458" s="83" t="b">
        <v>0</v>
      </c>
      <c r="F458" s="83" t="b">
        <v>0</v>
      </c>
      <c r="G458" s="83" t="b">
        <v>0</v>
      </c>
    </row>
    <row r="459" spans="1:7" ht="15">
      <c r="A459" s="84" t="s">
        <v>2575</v>
      </c>
      <c r="B459" s="83">
        <v>3</v>
      </c>
      <c r="C459" s="110">
        <v>0.0009817401136870353</v>
      </c>
      <c r="D459" s="83" t="s">
        <v>3175</v>
      </c>
      <c r="E459" s="83" t="b">
        <v>0</v>
      </c>
      <c r="F459" s="83" t="b">
        <v>0</v>
      </c>
      <c r="G459" s="83" t="b">
        <v>0</v>
      </c>
    </row>
    <row r="460" spans="1:7" ht="15">
      <c r="A460" s="84" t="s">
        <v>2576</v>
      </c>
      <c r="B460" s="83">
        <v>3</v>
      </c>
      <c r="C460" s="110">
        <v>0.0010564077853714232</v>
      </c>
      <c r="D460" s="83" t="s">
        <v>3175</v>
      </c>
      <c r="E460" s="83" t="b">
        <v>1</v>
      </c>
      <c r="F460" s="83" t="b">
        <v>0</v>
      </c>
      <c r="G460" s="83" t="b">
        <v>0</v>
      </c>
    </row>
    <row r="461" spans="1:7" ht="15">
      <c r="A461" s="84" t="s">
        <v>2577</v>
      </c>
      <c r="B461" s="83">
        <v>3</v>
      </c>
      <c r="C461" s="110">
        <v>0.0009817401136870353</v>
      </c>
      <c r="D461" s="83" t="s">
        <v>3175</v>
      </c>
      <c r="E461" s="83" t="b">
        <v>0</v>
      </c>
      <c r="F461" s="83" t="b">
        <v>0</v>
      </c>
      <c r="G461" s="83" t="b">
        <v>0</v>
      </c>
    </row>
    <row r="462" spans="1:7" ht="15">
      <c r="A462" s="84" t="s">
        <v>2578</v>
      </c>
      <c r="B462" s="83">
        <v>3</v>
      </c>
      <c r="C462" s="110">
        <v>0.0009817401136870353</v>
      </c>
      <c r="D462" s="83" t="s">
        <v>3175</v>
      </c>
      <c r="E462" s="83" t="b">
        <v>0</v>
      </c>
      <c r="F462" s="83" t="b">
        <v>0</v>
      </c>
      <c r="G462" s="83" t="b">
        <v>0</v>
      </c>
    </row>
    <row r="463" spans="1:7" ht="15">
      <c r="A463" s="84" t="s">
        <v>2579</v>
      </c>
      <c r="B463" s="83">
        <v>3</v>
      </c>
      <c r="C463" s="110">
        <v>0.0010564077853714232</v>
      </c>
      <c r="D463" s="83" t="s">
        <v>3175</v>
      </c>
      <c r="E463" s="83" t="b">
        <v>0</v>
      </c>
      <c r="F463" s="83" t="b">
        <v>0</v>
      </c>
      <c r="G463" s="83" t="b">
        <v>0</v>
      </c>
    </row>
    <row r="464" spans="1:7" ht="15">
      <c r="A464" s="84" t="s">
        <v>2580</v>
      </c>
      <c r="B464" s="83">
        <v>3</v>
      </c>
      <c r="C464" s="110">
        <v>0.0009817401136870353</v>
      </c>
      <c r="D464" s="83" t="s">
        <v>3175</v>
      </c>
      <c r="E464" s="83" t="b">
        <v>0</v>
      </c>
      <c r="F464" s="83" t="b">
        <v>0</v>
      </c>
      <c r="G464" s="83" t="b">
        <v>0</v>
      </c>
    </row>
    <row r="465" spans="1:7" ht="15">
      <c r="A465" s="84" t="s">
        <v>2581</v>
      </c>
      <c r="B465" s="83">
        <v>3</v>
      </c>
      <c r="C465" s="110">
        <v>0.0010564077853714232</v>
      </c>
      <c r="D465" s="83" t="s">
        <v>3175</v>
      </c>
      <c r="E465" s="83" t="b">
        <v>0</v>
      </c>
      <c r="F465" s="83" t="b">
        <v>0</v>
      </c>
      <c r="G465" s="83" t="b">
        <v>0</v>
      </c>
    </row>
    <row r="466" spans="1:7" ht="15">
      <c r="A466" s="84" t="s">
        <v>2582</v>
      </c>
      <c r="B466" s="83">
        <v>3</v>
      </c>
      <c r="C466" s="110">
        <v>0.0009817401136870353</v>
      </c>
      <c r="D466" s="83" t="s">
        <v>3175</v>
      </c>
      <c r="E466" s="83" t="b">
        <v>0</v>
      </c>
      <c r="F466" s="83" t="b">
        <v>1</v>
      </c>
      <c r="G466" s="83" t="b">
        <v>0</v>
      </c>
    </row>
    <row r="467" spans="1:7" ht="15">
      <c r="A467" s="84" t="s">
        <v>2583</v>
      </c>
      <c r="B467" s="83">
        <v>3</v>
      </c>
      <c r="C467" s="110">
        <v>0.0009817401136870353</v>
      </c>
      <c r="D467" s="83" t="s">
        <v>3175</v>
      </c>
      <c r="E467" s="83" t="b">
        <v>0</v>
      </c>
      <c r="F467" s="83" t="b">
        <v>0</v>
      </c>
      <c r="G467" s="83" t="b">
        <v>0</v>
      </c>
    </row>
    <row r="468" spans="1:7" ht="15">
      <c r="A468" s="84" t="s">
        <v>2584</v>
      </c>
      <c r="B468" s="83">
        <v>3</v>
      </c>
      <c r="C468" s="110">
        <v>0.0009817401136870353</v>
      </c>
      <c r="D468" s="83" t="s">
        <v>3175</v>
      </c>
      <c r="E468" s="83" t="b">
        <v>0</v>
      </c>
      <c r="F468" s="83" t="b">
        <v>0</v>
      </c>
      <c r="G468" s="83" t="b">
        <v>0</v>
      </c>
    </row>
    <row r="469" spans="1:7" ht="15">
      <c r="A469" s="84" t="s">
        <v>2585</v>
      </c>
      <c r="B469" s="83">
        <v>3</v>
      </c>
      <c r="C469" s="110">
        <v>0.0009817401136870353</v>
      </c>
      <c r="D469" s="83" t="s">
        <v>3175</v>
      </c>
      <c r="E469" s="83" t="b">
        <v>0</v>
      </c>
      <c r="F469" s="83" t="b">
        <v>0</v>
      </c>
      <c r="G469" s="83" t="b">
        <v>0</v>
      </c>
    </row>
    <row r="470" spans="1:7" ht="15">
      <c r="A470" s="84" t="s">
        <v>2586</v>
      </c>
      <c r="B470" s="83">
        <v>3</v>
      </c>
      <c r="C470" s="110">
        <v>0.0009817401136870353</v>
      </c>
      <c r="D470" s="83" t="s">
        <v>3175</v>
      </c>
      <c r="E470" s="83" t="b">
        <v>0</v>
      </c>
      <c r="F470" s="83" t="b">
        <v>0</v>
      </c>
      <c r="G470" s="83" t="b">
        <v>0</v>
      </c>
    </row>
    <row r="471" spans="1:7" ht="15">
      <c r="A471" s="84" t="s">
        <v>2587</v>
      </c>
      <c r="B471" s="83">
        <v>3</v>
      </c>
      <c r="C471" s="110">
        <v>0.0009817401136870353</v>
      </c>
      <c r="D471" s="83" t="s">
        <v>3175</v>
      </c>
      <c r="E471" s="83" t="b">
        <v>0</v>
      </c>
      <c r="F471" s="83" t="b">
        <v>0</v>
      </c>
      <c r="G471" s="83" t="b">
        <v>0</v>
      </c>
    </row>
    <row r="472" spans="1:7" ht="15">
      <c r="A472" s="84" t="s">
        <v>2588</v>
      </c>
      <c r="B472" s="83">
        <v>3</v>
      </c>
      <c r="C472" s="110">
        <v>0.0009817401136870353</v>
      </c>
      <c r="D472" s="83" t="s">
        <v>3175</v>
      </c>
      <c r="E472" s="83" t="b">
        <v>0</v>
      </c>
      <c r="F472" s="83" t="b">
        <v>0</v>
      </c>
      <c r="G472" s="83" t="b">
        <v>0</v>
      </c>
    </row>
    <row r="473" spans="1:7" ht="15">
      <c r="A473" s="84" t="s">
        <v>2589</v>
      </c>
      <c r="B473" s="83">
        <v>3</v>
      </c>
      <c r="C473" s="110">
        <v>0.0009817401136870353</v>
      </c>
      <c r="D473" s="83" t="s">
        <v>3175</v>
      </c>
      <c r="E473" s="83" t="b">
        <v>0</v>
      </c>
      <c r="F473" s="83" t="b">
        <v>0</v>
      </c>
      <c r="G473" s="83" t="b">
        <v>0</v>
      </c>
    </row>
    <row r="474" spans="1:7" ht="15">
      <c r="A474" s="84" t="s">
        <v>2590</v>
      </c>
      <c r="B474" s="83">
        <v>3</v>
      </c>
      <c r="C474" s="110">
        <v>0.0009817401136870353</v>
      </c>
      <c r="D474" s="83" t="s">
        <v>3175</v>
      </c>
      <c r="E474" s="83" t="b">
        <v>0</v>
      </c>
      <c r="F474" s="83" t="b">
        <v>0</v>
      </c>
      <c r="G474" s="83" t="b">
        <v>0</v>
      </c>
    </row>
    <row r="475" spans="1:7" ht="15">
      <c r="A475" s="84" t="s">
        <v>2591</v>
      </c>
      <c r="B475" s="83">
        <v>3</v>
      </c>
      <c r="C475" s="110">
        <v>0.0009817401136870353</v>
      </c>
      <c r="D475" s="83" t="s">
        <v>3175</v>
      </c>
      <c r="E475" s="83" t="b">
        <v>0</v>
      </c>
      <c r="F475" s="83" t="b">
        <v>0</v>
      </c>
      <c r="G475" s="83" t="b">
        <v>0</v>
      </c>
    </row>
    <row r="476" spans="1:7" ht="15">
      <c r="A476" s="84" t="s">
        <v>2592</v>
      </c>
      <c r="B476" s="83">
        <v>3</v>
      </c>
      <c r="C476" s="110">
        <v>0.0011840530132148073</v>
      </c>
      <c r="D476" s="83" t="s">
        <v>3175</v>
      </c>
      <c r="E476" s="83" t="b">
        <v>0</v>
      </c>
      <c r="F476" s="83" t="b">
        <v>0</v>
      </c>
      <c r="G476" s="83" t="b">
        <v>0</v>
      </c>
    </row>
    <row r="477" spans="1:7" ht="15">
      <c r="A477" s="84" t="s">
        <v>2593</v>
      </c>
      <c r="B477" s="83">
        <v>3</v>
      </c>
      <c r="C477" s="110">
        <v>0.0009817401136870353</v>
      </c>
      <c r="D477" s="83" t="s">
        <v>3175</v>
      </c>
      <c r="E477" s="83" t="b">
        <v>0</v>
      </c>
      <c r="F477" s="83" t="b">
        <v>0</v>
      </c>
      <c r="G477" s="83" t="b">
        <v>0</v>
      </c>
    </row>
    <row r="478" spans="1:7" ht="15">
      <c r="A478" s="84" t="s">
        <v>2594</v>
      </c>
      <c r="B478" s="83">
        <v>3</v>
      </c>
      <c r="C478" s="110">
        <v>0.0009817401136870353</v>
      </c>
      <c r="D478" s="83" t="s">
        <v>3175</v>
      </c>
      <c r="E478" s="83" t="b">
        <v>1</v>
      </c>
      <c r="F478" s="83" t="b">
        <v>0</v>
      </c>
      <c r="G478" s="83" t="b">
        <v>0</v>
      </c>
    </row>
    <row r="479" spans="1:7" ht="15">
      <c r="A479" s="84" t="s">
        <v>2595</v>
      </c>
      <c r="B479" s="83">
        <v>3</v>
      </c>
      <c r="C479" s="110">
        <v>0.0009817401136870353</v>
      </c>
      <c r="D479" s="83" t="s">
        <v>3175</v>
      </c>
      <c r="E479" s="83" t="b">
        <v>0</v>
      </c>
      <c r="F479" s="83" t="b">
        <v>0</v>
      </c>
      <c r="G479" s="83" t="b">
        <v>0</v>
      </c>
    </row>
    <row r="480" spans="1:7" ht="15">
      <c r="A480" s="84" t="s">
        <v>2596</v>
      </c>
      <c r="B480" s="83">
        <v>3</v>
      </c>
      <c r="C480" s="110">
        <v>0.0009817401136870353</v>
      </c>
      <c r="D480" s="83" t="s">
        <v>3175</v>
      </c>
      <c r="E480" s="83" t="b">
        <v>0</v>
      </c>
      <c r="F480" s="83" t="b">
        <v>0</v>
      </c>
      <c r="G480" s="83" t="b">
        <v>0</v>
      </c>
    </row>
    <row r="481" spans="1:7" ht="15">
      <c r="A481" s="84" t="s">
        <v>2597</v>
      </c>
      <c r="B481" s="83">
        <v>3</v>
      </c>
      <c r="C481" s="110">
        <v>0.0009817401136870353</v>
      </c>
      <c r="D481" s="83" t="s">
        <v>3175</v>
      </c>
      <c r="E481" s="83" t="b">
        <v>1</v>
      </c>
      <c r="F481" s="83" t="b">
        <v>0</v>
      </c>
      <c r="G481" s="83" t="b">
        <v>0</v>
      </c>
    </row>
    <row r="482" spans="1:7" ht="15">
      <c r="A482" s="84" t="s">
        <v>2598</v>
      </c>
      <c r="B482" s="83">
        <v>3</v>
      </c>
      <c r="C482" s="110">
        <v>0.0009817401136870353</v>
      </c>
      <c r="D482" s="83" t="s">
        <v>3175</v>
      </c>
      <c r="E482" s="83" t="b">
        <v>0</v>
      </c>
      <c r="F482" s="83" t="b">
        <v>0</v>
      </c>
      <c r="G482" s="83" t="b">
        <v>0</v>
      </c>
    </row>
    <row r="483" spans="1:7" ht="15">
      <c r="A483" s="84" t="s">
        <v>2599</v>
      </c>
      <c r="B483" s="83">
        <v>3</v>
      </c>
      <c r="C483" s="110">
        <v>0.0010564077853714232</v>
      </c>
      <c r="D483" s="83" t="s">
        <v>3175</v>
      </c>
      <c r="E483" s="83" t="b">
        <v>0</v>
      </c>
      <c r="F483" s="83" t="b">
        <v>0</v>
      </c>
      <c r="G483" s="83" t="b">
        <v>0</v>
      </c>
    </row>
    <row r="484" spans="1:7" ht="15">
      <c r="A484" s="84" t="s">
        <v>2600</v>
      </c>
      <c r="B484" s="83">
        <v>3</v>
      </c>
      <c r="C484" s="110">
        <v>0.0009817401136870353</v>
      </c>
      <c r="D484" s="83" t="s">
        <v>3175</v>
      </c>
      <c r="E484" s="83" t="b">
        <v>0</v>
      </c>
      <c r="F484" s="83" t="b">
        <v>0</v>
      </c>
      <c r="G484" s="83" t="b">
        <v>0</v>
      </c>
    </row>
    <row r="485" spans="1:7" ht="15">
      <c r="A485" s="84" t="s">
        <v>2601</v>
      </c>
      <c r="B485" s="83">
        <v>3</v>
      </c>
      <c r="C485" s="110">
        <v>0.0009817401136870353</v>
      </c>
      <c r="D485" s="83" t="s">
        <v>3175</v>
      </c>
      <c r="E485" s="83" t="b">
        <v>0</v>
      </c>
      <c r="F485" s="83" t="b">
        <v>0</v>
      </c>
      <c r="G485" s="83" t="b">
        <v>0</v>
      </c>
    </row>
    <row r="486" spans="1:7" ht="15">
      <c r="A486" s="84" t="s">
        <v>2602</v>
      </c>
      <c r="B486" s="83">
        <v>3</v>
      </c>
      <c r="C486" s="110">
        <v>0.0010564077853714232</v>
      </c>
      <c r="D486" s="83" t="s">
        <v>3175</v>
      </c>
      <c r="E486" s="83" t="b">
        <v>1</v>
      </c>
      <c r="F486" s="83" t="b">
        <v>0</v>
      </c>
      <c r="G486" s="83" t="b">
        <v>0</v>
      </c>
    </row>
    <row r="487" spans="1:7" ht="15">
      <c r="A487" s="84" t="s">
        <v>2603</v>
      </c>
      <c r="B487" s="83">
        <v>3</v>
      </c>
      <c r="C487" s="110">
        <v>0.0010564077853714232</v>
      </c>
      <c r="D487" s="83" t="s">
        <v>3175</v>
      </c>
      <c r="E487" s="83" t="b">
        <v>0</v>
      </c>
      <c r="F487" s="83" t="b">
        <v>0</v>
      </c>
      <c r="G487" s="83" t="b">
        <v>0</v>
      </c>
    </row>
    <row r="488" spans="1:7" ht="15">
      <c r="A488" s="84" t="s">
        <v>2604</v>
      </c>
      <c r="B488" s="83">
        <v>3</v>
      </c>
      <c r="C488" s="110">
        <v>0.0009817401136870353</v>
      </c>
      <c r="D488" s="83" t="s">
        <v>3175</v>
      </c>
      <c r="E488" s="83" t="b">
        <v>0</v>
      </c>
      <c r="F488" s="83" t="b">
        <v>0</v>
      </c>
      <c r="G488" s="83" t="b">
        <v>0</v>
      </c>
    </row>
    <row r="489" spans="1:7" ht="15">
      <c r="A489" s="84" t="s">
        <v>2605</v>
      </c>
      <c r="B489" s="83">
        <v>3</v>
      </c>
      <c r="C489" s="110">
        <v>0.0009817401136870353</v>
      </c>
      <c r="D489" s="83" t="s">
        <v>3175</v>
      </c>
      <c r="E489" s="83" t="b">
        <v>0</v>
      </c>
      <c r="F489" s="83" t="b">
        <v>0</v>
      </c>
      <c r="G489" s="83" t="b">
        <v>0</v>
      </c>
    </row>
    <row r="490" spans="1:7" ht="15">
      <c r="A490" s="84" t="s">
        <v>2606</v>
      </c>
      <c r="B490" s="83">
        <v>3</v>
      </c>
      <c r="C490" s="110">
        <v>0.0009817401136870353</v>
      </c>
      <c r="D490" s="83" t="s">
        <v>3175</v>
      </c>
      <c r="E490" s="83" t="b">
        <v>0</v>
      </c>
      <c r="F490" s="83" t="b">
        <v>0</v>
      </c>
      <c r="G490" s="83" t="b">
        <v>0</v>
      </c>
    </row>
    <row r="491" spans="1:7" ht="15">
      <c r="A491" s="84" t="s">
        <v>2607</v>
      </c>
      <c r="B491" s="83">
        <v>3</v>
      </c>
      <c r="C491" s="110">
        <v>0.0009817401136870353</v>
      </c>
      <c r="D491" s="83" t="s">
        <v>3175</v>
      </c>
      <c r="E491" s="83" t="b">
        <v>0</v>
      </c>
      <c r="F491" s="83" t="b">
        <v>0</v>
      </c>
      <c r="G491" s="83" t="b">
        <v>0</v>
      </c>
    </row>
    <row r="492" spans="1:7" ht="15">
      <c r="A492" s="84" t="s">
        <v>2608</v>
      </c>
      <c r="B492" s="83">
        <v>3</v>
      </c>
      <c r="C492" s="110">
        <v>0.0010564077853714232</v>
      </c>
      <c r="D492" s="83" t="s">
        <v>3175</v>
      </c>
      <c r="E492" s="83" t="b">
        <v>0</v>
      </c>
      <c r="F492" s="83" t="b">
        <v>0</v>
      </c>
      <c r="G492" s="83" t="b">
        <v>0</v>
      </c>
    </row>
    <row r="493" spans="1:7" ht="15">
      <c r="A493" s="84" t="s">
        <v>2609</v>
      </c>
      <c r="B493" s="83">
        <v>3</v>
      </c>
      <c r="C493" s="110">
        <v>0.0009817401136870353</v>
      </c>
      <c r="D493" s="83" t="s">
        <v>3175</v>
      </c>
      <c r="E493" s="83" t="b">
        <v>0</v>
      </c>
      <c r="F493" s="83" t="b">
        <v>1</v>
      </c>
      <c r="G493" s="83" t="b">
        <v>0</v>
      </c>
    </row>
    <row r="494" spans="1:7" ht="15">
      <c r="A494" s="84" t="s">
        <v>2610</v>
      </c>
      <c r="B494" s="83">
        <v>3</v>
      </c>
      <c r="C494" s="110">
        <v>0.0009817401136870353</v>
      </c>
      <c r="D494" s="83" t="s">
        <v>3175</v>
      </c>
      <c r="E494" s="83" t="b">
        <v>0</v>
      </c>
      <c r="F494" s="83" t="b">
        <v>0</v>
      </c>
      <c r="G494" s="83" t="b">
        <v>0</v>
      </c>
    </row>
    <row r="495" spans="1:7" ht="15">
      <c r="A495" s="84" t="s">
        <v>2611</v>
      </c>
      <c r="B495" s="83">
        <v>3</v>
      </c>
      <c r="C495" s="110">
        <v>0.0009817401136870353</v>
      </c>
      <c r="D495" s="83" t="s">
        <v>3175</v>
      </c>
      <c r="E495" s="83" t="b">
        <v>0</v>
      </c>
      <c r="F495" s="83" t="b">
        <v>0</v>
      </c>
      <c r="G495" s="83" t="b">
        <v>0</v>
      </c>
    </row>
    <row r="496" spans="1:7" ht="15">
      <c r="A496" s="84" t="s">
        <v>2612</v>
      </c>
      <c r="B496" s="83">
        <v>3</v>
      </c>
      <c r="C496" s="110">
        <v>0.0009817401136870353</v>
      </c>
      <c r="D496" s="83" t="s">
        <v>3175</v>
      </c>
      <c r="E496" s="83" t="b">
        <v>0</v>
      </c>
      <c r="F496" s="83" t="b">
        <v>0</v>
      </c>
      <c r="G496" s="83" t="b">
        <v>0</v>
      </c>
    </row>
    <row r="497" spans="1:7" ht="15">
      <c r="A497" s="84" t="s">
        <v>2613</v>
      </c>
      <c r="B497" s="83">
        <v>3</v>
      </c>
      <c r="C497" s="110">
        <v>0.0009817401136870353</v>
      </c>
      <c r="D497" s="83" t="s">
        <v>3175</v>
      </c>
      <c r="E497" s="83" t="b">
        <v>1</v>
      </c>
      <c r="F497" s="83" t="b">
        <v>0</v>
      </c>
      <c r="G497" s="83" t="b">
        <v>0</v>
      </c>
    </row>
    <row r="498" spans="1:7" ht="15">
      <c r="A498" s="84" t="s">
        <v>2614</v>
      </c>
      <c r="B498" s="83">
        <v>3</v>
      </c>
      <c r="C498" s="110">
        <v>0.0009817401136870353</v>
      </c>
      <c r="D498" s="83" t="s">
        <v>3175</v>
      </c>
      <c r="E498" s="83" t="b">
        <v>1</v>
      </c>
      <c r="F498" s="83" t="b">
        <v>0</v>
      </c>
      <c r="G498" s="83" t="b">
        <v>0</v>
      </c>
    </row>
    <row r="499" spans="1:7" ht="15">
      <c r="A499" s="84" t="s">
        <v>2615</v>
      </c>
      <c r="B499" s="83">
        <v>3</v>
      </c>
      <c r="C499" s="110">
        <v>0.0009817401136870353</v>
      </c>
      <c r="D499" s="83" t="s">
        <v>3175</v>
      </c>
      <c r="E499" s="83" t="b">
        <v>0</v>
      </c>
      <c r="F499" s="83" t="b">
        <v>0</v>
      </c>
      <c r="G499" s="83" t="b">
        <v>0</v>
      </c>
    </row>
    <row r="500" spans="1:7" ht="15">
      <c r="A500" s="84" t="s">
        <v>2616</v>
      </c>
      <c r="B500" s="83">
        <v>3</v>
      </c>
      <c r="C500" s="110">
        <v>0.0009817401136870353</v>
      </c>
      <c r="D500" s="83" t="s">
        <v>3175</v>
      </c>
      <c r="E500" s="83" t="b">
        <v>0</v>
      </c>
      <c r="F500" s="83" t="b">
        <v>0</v>
      </c>
      <c r="G500" s="83" t="b">
        <v>0</v>
      </c>
    </row>
    <row r="501" spans="1:7" ht="15">
      <c r="A501" s="84" t="s">
        <v>2617</v>
      </c>
      <c r="B501" s="83">
        <v>3</v>
      </c>
      <c r="C501" s="110">
        <v>0.0009817401136870353</v>
      </c>
      <c r="D501" s="83" t="s">
        <v>3175</v>
      </c>
      <c r="E501" s="83" t="b">
        <v>0</v>
      </c>
      <c r="F501" s="83" t="b">
        <v>0</v>
      </c>
      <c r="G501" s="83" t="b">
        <v>0</v>
      </c>
    </row>
    <row r="502" spans="1:7" ht="15">
      <c r="A502" s="84" t="s">
        <v>2618</v>
      </c>
      <c r="B502" s="83">
        <v>3</v>
      </c>
      <c r="C502" s="110">
        <v>0.0009817401136870353</v>
      </c>
      <c r="D502" s="83" t="s">
        <v>3175</v>
      </c>
      <c r="E502" s="83" t="b">
        <v>0</v>
      </c>
      <c r="F502" s="83" t="b">
        <v>0</v>
      </c>
      <c r="G502" s="83" t="b">
        <v>0</v>
      </c>
    </row>
    <row r="503" spans="1:7" ht="15">
      <c r="A503" s="84" t="s">
        <v>2619</v>
      </c>
      <c r="B503" s="83">
        <v>3</v>
      </c>
      <c r="C503" s="110">
        <v>0.0009817401136870353</v>
      </c>
      <c r="D503" s="83" t="s">
        <v>3175</v>
      </c>
      <c r="E503" s="83" t="b">
        <v>0</v>
      </c>
      <c r="F503" s="83" t="b">
        <v>0</v>
      </c>
      <c r="G503" s="83" t="b">
        <v>0</v>
      </c>
    </row>
    <row r="504" spans="1:7" ht="15">
      <c r="A504" s="84" t="s">
        <v>2620</v>
      </c>
      <c r="B504" s="83">
        <v>3</v>
      </c>
      <c r="C504" s="110">
        <v>0.0009817401136870353</v>
      </c>
      <c r="D504" s="83" t="s">
        <v>3175</v>
      </c>
      <c r="E504" s="83" t="b">
        <v>0</v>
      </c>
      <c r="F504" s="83" t="b">
        <v>0</v>
      </c>
      <c r="G504" s="83" t="b">
        <v>0</v>
      </c>
    </row>
    <row r="505" spans="1:7" ht="15">
      <c r="A505" s="84" t="s">
        <v>2621</v>
      </c>
      <c r="B505" s="83">
        <v>3</v>
      </c>
      <c r="C505" s="110">
        <v>0.0009817401136870353</v>
      </c>
      <c r="D505" s="83" t="s">
        <v>3175</v>
      </c>
      <c r="E505" s="83" t="b">
        <v>0</v>
      </c>
      <c r="F505" s="83" t="b">
        <v>0</v>
      </c>
      <c r="G505" s="83" t="b">
        <v>0</v>
      </c>
    </row>
    <row r="506" spans="1:7" ht="15">
      <c r="A506" s="84" t="s">
        <v>2622</v>
      </c>
      <c r="B506" s="83">
        <v>3</v>
      </c>
      <c r="C506" s="110">
        <v>0.0009817401136870353</v>
      </c>
      <c r="D506" s="83" t="s">
        <v>3175</v>
      </c>
      <c r="E506" s="83" t="b">
        <v>0</v>
      </c>
      <c r="F506" s="83" t="b">
        <v>0</v>
      </c>
      <c r="G506" s="83" t="b">
        <v>0</v>
      </c>
    </row>
    <row r="507" spans="1:7" ht="15">
      <c r="A507" s="84" t="s">
        <v>2623</v>
      </c>
      <c r="B507" s="83">
        <v>3</v>
      </c>
      <c r="C507" s="110">
        <v>0.0009817401136870353</v>
      </c>
      <c r="D507" s="83" t="s">
        <v>3175</v>
      </c>
      <c r="E507" s="83" t="b">
        <v>0</v>
      </c>
      <c r="F507" s="83" t="b">
        <v>0</v>
      </c>
      <c r="G507" s="83" t="b">
        <v>0</v>
      </c>
    </row>
    <row r="508" spans="1:7" ht="15">
      <c r="A508" s="84" t="s">
        <v>2624</v>
      </c>
      <c r="B508" s="83">
        <v>3</v>
      </c>
      <c r="C508" s="110">
        <v>0.0009817401136870353</v>
      </c>
      <c r="D508" s="83" t="s">
        <v>3175</v>
      </c>
      <c r="E508" s="83" t="b">
        <v>0</v>
      </c>
      <c r="F508" s="83" t="b">
        <v>0</v>
      </c>
      <c r="G508" s="83" t="b">
        <v>0</v>
      </c>
    </row>
    <row r="509" spans="1:7" ht="15">
      <c r="A509" s="84" t="s">
        <v>2625</v>
      </c>
      <c r="B509" s="83">
        <v>3</v>
      </c>
      <c r="C509" s="110">
        <v>0.0009817401136870353</v>
      </c>
      <c r="D509" s="83" t="s">
        <v>3175</v>
      </c>
      <c r="E509" s="83" t="b">
        <v>0</v>
      </c>
      <c r="F509" s="83" t="b">
        <v>0</v>
      </c>
      <c r="G509" s="83" t="b">
        <v>0</v>
      </c>
    </row>
    <row r="510" spans="1:7" ht="15">
      <c r="A510" s="84" t="s">
        <v>2626</v>
      </c>
      <c r="B510" s="83">
        <v>3</v>
      </c>
      <c r="C510" s="110">
        <v>0.0009817401136870353</v>
      </c>
      <c r="D510" s="83" t="s">
        <v>3175</v>
      </c>
      <c r="E510" s="83" t="b">
        <v>0</v>
      </c>
      <c r="F510" s="83" t="b">
        <v>0</v>
      </c>
      <c r="G510" s="83" t="b">
        <v>0</v>
      </c>
    </row>
    <row r="511" spans="1:7" ht="15">
      <c r="A511" s="84" t="s">
        <v>2627</v>
      </c>
      <c r="B511" s="83">
        <v>3</v>
      </c>
      <c r="C511" s="110">
        <v>0.0009817401136870353</v>
      </c>
      <c r="D511" s="83" t="s">
        <v>3175</v>
      </c>
      <c r="E511" s="83" t="b">
        <v>0</v>
      </c>
      <c r="F511" s="83" t="b">
        <v>0</v>
      </c>
      <c r="G511" s="83" t="b">
        <v>0</v>
      </c>
    </row>
    <row r="512" spans="1:7" ht="15">
      <c r="A512" s="84" t="s">
        <v>2628</v>
      </c>
      <c r="B512" s="83">
        <v>3</v>
      </c>
      <c r="C512" s="110">
        <v>0.0009817401136870353</v>
      </c>
      <c r="D512" s="83" t="s">
        <v>3175</v>
      </c>
      <c r="E512" s="83" t="b">
        <v>0</v>
      </c>
      <c r="F512" s="83" t="b">
        <v>0</v>
      </c>
      <c r="G512" s="83" t="b">
        <v>0</v>
      </c>
    </row>
    <row r="513" spans="1:7" ht="15">
      <c r="A513" s="84" t="s">
        <v>2629</v>
      </c>
      <c r="B513" s="83">
        <v>3</v>
      </c>
      <c r="C513" s="110">
        <v>0.0009817401136870353</v>
      </c>
      <c r="D513" s="83" t="s">
        <v>3175</v>
      </c>
      <c r="E513" s="83" t="b">
        <v>0</v>
      </c>
      <c r="F513" s="83" t="b">
        <v>0</v>
      </c>
      <c r="G513" s="83" t="b">
        <v>0</v>
      </c>
    </row>
    <row r="514" spans="1:7" ht="15">
      <c r="A514" s="84" t="s">
        <v>2630</v>
      </c>
      <c r="B514" s="83">
        <v>3</v>
      </c>
      <c r="C514" s="110">
        <v>0.0009817401136870353</v>
      </c>
      <c r="D514" s="83" t="s">
        <v>3175</v>
      </c>
      <c r="E514" s="83" t="b">
        <v>0</v>
      </c>
      <c r="F514" s="83" t="b">
        <v>0</v>
      </c>
      <c r="G514" s="83" t="b">
        <v>0</v>
      </c>
    </row>
    <row r="515" spans="1:7" ht="15">
      <c r="A515" s="84" t="s">
        <v>2631</v>
      </c>
      <c r="B515" s="83">
        <v>3</v>
      </c>
      <c r="C515" s="110">
        <v>0.0009817401136870353</v>
      </c>
      <c r="D515" s="83" t="s">
        <v>3175</v>
      </c>
      <c r="E515" s="83" t="b">
        <v>0</v>
      </c>
      <c r="F515" s="83" t="b">
        <v>0</v>
      </c>
      <c r="G515" s="83" t="b">
        <v>0</v>
      </c>
    </row>
    <row r="516" spans="1:7" ht="15">
      <c r="A516" s="84" t="s">
        <v>2632</v>
      </c>
      <c r="B516" s="83">
        <v>3</v>
      </c>
      <c r="C516" s="110">
        <v>0.0009817401136870353</v>
      </c>
      <c r="D516" s="83" t="s">
        <v>3175</v>
      </c>
      <c r="E516" s="83" t="b">
        <v>0</v>
      </c>
      <c r="F516" s="83" t="b">
        <v>0</v>
      </c>
      <c r="G516" s="83" t="b">
        <v>0</v>
      </c>
    </row>
    <row r="517" spans="1:7" ht="15">
      <c r="A517" s="84" t="s">
        <v>2633</v>
      </c>
      <c r="B517" s="83">
        <v>3</v>
      </c>
      <c r="C517" s="110">
        <v>0.0010564077853714232</v>
      </c>
      <c r="D517" s="83" t="s">
        <v>3175</v>
      </c>
      <c r="E517" s="83" t="b">
        <v>0</v>
      </c>
      <c r="F517" s="83" t="b">
        <v>0</v>
      </c>
      <c r="G517" s="83" t="b">
        <v>0</v>
      </c>
    </row>
    <row r="518" spans="1:7" ht="15">
      <c r="A518" s="84" t="s">
        <v>2634</v>
      </c>
      <c r="B518" s="83">
        <v>3</v>
      </c>
      <c r="C518" s="110">
        <v>0.0009817401136870353</v>
      </c>
      <c r="D518" s="83" t="s">
        <v>3175</v>
      </c>
      <c r="E518" s="83" t="b">
        <v>0</v>
      </c>
      <c r="F518" s="83" t="b">
        <v>0</v>
      </c>
      <c r="G518" s="83" t="b">
        <v>0</v>
      </c>
    </row>
    <row r="519" spans="1:7" ht="15">
      <c r="A519" s="84" t="s">
        <v>2635</v>
      </c>
      <c r="B519" s="83">
        <v>3</v>
      </c>
      <c r="C519" s="110">
        <v>0.0009817401136870353</v>
      </c>
      <c r="D519" s="83" t="s">
        <v>3175</v>
      </c>
      <c r="E519" s="83" t="b">
        <v>0</v>
      </c>
      <c r="F519" s="83" t="b">
        <v>0</v>
      </c>
      <c r="G519" s="83" t="b">
        <v>0</v>
      </c>
    </row>
    <row r="520" spans="1:7" ht="15">
      <c r="A520" s="84" t="s">
        <v>2636</v>
      </c>
      <c r="B520" s="83">
        <v>3</v>
      </c>
      <c r="C520" s="110">
        <v>0.0009817401136870353</v>
      </c>
      <c r="D520" s="83" t="s">
        <v>3175</v>
      </c>
      <c r="E520" s="83" t="b">
        <v>0</v>
      </c>
      <c r="F520" s="83" t="b">
        <v>0</v>
      </c>
      <c r="G520" s="83" t="b">
        <v>0</v>
      </c>
    </row>
    <row r="521" spans="1:7" ht="15">
      <c r="A521" s="84" t="s">
        <v>2637</v>
      </c>
      <c r="B521" s="83">
        <v>3</v>
      </c>
      <c r="C521" s="110">
        <v>0.0010564077853714232</v>
      </c>
      <c r="D521" s="83" t="s">
        <v>3175</v>
      </c>
      <c r="E521" s="83" t="b">
        <v>0</v>
      </c>
      <c r="F521" s="83" t="b">
        <v>0</v>
      </c>
      <c r="G521" s="83" t="b">
        <v>0</v>
      </c>
    </row>
    <row r="522" spans="1:7" ht="15">
      <c r="A522" s="84" t="s">
        <v>2638</v>
      </c>
      <c r="B522" s="83">
        <v>3</v>
      </c>
      <c r="C522" s="110">
        <v>0.0009817401136870353</v>
      </c>
      <c r="D522" s="83" t="s">
        <v>3175</v>
      </c>
      <c r="E522" s="83" t="b">
        <v>0</v>
      </c>
      <c r="F522" s="83" t="b">
        <v>0</v>
      </c>
      <c r="G522" s="83" t="b">
        <v>0</v>
      </c>
    </row>
    <row r="523" spans="1:7" ht="15">
      <c r="A523" s="84" t="s">
        <v>2639</v>
      </c>
      <c r="B523" s="83">
        <v>3</v>
      </c>
      <c r="C523" s="110">
        <v>0.0009817401136870353</v>
      </c>
      <c r="D523" s="83" t="s">
        <v>3175</v>
      </c>
      <c r="E523" s="83" t="b">
        <v>0</v>
      </c>
      <c r="F523" s="83" t="b">
        <v>1</v>
      </c>
      <c r="G523" s="83" t="b">
        <v>0</v>
      </c>
    </row>
    <row r="524" spans="1:7" ht="15">
      <c r="A524" s="84" t="s">
        <v>2640</v>
      </c>
      <c r="B524" s="83">
        <v>3</v>
      </c>
      <c r="C524" s="110">
        <v>0.0010564077853714232</v>
      </c>
      <c r="D524" s="83" t="s">
        <v>3175</v>
      </c>
      <c r="E524" s="83" t="b">
        <v>0</v>
      </c>
      <c r="F524" s="83" t="b">
        <v>0</v>
      </c>
      <c r="G524" s="83" t="b">
        <v>0</v>
      </c>
    </row>
    <row r="525" spans="1:7" ht="15">
      <c r="A525" s="84" t="s">
        <v>2641</v>
      </c>
      <c r="B525" s="83">
        <v>3</v>
      </c>
      <c r="C525" s="110">
        <v>0.0009817401136870353</v>
      </c>
      <c r="D525" s="83" t="s">
        <v>3175</v>
      </c>
      <c r="E525" s="83" t="b">
        <v>0</v>
      </c>
      <c r="F525" s="83" t="b">
        <v>0</v>
      </c>
      <c r="G525" s="83" t="b">
        <v>0</v>
      </c>
    </row>
    <row r="526" spans="1:7" ht="15">
      <c r="A526" s="84" t="s">
        <v>2642</v>
      </c>
      <c r="B526" s="83">
        <v>3</v>
      </c>
      <c r="C526" s="110">
        <v>0.0010564077853714232</v>
      </c>
      <c r="D526" s="83" t="s">
        <v>3175</v>
      </c>
      <c r="E526" s="83" t="b">
        <v>0</v>
      </c>
      <c r="F526" s="83" t="b">
        <v>0</v>
      </c>
      <c r="G526" s="83" t="b">
        <v>0</v>
      </c>
    </row>
    <row r="527" spans="1:7" ht="15">
      <c r="A527" s="84" t="s">
        <v>2643</v>
      </c>
      <c r="B527" s="83">
        <v>3</v>
      </c>
      <c r="C527" s="110">
        <v>0.0009817401136870353</v>
      </c>
      <c r="D527" s="83" t="s">
        <v>3175</v>
      </c>
      <c r="E527" s="83" t="b">
        <v>0</v>
      </c>
      <c r="F527" s="83" t="b">
        <v>0</v>
      </c>
      <c r="G527" s="83" t="b">
        <v>0</v>
      </c>
    </row>
    <row r="528" spans="1:7" ht="15">
      <c r="A528" s="84" t="s">
        <v>2644</v>
      </c>
      <c r="B528" s="83">
        <v>3</v>
      </c>
      <c r="C528" s="110">
        <v>0.0009817401136870353</v>
      </c>
      <c r="D528" s="83" t="s">
        <v>3175</v>
      </c>
      <c r="E528" s="83" t="b">
        <v>0</v>
      </c>
      <c r="F528" s="83" t="b">
        <v>0</v>
      </c>
      <c r="G528" s="83" t="b">
        <v>0</v>
      </c>
    </row>
    <row r="529" spans="1:7" ht="15">
      <c r="A529" s="84" t="s">
        <v>2645</v>
      </c>
      <c r="B529" s="83">
        <v>3</v>
      </c>
      <c r="C529" s="110">
        <v>0.0010564077853714232</v>
      </c>
      <c r="D529" s="83" t="s">
        <v>3175</v>
      </c>
      <c r="E529" s="83" t="b">
        <v>0</v>
      </c>
      <c r="F529" s="83" t="b">
        <v>0</v>
      </c>
      <c r="G529" s="83" t="b">
        <v>0</v>
      </c>
    </row>
    <row r="530" spans="1:7" ht="15">
      <c r="A530" s="84" t="s">
        <v>2646</v>
      </c>
      <c r="B530" s="83">
        <v>3</v>
      </c>
      <c r="C530" s="110">
        <v>0.0010564077853714232</v>
      </c>
      <c r="D530" s="83" t="s">
        <v>3175</v>
      </c>
      <c r="E530" s="83" t="b">
        <v>0</v>
      </c>
      <c r="F530" s="83" t="b">
        <v>1</v>
      </c>
      <c r="G530" s="83" t="b">
        <v>0</v>
      </c>
    </row>
    <row r="531" spans="1:7" ht="15">
      <c r="A531" s="84" t="s">
        <v>2647</v>
      </c>
      <c r="B531" s="83">
        <v>3</v>
      </c>
      <c r="C531" s="110">
        <v>0.0009817401136870353</v>
      </c>
      <c r="D531" s="83" t="s">
        <v>3175</v>
      </c>
      <c r="E531" s="83" t="b">
        <v>0</v>
      </c>
      <c r="F531" s="83" t="b">
        <v>0</v>
      </c>
      <c r="G531" s="83" t="b">
        <v>0</v>
      </c>
    </row>
    <row r="532" spans="1:7" ht="15">
      <c r="A532" s="84" t="s">
        <v>2648</v>
      </c>
      <c r="B532" s="83">
        <v>3</v>
      </c>
      <c r="C532" s="110">
        <v>0.0009817401136870353</v>
      </c>
      <c r="D532" s="83" t="s">
        <v>3175</v>
      </c>
      <c r="E532" s="83" t="b">
        <v>0</v>
      </c>
      <c r="F532" s="83" t="b">
        <v>0</v>
      </c>
      <c r="G532" s="83" t="b">
        <v>0</v>
      </c>
    </row>
    <row r="533" spans="1:7" ht="15">
      <c r="A533" s="84" t="s">
        <v>2649</v>
      </c>
      <c r="B533" s="83">
        <v>3</v>
      </c>
      <c r="C533" s="110">
        <v>0.0009817401136870353</v>
      </c>
      <c r="D533" s="83" t="s">
        <v>3175</v>
      </c>
      <c r="E533" s="83" t="b">
        <v>0</v>
      </c>
      <c r="F533" s="83" t="b">
        <v>0</v>
      </c>
      <c r="G533" s="83" t="b">
        <v>0</v>
      </c>
    </row>
    <row r="534" spans="1:7" ht="15">
      <c r="A534" s="84" t="s">
        <v>2650</v>
      </c>
      <c r="B534" s="83">
        <v>3</v>
      </c>
      <c r="C534" s="110">
        <v>0.0009817401136870353</v>
      </c>
      <c r="D534" s="83" t="s">
        <v>3175</v>
      </c>
      <c r="E534" s="83" t="b">
        <v>0</v>
      </c>
      <c r="F534" s="83" t="b">
        <v>0</v>
      </c>
      <c r="G534" s="83" t="b">
        <v>0</v>
      </c>
    </row>
    <row r="535" spans="1:7" ht="15">
      <c r="A535" s="84" t="s">
        <v>2651</v>
      </c>
      <c r="B535" s="83">
        <v>3</v>
      </c>
      <c r="C535" s="110">
        <v>0.0009817401136870353</v>
      </c>
      <c r="D535" s="83" t="s">
        <v>3175</v>
      </c>
      <c r="E535" s="83" t="b">
        <v>0</v>
      </c>
      <c r="F535" s="83" t="b">
        <v>0</v>
      </c>
      <c r="G535" s="83" t="b">
        <v>0</v>
      </c>
    </row>
    <row r="536" spans="1:7" ht="15">
      <c r="A536" s="84" t="s">
        <v>2652</v>
      </c>
      <c r="B536" s="83">
        <v>3</v>
      </c>
      <c r="C536" s="110">
        <v>0.0009817401136870353</v>
      </c>
      <c r="D536" s="83" t="s">
        <v>3175</v>
      </c>
      <c r="E536" s="83" t="b">
        <v>0</v>
      </c>
      <c r="F536" s="83" t="b">
        <v>0</v>
      </c>
      <c r="G536" s="83" t="b">
        <v>0</v>
      </c>
    </row>
    <row r="537" spans="1:7" ht="15">
      <c r="A537" s="84" t="s">
        <v>2653</v>
      </c>
      <c r="B537" s="83">
        <v>3</v>
      </c>
      <c r="C537" s="110">
        <v>0.0009817401136870353</v>
      </c>
      <c r="D537" s="83" t="s">
        <v>3175</v>
      </c>
      <c r="E537" s="83" t="b">
        <v>0</v>
      </c>
      <c r="F537" s="83" t="b">
        <v>0</v>
      </c>
      <c r="G537" s="83" t="b">
        <v>0</v>
      </c>
    </row>
    <row r="538" spans="1:7" ht="15">
      <c r="A538" s="84" t="s">
        <v>2654</v>
      </c>
      <c r="B538" s="83">
        <v>3</v>
      </c>
      <c r="C538" s="110">
        <v>0.0009817401136870353</v>
      </c>
      <c r="D538" s="83" t="s">
        <v>3175</v>
      </c>
      <c r="E538" s="83" t="b">
        <v>0</v>
      </c>
      <c r="F538" s="83" t="b">
        <v>0</v>
      </c>
      <c r="G538" s="83" t="b">
        <v>0</v>
      </c>
    </row>
    <row r="539" spans="1:7" ht="15">
      <c r="A539" s="84" t="s">
        <v>2655</v>
      </c>
      <c r="B539" s="83">
        <v>3</v>
      </c>
      <c r="C539" s="110">
        <v>0.0010564077853714232</v>
      </c>
      <c r="D539" s="83" t="s">
        <v>3175</v>
      </c>
      <c r="E539" s="83" t="b">
        <v>0</v>
      </c>
      <c r="F539" s="83" t="b">
        <v>0</v>
      </c>
      <c r="G539" s="83" t="b">
        <v>0</v>
      </c>
    </row>
    <row r="540" spans="1:7" ht="15">
      <c r="A540" s="84" t="s">
        <v>2656</v>
      </c>
      <c r="B540" s="83">
        <v>3</v>
      </c>
      <c r="C540" s="110">
        <v>0.0009817401136870353</v>
      </c>
      <c r="D540" s="83" t="s">
        <v>3175</v>
      </c>
      <c r="E540" s="83" t="b">
        <v>0</v>
      </c>
      <c r="F540" s="83" t="b">
        <v>0</v>
      </c>
      <c r="G540" s="83" t="b">
        <v>0</v>
      </c>
    </row>
    <row r="541" spans="1:7" ht="15">
      <c r="A541" s="84" t="s">
        <v>2657</v>
      </c>
      <c r="B541" s="83">
        <v>3</v>
      </c>
      <c r="C541" s="110">
        <v>0.0009817401136870353</v>
      </c>
      <c r="D541" s="83" t="s">
        <v>3175</v>
      </c>
      <c r="E541" s="83" t="b">
        <v>0</v>
      </c>
      <c r="F541" s="83" t="b">
        <v>1</v>
      </c>
      <c r="G541" s="83" t="b">
        <v>0</v>
      </c>
    </row>
    <row r="542" spans="1:7" ht="15">
      <c r="A542" s="84" t="s">
        <v>2658</v>
      </c>
      <c r="B542" s="83">
        <v>3</v>
      </c>
      <c r="C542" s="110">
        <v>0.0009817401136870353</v>
      </c>
      <c r="D542" s="83" t="s">
        <v>3175</v>
      </c>
      <c r="E542" s="83" t="b">
        <v>0</v>
      </c>
      <c r="F542" s="83" t="b">
        <v>0</v>
      </c>
      <c r="G542" s="83" t="b">
        <v>0</v>
      </c>
    </row>
    <row r="543" spans="1:7" ht="15">
      <c r="A543" s="84" t="s">
        <v>2659</v>
      </c>
      <c r="B543" s="83">
        <v>3</v>
      </c>
      <c r="C543" s="110">
        <v>0.0009817401136870353</v>
      </c>
      <c r="D543" s="83" t="s">
        <v>3175</v>
      </c>
      <c r="E543" s="83" t="b">
        <v>0</v>
      </c>
      <c r="F543" s="83" t="b">
        <v>0</v>
      </c>
      <c r="G543" s="83" t="b">
        <v>0</v>
      </c>
    </row>
    <row r="544" spans="1:7" ht="15">
      <c r="A544" s="84" t="s">
        <v>2660</v>
      </c>
      <c r="B544" s="83">
        <v>3</v>
      </c>
      <c r="C544" s="110">
        <v>0.0010564077853714232</v>
      </c>
      <c r="D544" s="83" t="s">
        <v>3175</v>
      </c>
      <c r="E544" s="83" t="b">
        <v>1</v>
      </c>
      <c r="F544" s="83" t="b">
        <v>0</v>
      </c>
      <c r="G544" s="83" t="b">
        <v>0</v>
      </c>
    </row>
    <row r="545" spans="1:7" ht="15">
      <c r="A545" s="84" t="s">
        <v>2661</v>
      </c>
      <c r="B545" s="83">
        <v>3</v>
      </c>
      <c r="C545" s="110">
        <v>0.0010564077853714232</v>
      </c>
      <c r="D545" s="83" t="s">
        <v>3175</v>
      </c>
      <c r="E545" s="83" t="b">
        <v>0</v>
      </c>
      <c r="F545" s="83" t="b">
        <v>0</v>
      </c>
      <c r="G545" s="83" t="b">
        <v>0</v>
      </c>
    </row>
    <row r="546" spans="1:7" ht="15">
      <c r="A546" s="84" t="s">
        <v>2662</v>
      </c>
      <c r="B546" s="83">
        <v>3</v>
      </c>
      <c r="C546" s="110">
        <v>0.0009817401136870353</v>
      </c>
      <c r="D546" s="83" t="s">
        <v>3175</v>
      </c>
      <c r="E546" s="83" t="b">
        <v>0</v>
      </c>
      <c r="F546" s="83" t="b">
        <v>0</v>
      </c>
      <c r="G546" s="83" t="b">
        <v>0</v>
      </c>
    </row>
    <row r="547" spans="1:7" ht="15">
      <c r="A547" s="84" t="s">
        <v>2663</v>
      </c>
      <c r="B547" s="83">
        <v>3</v>
      </c>
      <c r="C547" s="110">
        <v>0.0009817401136870353</v>
      </c>
      <c r="D547" s="83" t="s">
        <v>3175</v>
      </c>
      <c r="E547" s="83" t="b">
        <v>0</v>
      </c>
      <c r="F547" s="83" t="b">
        <v>0</v>
      </c>
      <c r="G547" s="83" t="b">
        <v>0</v>
      </c>
    </row>
    <row r="548" spans="1:7" ht="15">
      <c r="A548" s="84" t="s">
        <v>2664</v>
      </c>
      <c r="B548" s="83">
        <v>3</v>
      </c>
      <c r="C548" s="110">
        <v>0.0009817401136870353</v>
      </c>
      <c r="D548" s="83" t="s">
        <v>3175</v>
      </c>
      <c r="E548" s="83" t="b">
        <v>0</v>
      </c>
      <c r="F548" s="83" t="b">
        <v>0</v>
      </c>
      <c r="G548" s="83" t="b">
        <v>0</v>
      </c>
    </row>
    <row r="549" spans="1:7" ht="15">
      <c r="A549" s="84" t="s">
        <v>2665</v>
      </c>
      <c r="B549" s="83">
        <v>3</v>
      </c>
      <c r="C549" s="110">
        <v>0.0009817401136870353</v>
      </c>
      <c r="D549" s="83" t="s">
        <v>3175</v>
      </c>
      <c r="E549" s="83" t="b">
        <v>0</v>
      </c>
      <c r="F549" s="83" t="b">
        <v>0</v>
      </c>
      <c r="G549" s="83" t="b">
        <v>0</v>
      </c>
    </row>
    <row r="550" spans="1:7" ht="15">
      <c r="A550" s="84" t="s">
        <v>2666</v>
      </c>
      <c r="B550" s="83">
        <v>3</v>
      </c>
      <c r="C550" s="110">
        <v>0.0009817401136870353</v>
      </c>
      <c r="D550" s="83" t="s">
        <v>3175</v>
      </c>
      <c r="E550" s="83" t="b">
        <v>0</v>
      </c>
      <c r="F550" s="83" t="b">
        <v>0</v>
      </c>
      <c r="G550" s="83" t="b">
        <v>0</v>
      </c>
    </row>
    <row r="551" spans="1:7" ht="15">
      <c r="A551" s="84" t="s">
        <v>2667</v>
      </c>
      <c r="B551" s="83">
        <v>3</v>
      </c>
      <c r="C551" s="110">
        <v>0.0010564077853714232</v>
      </c>
      <c r="D551" s="83" t="s">
        <v>3175</v>
      </c>
      <c r="E551" s="83" t="b">
        <v>0</v>
      </c>
      <c r="F551" s="83" t="b">
        <v>0</v>
      </c>
      <c r="G551" s="83" t="b">
        <v>0</v>
      </c>
    </row>
    <row r="552" spans="1:7" ht="15">
      <c r="A552" s="84" t="s">
        <v>2668</v>
      </c>
      <c r="B552" s="83">
        <v>3</v>
      </c>
      <c r="C552" s="110">
        <v>0.0010564077853714232</v>
      </c>
      <c r="D552" s="83" t="s">
        <v>3175</v>
      </c>
      <c r="E552" s="83" t="b">
        <v>0</v>
      </c>
      <c r="F552" s="83" t="b">
        <v>0</v>
      </c>
      <c r="G552" s="83" t="b">
        <v>0</v>
      </c>
    </row>
    <row r="553" spans="1:7" ht="15">
      <c r="A553" s="84" t="s">
        <v>2669</v>
      </c>
      <c r="B553" s="83">
        <v>3</v>
      </c>
      <c r="C553" s="110">
        <v>0.0009817401136870353</v>
      </c>
      <c r="D553" s="83" t="s">
        <v>3175</v>
      </c>
      <c r="E553" s="83" t="b">
        <v>0</v>
      </c>
      <c r="F553" s="83" t="b">
        <v>0</v>
      </c>
      <c r="G553" s="83" t="b">
        <v>0</v>
      </c>
    </row>
    <row r="554" spans="1:7" ht="15">
      <c r="A554" s="84" t="s">
        <v>2670</v>
      </c>
      <c r="B554" s="83">
        <v>3</v>
      </c>
      <c r="C554" s="110">
        <v>0.0009817401136870353</v>
      </c>
      <c r="D554" s="83" t="s">
        <v>3175</v>
      </c>
      <c r="E554" s="83" t="b">
        <v>0</v>
      </c>
      <c r="F554" s="83" t="b">
        <v>0</v>
      </c>
      <c r="G554" s="83" t="b">
        <v>0</v>
      </c>
    </row>
    <row r="555" spans="1:7" ht="15">
      <c r="A555" s="84" t="s">
        <v>2671</v>
      </c>
      <c r="B555" s="83">
        <v>3</v>
      </c>
      <c r="C555" s="110">
        <v>0.0009817401136870353</v>
      </c>
      <c r="D555" s="83" t="s">
        <v>3175</v>
      </c>
      <c r="E555" s="83" t="b">
        <v>0</v>
      </c>
      <c r="F555" s="83" t="b">
        <v>0</v>
      </c>
      <c r="G555" s="83" t="b">
        <v>0</v>
      </c>
    </row>
    <row r="556" spans="1:7" ht="15">
      <c r="A556" s="84" t="s">
        <v>2672</v>
      </c>
      <c r="B556" s="83">
        <v>3</v>
      </c>
      <c r="C556" s="110">
        <v>0.0009817401136870353</v>
      </c>
      <c r="D556" s="83" t="s">
        <v>3175</v>
      </c>
      <c r="E556" s="83" t="b">
        <v>0</v>
      </c>
      <c r="F556" s="83" t="b">
        <v>0</v>
      </c>
      <c r="G556" s="83" t="b">
        <v>0</v>
      </c>
    </row>
    <row r="557" spans="1:7" ht="15">
      <c r="A557" s="84" t="s">
        <v>2673</v>
      </c>
      <c r="B557" s="83">
        <v>3</v>
      </c>
      <c r="C557" s="110">
        <v>0.0009817401136870353</v>
      </c>
      <c r="D557" s="83" t="s">
        <v>3175</v>
      </c>
      <c r="E557" s="83" t="b">
        <v>0</v>
      </c>
      <c r="F557" s="83" t="b">
        <v>0</v>
      </c>
      <c r="G557" s="83" t="b">
        <v>0</v>
      </c>
    </row>
    <row r="558" spans="1:7" ht="15">
      <c r="A558" s="84" t="s">
        <v>2674</v>
      </c>
      <c r="B558" s="83">
        <v>3</v>
      </c>
      <c r="C558" s="110">
        <v>0.0009817401136870353</v>
      </c>
      <c r="D558" s="83" t="s">
        <v>3175</v>
      </c>
      <c r="E558" s="83" t="b">
        <v>0</v>
      </c>
      <c r="F558" s="83" t="b">
        <v>0</v>
      </c>
      <c r="G558" s="83" t="b">
        <v>0</v>
      </c>
    </row>
    <row r="559" spans="1:7" ht="15">
      <c r="A559" s="84" t="s">
        <v>2675</v>
      </c>
      <c r="B559" s="83">
        <v>3</v>
      </c>
      <c r="C559" s="110">
        <v>0.0009817401136870353</v>
      </c>
      <c r="D559" s="83" t="s">
        <v>3175</v>
      </c>
      <c r="E559" s="83" t="b">
        <v>0</v>
      </c>
      <c r="F559" s="83" t="b">
        <v>0</v>
      </c>
      <c r="G559" s="83" t="b">
        <v>0</v>
      </c>
    </row>
    <row r="560" spans="1:7" ht="15">
      <c r="A560" s="84" t="s">
        <v>2676</v>
      </c>
      <c r="B560" s="83">
        <v>3</v>
      </c>
      <c r="C560" s="110">
        <v>0.0009817401136870353</v>
      </c>
      <c r="D560" s="83" t="s">
        <v>3175</v>
      </c>
      <c r="E560" s="83" t="b">
        <v>0</v>
      </c>
      <c r="F560" s="83" t="b">
        <v>0</v>
      </c>
      <c r="G560" s="83" t="b">
        <v>0</v>
      </c>
    </row>
    <row r="561" spans="1:7" ht="15">
      <c r="A561" s="84" t="s">
        <v>2677</v>
      </c>
      <c r="B561" s="83">
        <v>3</v>
      </c>
      <c r="C561" s="110">
        <v>0.0009817401136870353</v>
      </c>
      <c r="D561" s="83" t="s">
        <v>3175</v>
      </c>
      <c r="E561" s="83" t="b">
        <v>0</v>
      </c>
      <c r="F561" s="83" t="b">
        <v>0</v>
      </c>
      <c r="G561" s="83" t="b">
        <v>0</v>
      </c>
    </row>
    <row r="562" spans="1:7" ht="15">
      <c r="A562" s="84" t="s">
        <v>2678</v>
      </c>
      <c r="B562" s="83">
        <v>3</v>
      </c>
      <c r="C562" s="110">
        <v>0.0009817401136870353</v>
      </c>
      <c r="D562" s="83" t="s">
        <v>3175</v>
      </c>
      <c r="E562" s="83" t="b">
        <v>0</v>
      </c>
      <c r="F562" s="83" t="b">
        <v>0</v>
      </c>
      <c r="G562" s="83" t="b">
        <v>0</v>
      </c>
    </row>
    <row r="563" spans="1:7" ht="15">
      <c r="A563" s="84" t="s">
        <v>2679</v>
      </c>
      <c r="B563" s="83">
        <v>3</v>
      </c>
      <c r="C563" s="110">
        <v>0.0009817401136870353</v>
      </c>
      <c r="D563" s="83" t="s">
        <v>3175</v>
      </c>
      <c r="E563" s="83" t="b">
        <v>0</v>
      </c>
      <c r="F563" s="83" t="b">
        <v>0</v>
      </c>
      <c r="G563" s="83" t="b">
        <v>0</v>
      </c>
    </row>
    <row r="564" spans="1:7" ht="15">
      <c r="A564" s="84" t="s">
        <v>2680</v>
      </c>
      <c r="B564" s="83">
        <v>3</v>
      </c>
      <c r="C564" s="110">
        <v>0.0009817401136870353</v>
      </c>
      <c r="D564" s="83" t="s">
        <v>3175</v>
      </c>
      <c r="E564" s="83" t="b">
        <v>0</v>
      </c>
      <c r="F564" s="83" t="b">
        <v>0</v>
      </c>
      <c r="G564" s="83" t="b">
        <v>0</v>
      </c>
    </row>
    <row r="565" spans="1:7" ht="15">
      <c r="A565" s="84" t="s">
        <v>2681</v>
      </c>
      <c r="B565" s="83">
        <v>3</v>
      </c>
      <c r="C565" s="110">
        <v>0.0009817401136870353</v>
      </c>
      <c r="D565" s="83" t="s">
        <v>3175</v>
      </c>
      <c r="E565" s="83" t="b">
        <v>0</v>
      </c>
      <c r="F565" s="83" t="b">
        <v>0</v>
      </c>
      <c r="G565" s="83" t="b">
        <v>0</v>
      </c>
    </row>
    <row r="566" spans="1:7" ht="15">
      <c r="A566" s="84" t="s">
        <v>2682</v>
      </c>
      <c r="B566" s="83">
        <v>3</v>
      </c>
      <c r="C566" s="110">
        <v>0.0010564077853714232</v>
      </c>
      <c r="D566" s="83" t="s">
        <v>3175</v>
      </c>
      <c r="E566" s="83" t="b">
        <v>0</v>
      </c>
      <c r="F566" s="83" t="b">
        <v>0</v>
      </c>
      <c r="G566" s="83" t="b">
        <v>0</v>
      </c>
    </row>
    <row r="567" spans="1:7" ht="15">
      <c r="A567" s="84" t="s">
        <v>2683</v>
      </c>
      <c r="B567" s="83">
        <v>3</v>
      </c>
      <c r="C567" s="110">
        <v>0.0009817401136870353</v>
      </c>
      <c r="D567" s="83" t="s">
        <v>3175</v>
      </c>
      <c r="E567" s="83" t="b">
        <v>0</v>
      </c>
      <c r="F567" s="83" t="b">
        <v>0</v>
      </c>
      <c r="G567" s="83" t="b">
        <v>0</v>
      </c>
    </row>
    <row r="568" spans="1:7" ht="15">
      <c r="A568" s="84" t="s">
        <v>2684</v>
      </c>
      <c r="B568" s="83">
        <v>3</v>
      </c>
      <c r="C568" s="110">
        <v>0.0010564077853714232</v>
      </c>
      <c r="D568" s="83" t="s">
        <v>3175</v>
      </c>
      <c r="E568" s="83" t="b">
        <v>0</v>
      </c>
      <c r="F568" s="83" t="b">
        <v>0</v>
      </c>
      <c r="G568" s="83" t="b">
        <v>0</v>
      </c>
    </row>
    <row r="569" spans="1:7" ht="15">
      <c r="A569" s="84" t="s">
        <v>2685</v>
      </c>
      <c r="B569" s="83">
        <v>3</v>
      </c>
      <c r="C569" s="110">
        <v>0.0009817401136870353</v>
      </c>
      <c r="D569" s="83" t="s">
        <v>3175</v>
      </c>
      <c r="E569" s="83" t="b">
        <v>0</v>
      </c>
      <c r="F569" s="83" t="b">
        <v>0</v>
      </c>
      <c r="G569" s="83" t="b">
        <v>0</v>
      </c>
    </row>
    <row r="570" spans="1:7" ht="15">
      <c r="A570" s="84" t="s">
        <v>2686</v>
      </c>
      <c r="B570" s="83">
        <v>3</v>
      </c>
      <c r="C570" s="110">
        <v>0.0011840530132148073</v>
      </c>
      <c r="D570" s="83" t="s">
        <v>3175</v>
      </c>
      <c r="E570" s="83" t="b">
        <v>0</v>
      </c>
      <c r="F570" s="83" t="b">
        <v>0</v>
      </c>
      <c r="G570" s="83" t="b">
        <v>0</v>
      </c>
    </row>
    <row r="571" spans="1:7" ht="15">
      <c r="A571" s="84" t="s">
        <v>2687</v>
      </c>
      <c r="B571" s="83">
        <v>3</v>
      </c>
      <c r="C571" s="110">
        <v>0.0009817401136870353</v>
      </c>
      <c r="D571" s="83" t="s">
        <v>3175</v>
      </c>
      <c r="E571" s="83" t="b">
        <v>0</v>
      </c>
      <c r="F571" s="83" t="b">
        <v>0</v>
      </c>
      <c r="G571" s="83" t="b">
        <v>0</v>
      </c>
    </row>
    <row r="572" spans="1:7" ht="15">
      <c r="A572" s="84" t="s">
        <v>2688</v>
      </c>
      <c r="B572" s="83">
        <v>3</v>
      </c>
      <c r="C572" s="110">
        <v>0.0010564077853714232</v>
      </c>
      <c r="D572" s="83" t="s">
        <v>3175</v>
      </c>
      <c r="E572" s="83" t="b">
        <v>0</v>
      </c>
      <c r="F572" s="83" t="b">
        <v>0</v>
      </c>
      <c r="G572" s="83" t="b">
        <v>0</v>
      </c>
    </row>
    <row r="573" spans="1:7" ht="15">
      <c r="A573" s="84" t="s">
        <v>2689</v>
      </c>
      <c r="B573" s="83">
        <v>3</v>
      </c>
      <c r="C573" s="110">
        <v>0.0009817401136870353</v>
      </c>
      <c r="D573" s="83" t="s">
        <v>3175</v>
      </c>
      <c r="E573" s="83" t="b">
        <v>0</v>
      </c>
      <c r="F573" s="83" t="b">
        <v>0</v>
      </c>
      <c r="G573" s="83" t="b">
        <v>0</v>
      </c>
    </row>
    <row r="574" spans="1:7" ht="15">
      <c r="A574" s="84" t="s">
        <v>2690</v>
      </c>
      <c r="B574" s="83">
        <v>3</v>
      </c>
      <c r="C574" s="110">
        <v>0.0011840530132148073</v>
      </c>
      <c r="D574" s="83" t="s">
        <v>3175</v>
      </c>
      <c r="E574" s="83" t="b">
        <v>0</v>
      </c>
      <c r="F574" s="83" t="b">
        <v>0</v>
      </c>
      <c r="G574" s="83" t="b">
        <v>0</v>
      </c>
    </row>
    <row r="575" spans="1:7" ht="15">
      <c r="A575" s="84" t="s">
        <v>2691</v>
      </c>
      <c r="B575" s="83">
        <v>3</v>
      </c>
      <c r="C575" s="110">
        <v>0.0010564077853714232</v>
      </c>
      <c r="D575" s="83" t="s">
        <v>3175</v>
      </c>
      <c r="E575" s="83" t="b">
        <v>0</v>
      </c>
      <c r="F575" s="83" t="b">
        <v>0</v>
      </c>
      <c r="G575" s="83" t="b">
        <v>0</v>
      </c>
    </row>
    <row r="576" spans="1:7" ht="15">
      <c r="A576" s="84" t="s">
        <v>2692</v>
      </c>
      <c r="B576" s="83">
        <v>3</v>
      </c>
      <c r="C576" s="110">
        <v>0.0009817401136870353</v>
      </c>
      <c r="D576" s="83" t="s">
        <v>3175</v>
      </c>
      <c r="E576" s="83" t="b">
        <v>0</v>
      </c>
      <c r="F576" s="83" t="b">
        <v>0</v>
      </c>
      <c r="G576" s="83" t="b">
        <v>0</v>
      </c>
    </row>
    <row r="577" spans="1:7" ht="15">
      <c r="A577" s="84" t="s">
        <v>2693</v>
      </c>
      <c r="B577" s="83">
        <v>3</v>
      </c>
      <c r="C577" s="110">
        <v>0.0009817401136870353</v>
      </c>
      <c r="D577" s="83" t="s">
        <v>3175</v>
      </c>
      <c r="E577" s="83" t="b">
        <v>1</v>
      </c>
      <c r="F577" s="83" t="b">
        <v>0</v>
      </c>
      <c r="G577" s="83" t="b">
        <v>0</v>
      </c>
    </row>
    <row r="578" spans="1:7" ht="15">
      <c r="A578" s="84" t="s">
        <v>2694</v>
      </c>
      <c r="B578" s="83">
        <v>3</v>
      </c>
      <c r="C578" s="110">
        <v>0.0009817401136870353</v>
      </c>
      <c r="D578" s="83" t="s">
        <v>3175</v>
      </c>
      <c r="E578" s="83" t="b">
        <v>0</v>
      </c>
      <c r="F578" s="83" t="b">
        <v>0</v>
      </c>
      <c r="G578" s="83" t="b">
        <v>0</v>
      </c>
    </row>
    <row r="579" spans="1:7" ht="15">
      <c r="A579" s="84" t="s">
        <v>2695</v>
      </c>
      <c r="B579" s="83">
        <v>3</v>
      </c>
      <c r="C579" s="110">
        <v>0.0009817401136870353</v>
      </c>
      <c r="D579" s="83" t="s">
        <v>3175</v>
      </c>
      <c r="E579" s="83" t="b">
        <v>0</v>
      </c>
      <c r="F579" s="83" t="b">
        <v>0</v>
      </c>
      <c r="G579" s="83" t="b">
        <v>0</v>
      </c>
    </row>
    <row r="580" spans="1:7" ht="15">
      <c r="A580" s="84" t="s">
        <v>2696</v>
      </c>
      <c r="B580" s="83">
        <v>3</v>
      </c>
      <c r="C580" s="110">
        <v>0.0009817401136870353</v>
      </c>
      <c r="D580" s="83" t="s">
        <v>3175</v>
      </c>
      <c r="E580" s="83" t="b">
        <v>0</v>
      </c>
      <c r="F580" s="83" t="b">
        <v>0</v>
      </c>
      <c r="G580" s="83" t="b">
        <v>0</v>
      </c>
    </row>
    <row r="581" spans="1:7" ht="15">
      <c r="A581" s="84" t="s">
        <v>2697</v>
      </c>
      <c r="B581" s="83">
        <v>3</v>
      </c>
      <c r="C581" s="110">
        <v>0.0009817401136870353</v>
      </c>
      <c r="D581" s="83" t="s">
        <v>3175</v>
      </c>
      <c r="E581" s="83" t="b">
        <v>0</v>
      </c>
      <c r="F581" s="83" t="b">
        <v>0</v>
      </c>
      <c r="G581" s="83" t="b">
        <v>0</v>
      </c>
    </row>
    <row r="582" spans="1:7" ht="15">
      <c r="A582" s="84" t="s">
        <v>2698</v>
      </c>
      <c r="B582" s="83">
        <v>3</v>
      </c>
      <c r="C582" s="110">
        <v>0.0009817401136870353</v>
      </c>
      <c r="D582" s="83" t="s">
        <v>3175</v>
      </c>
      <c r="E582" s="83" t="b">
        <v>0</v>
      </c>
      <c r="F582" s="83" t="b">
        <v>0</v>
      </c>
      <c r="G582" s="83" t="b">
        <v>0</v>
      </c>
    </row>
    <row r="583" spans="1:7" ht="15">
      <c r="A583" s="84" t="s">
        <v>2699</v>
      </c>
      <c r="B583" s="83">
        <v>3</v>
      </c>
      <c r="C583" s="110">
        <v>0.0010564077853714232</v>
      </c>
      <c r="D583" s="83" t="s">
        <v>3175</v>
      </c>
      <c r="E583" s="83" t="b">
        <v>0</v>
      </c>
      <c r="F583" s="83" t="b">
        <v>1</v>
      </c>
      <c r="G583" s="83" t="b">
        <v>0</v>
      </c>
    </row>
    <row r="584" spans="1:7" ht="15">
      <c r="A584" s="84" t="s">
        <v>2700</v>
      </c>
      <c r="B584" s="83">
        <v>3</v>
      </c>
      <c r="C584" s="110">
        <v>0.0009817401136870353</v>
      </c>
      <c r="D584" s="83" t="s">
        <v>3175</v>
      </c>
      <c r="E584" s="83" t="b">
        <v>0</v>
      </c>
      <c r="F584" s="83" t="b">
        <v>0</v>
      </c>
      <c r="G584" s="83" t="b">
        <v>0</v>
      </c>
    </row>
    <row r="585" spans="1:7" ht="15">
      <c r="A585" s="84" t="s">
        <v>2701</v>
      </c>
      <c r="B585" s="83">
        <v>3</v>
      </c>
      <c r="C585" s="110">
        <v>0.0011840530132148073</v>
      </c>
      <c r="D585" s="83" t="s">
        <v>3175</v>
      </c>
      <c r="E585" s="83" t="b">
        <v>0</v>
      </c>
      <c r="F585" s="83" t="b">
        <v>0</v>
      </c>
      <c r="G585" s="83" t="b">
        <v>0</v>
      </c>
    </row>
    <row r="586" spans="1:7" ht="15">
      <c r="A586" s="84" t="s">
        <v>2702</v>
      </c>
      <c r="B586" s="83">
        <v>3</v>
      </c>
      <c r="C586" s="110">
        <v>0.0010564077853714232</v>
      </c>
      <c r="D586" s="83" t="s">
        <v>3175</v>
      </c>
      <c r="E586" s="83" t="b">
        <v>0</v>
      </c>
      <c r="F586" s="83" t="b">
        <v>0</v>
      </c>
      <c r="G586" s="83" t="b">
        <v>0</v>
      </c>
    </row>
    <row r="587" spans="1:7" ht="15">
      <c r="A587" s="84" t="s">
        <v>2703</v>
      </c>
      <c r="B587" s="83">
        <v>3</v>
      </c>
      <c r="C587" s="110">
        <v>0.0009817401136870353</v>
      </c>
      <c r="D587" s="83" t="s">
        <v>3175</v>
      </c>
      <c r="E587" s="83" t="b">
        <v>0</v>
      </c>
      <c r="F587" s="83" t="b">
        <v>0</v>
      </c>
      <c r="G587" s="83" t="b">
        <v>0</v>
      </c>
    </row>
    <row r="588" spans="1:7" ht="15">
      <c r="A588" s="84" t="s">
        <v>2704</v>
      </c>
      <c r="B588" s="83">
        <v>3</v>
      </c>
      <c r="C588" s="110">
        <v>0.0009817401136870353</v>
      </c>
      <c r="D588" s="83" t="s">
        <v>3175</v>
      </c>
      <c r="E588" s="83" t="b">
        <v>0</v>
      </c>
      <c r="F588" s="83" t="b">
        <v>0</v>
      </c>
      <c r="G588" s="83" t="b">
        <v>0</v>
      </c>
    </row>
    <row r="589" spans="1:7" ht="15">
      <c r="A589" s="84" t="s">
        <v>2705</v>
      </c>
      <c r="B589" s="83">
        <v>3</v>
      </c>
      <c r="C589" s="110">
        <v>0.0009817401136870353</v>
      </c>
      <c r="D589" s="83" t="s">
        <v>3175</v>
      </c>
      <c r="E589" s="83" t="b">
        <v>0</v>
      </c>
      <c r="F589" s="83" t="b">
        <v>1</v>
      </c>
      <c r="G589" s="83" t="b">
        <v>0</v>
      </c>
    </row>
    <row r="590" spans="1:7" ht="15">
      <c r="A590" s="84" t="s">
        <v>2706</v>
      </c>
      <c r="B590" s="83">
        <v>3</v>
      </c>
      <c r="C590" s="110">
        <v>0.0009817401136870353</v>
      </c>
      <c r="D590" s="83" t="s">
        <v>3175</v>
      </c>
      <c r="E590" s="83" t="b">
        <v>0</v>
      </c>
      <c r="F590" s="83" t="b">
        <v>0</v>
      </c>
      <c r="G590" s="83" t="b">
        <v>0</v>
      </c>
    </row>
    <row r="591" spans="1:7" ht="15">
      <c r="A591" s="84" t="s">
        <v>2707</v>
      </c>
      <c r="B591" s="83">
        <v>3</v>
      </c>
      <c r="C591" s="110">
        <v>0.0009817401136870353</v>
      </c>
      <c r="D591" s="83" t="s">
        <v>3175</v>
      </c>
      <c r="E591" s="83" t="b">
        <v>1</v>
      </c>
      <c r="F591" s="83" t="b">
        <v>0</v>
      </c>
      <c r="G591" s="83" t="b">
        <v>0</v>
      </c>
    </row>
    <row r="592" spans="1:7" ht="15">
      <c r="A592" s="84" t="s">
        <v>2708</v>
      </c>
      <c r="B592" s="83">
        <v>3</v>
      </c>
      <c r="C592" s="110">
        <v>0.0009817401136870353</v>
      </c>
      <c r="D592" s="83" t="s">
        <v>3175</v>
      </c>
      <c r="E592" s="83" t="b">
        <v>0</v>
      </c>
      <c r="F592" s="83" t="b">
        <v>0</v>
      </c>
      <c r="G592" s="83" t="b">
        <v>0</v>
      </c>
    </row>
    <row r="593" spans="1:7" ht="15">
      <c r="A593" s="84" t="s">
        <v>2709</v>
      </c>
      <c r="B593" s="83">
        <v>3</v>
      </c>
      <c r="C593" s="110">
        <v>0.0010564077853714232</v>
      </c>
      <c r="D593" s="83" t="s">
        <v>3175</v>
      </c>
      <c r="E593" s="83" t="b">
        <v>0</v>
      </c>
      <c r="F593" s="83" t="b">
        <v>0</v>
      </c>
      <c r="G593" s="83" t="b">
        <v>0</v>
      </c>
    </row>
    <row r="594" spans="1:7" ht="15">
      <c r="A594" s="84" t="s">
        <v>2710</v>
      </c>
      <c r="B594" s="83">
        <v>3</v>
      </c>
      <c r="C594" s="110">
        <v>0.0009817401136870353</v>
      </c>
      <c r="D594" s="83" t="s">
        <v>3175</v>
      </c>
      <c r="E594" s="83" t="b">
        <v>0</v>
      </c>
      <c r="F594" s="83" t="b">
        <v>0</v>
      </c>
      <c r="G594" s="83" t="b">
        <v>0</v>
      </c>
    </row>
    <row r="595" spans="1:7" ht="15">
      <c r="A595" s="84" t="s">
        <v>2711</v>
      </c>
      <c r="B595" s="83">
        <v>3</v>
      </c>
      <c r="C595" s="110">
        <v>0.0009817401136870353</v>
      </c>
      <c r="D595" s="83" t="s">
        <v>3175</v>
      </c>
      <c r="E595" s="83" t="b">
        <v>0</v>
      </c>
      <c r="F595" s="83" t="b">
        <v>0</v>
      </c>
      <c r="G595" s="83" t="b">
        <v>0</v>
      </c>
    </row>
    <row r="596" spans="1:7" ht="15">
      <c r="A596" s="84" t="s">
        <v>2712</v>
      </c>
      <c r="B596" s="83">
        <v>3</v>
      </c>
      <c r="C596" s="110">
        <v>0.0009817401136870353</v>
      </c>
      <c r="D596" s="83" t="s">
        <v>3175</v>
      </c>
      <c r="E596" s="83" t="b">
        <v>0</v>
      </c>
      <c r="F596" s="83" t="b">
        <v>0</v>
      </c>
      <c r="G596" s="83" t="b">
        <v>0</v>
      </c>
    </row>
    <row r="597" spans="1:7" ht="15">
      <c r="A597" s="84" t="s">
        <v>2713</v>
      </c>
      <c r="B597" s="83">
        <v>3</v>
      </c>
      <c r="C597" s="110">
        <v>0.0009817401136870353</v>
      </c>
      <c r="D597" s="83" t="s">
        <v>3175</v>
      </c>
      <c r="E597" s="83" t="b">
        <v>0</v>
      </c>
      <c r="F597" s="83" t="b">
        <v>0</v>
      </c>
      <c r="G597" s="83" t="b">
        <v>0</v>
      </c>
    </row>
    <row r="598" spans="1:7" ht="15">
      <c r="A598" s="84" t="s">
        <v>2714</v>
      </c>
      <c r="B598" s="83">
        <v>3</v>
      </c>
      <c r="C598" s="110">
        <v>0.0009817401136870353</v>
      </c>
      <c r="D598" s="83" t="s">
        <v>3175</v>
      </c>
      <c r="E598" s="83" t="b">
        <v>0</v>
      </c>
      <c r="F598" s="83" t="b">
        <v>0</v>
      </c>
      <c r="G598" s="83" t="b">
        <v>0</v>
      </c>
    </row>
    <row r="599" spans="1:7" ht="15">
      <c r="A599" s="84" t="s">
        <v>2715</v>
      </c>
      <c r="B599" s="83">
        <v>3</v>
      </c>
      <c r="C599" s="110">
        <v>0.0009817401136870353</v>
      </c>
      <c r="D599" s="83" t="s">
        <v>3175</v>
      </c>
      <c r="E599" s="83" t="b">
        <v>0</v>
      </c>
      <c r="F599" s="83" t="b">
        <v>0</v>
      </c>
      <c r="G599" s="83" t="b">
        <v>0</v>
      </c>
    </row>
    <row r="600" spans="1:7" ht="15">
      <c r="A600" s="84" t="s">
        <v>2716</v>
      </c>
      <c r="B600" s="83">
        <v>3</v>
      </c>
      <c r="C600" s="110">
        <v>0.0009817401136870353</v>
      </c>
      <c r="D600" s="83" t="s">
        <v>3175</v>
      </c>
      <c r="E600" s="83" t="b">
        <v>0</v>
      </c>
      <c r="F600" s="83" t="b">
        <v>0</v>
      </c>
      <c r="G600" s="83" t="b">
        <v>0</v>
      </c>
    </row>
    <row r="601" spans="1:7" ht="15">
      <c r="A601" s="84" t="s">
        <v>2717</v>
      </c>
      <c r="B601" s="83">
        <v>3</v>
      </c>
      <c r="C601" s="110">
        <v>0.0009817401136870353</v>
      </c>
      <c r="D601" s="83" t="s">
        <v>3175</v>
      </c>
      <c r="E601" s="83" t="b">
        <v>0</v>
      </c>
      <c r="F601" s="83" t="b">
        <v>0</v>
      </c>
      <c r="G601" s="83" t="b">
        <v>0</v>
      </c>
    </row>
    <row r="602" spans="1:7" ht="15">
      <c r="A602" s="84" t="s">
        <v>2718</v>
      </c>
      <c r="B602" s="83">
        <v>3</v>
      </c>
      <c r="C602" s="110">
        <v>0.0010564077853714232</v>
      </c>
      <c r="D602" s="83" t="s">
        <v>3175</v>
      </c>
      <c r="E602" s="83" t="b">
        <v>0</v>
      </c>
      <c r="F602" s="83" t="b">
        <v>0</v>
      </c>
      <c r="G602" s="83" t="b">
        <v>0</v>
      </c>
    </row>
    <row r="603" spans="1:7" ht="15">
      <c r="A603" s="84" t="s">
        <v>2719</v>
      </c>
      <c r="B603" s="83">
        <v>3</v>
      </c>
      <c r="C603" s="110">
        <v>0.0010564077853714232</v>
      </c>
      <c r="D603" s="83" t="s">
        <v>3175</v>
      </c>
      <c r="E603" s="83" t="b">
        <v>0</v>
      </c>
      <c r="F603" s="83" t="b">
        <v>0</v>
      </c>
      <c r="G603" s="83" t="b">
        <v>0</v>
      </c>
    </row>
    <row r="604" spans="1:7" ht="15">
      <c r="A604" s="84" t="s">
        <v>2720</v>
      </c>
      <c r="B604" s="83">
        <v>3</v>
      </c>
      <c r="C604" s="110">
        <v>0.0010564077853714232</v>
      </c>
      <c r="D604" s="83" t="s">
        <v>3175</v>
      </c>
      <c r="E604" s="83" t="b">
        <v>0</v>
      </c>
      <c r="F604" s="83" t="b">
        <v>0</v>
      </c>
      <c r="G604" s="83" t="b">
        <v>0</v>
      </c>
    </row>
    <row r="605" spans="1:7" ht="15">
      <c r="A605" s="84" t="s">
        <v>2721</v>
      </c>
      <c r="B605" s="83">
        <v>3</v>
      </c>
      <c r="C605" s="110">
        <v>0.0011840530132148073</v>
      </c>
      <c r="D605" s="83" t="s">
        <v>3175</v>
      </c>
      <c r="E605" s="83" t="b">
        <v>0</v>
      </c>
      <c r="F605" s="83" t="b">
        <v>0</v>
      </c>
      <c r="G605" s="83" t="b">
        <v>0</v>
      </c>
    </row>
    <row r="606" spans="1:7" ht="15">
      <c r="A606" s="84" t="s">
        <v>2722</v>
      </c>
      <c r="B606" s="83">
        <v>3</v>
      </c>
      <c r="C606" s="110">
        <v>0.0011840530132148073</v>
      </c>
      <c r="D606" s="83" t="s">
        <v>3175</v>
      </c>
      <c r="E606" s="83" t="b">
        <v>1</v>
      </c>
      <c r="F606" s="83" t="b">
        <v>0</v>
      </c>
      <c r="G606" s="83" t="b">
        <v>0</v>
      </c>
    </row>
    <row r="607" spans="1:7" ht="15">
      <c r="A607" s="84" t="s">
        <v>2723</v>
      </c>
      <c r="B607" s="83">
        <v>3</v>
      </c>
      <c r="C607" s="110">
        <v>0.0009817401136870353</v>
      </c>
      <c r="D607" s="83" t="s">
        <v>3175</v>
      </c>
      <c r="E607" s="83" t="b">
        <v>0</v>
      </c>
      <c r="F607" s="83" t="b">
        <v>0</v>
      </c>
      <c r="G607" s="83" t="b">
        <v>0</v>
      </c>
    </row>
    <row r="608" spans="1:7" ht="15">
      <c r="A608" s="84" t="s">
        <v>2724</v>
      </c>
      <c r="B608" s="83">
        <v>3</v>
      </c>
      <c r="C608" s="110">
        <v>0.0010564077853714232</v>
      </c>
      <c r="D608" s="83" t="s">
        <v>3175</v>
      </c>
      <c r="E608" s="83" t="b">
        <v>0</v>
      </c>
      <c r="F608" s="83" t="b">
        <v>0</v>
      </c>
      <c r="G608" s="83" t="b">
        <v>0</v>
      </c>
    </row>
    <row r="609" spans="1:7" ht="15">
      <c r="A609" s="84" t="s">
        <v>2725</v>
      </c>
      <c r="B609" s="83">
        <v>3</v>
      </c>
      <c r="C609" s="110">
        <v>0.0009817401136870353</v>
      </c>
      <c r="D609" s="83" t="s">
        <v>3175</v>
      </c>
      <c r="E609" s="83" t="b">
        <v>0</v>
      </c>
      <c r="F609" s="83" t="b">
        <v>0</v>
      </c>
      <c r="G609" s="83" t="b">
        <v>0</v>
      </c>
    </row>
    <row r="610" spans="1:7" ht="15">
      <c r="A610" s="84" t="s">
        <v>2726</v>
      </c>
      <c r="B610" s="83">
        <v>3</v>
      </c>
      <c r="C610" s="110">
        <v>0.0009817401136870353</v>
      </c>
      <c r="D610" s="83" t="s">
        <v>3175</v>
      </c>
      <c r="E610" s="83" t="b">
        <v>0</v>
      </c>
      <c r="F610" s="83" t="b">
        <v>0</v>
      </c>
      <c r="G610" s="83" t="b">
        <v>0</v>
      </c>
    </row>
    <row r="611" spans="1:7" ht="15">
      <c r="A611" s="84" t="s">
        <v>2727</v>
      </c>
      <c r="B611" s="83">
        <v>3</v>
      </c>
      <c r="C611" s="110">
        <v>0.0010564077853714232</v>
      </c>
      <c r="D611" s="83" t="s">
        <v>3175</v>
      </c>
      <c r="E611" s="83" t="b">
        <v>0</v>
      </c>
      <c r="F611" s="83" t="b">
        <v>0</v>
      </c>
      <c r="G611" s="83" t="b">
        <v>0</v>
      </c>
    </row>
    <row r="612" spans="1:7" ht="15">
      <c r="A612" s="84" t="s">
        <v>2728</v>
      </c>
      <c r="B612" s="83">
        <v>3</v>
      </c>
      <c r="C612" s="110">
        <v>0.0009817401136870353</v>
      </c>
      <c r="D612" s="83" t="s">
        <v>3175</v>
      </c>
      <c r="E612" s="83" t="b">
        <v>0</v>
      </c>
      <c r="F612" s="83" t="b">
        <v>0</v>
      </c>
      <c r="G612" s="83" t="b">
        <v>0</v>
      </c>
    </row>
    <row r="613" spans="1:7" ht="15">
      <c r="A613" s="84" t="s">
        <v>2729</v>
      </c>
      <c r="B613" s="83">
        <v>2</v>
      </c>
      <c r="C613" s="110">
        <v>0.0007042718569142821</v>
      </c>
      <c r="D613" s="83" t="s">
        <v>3175</v>
      </c>
      <c r="E613" s="83" t="b">
        <v>0</v>
      </c>
      <c r="F613" s="83" t="b">
        <v>0</v>
      </c>
      <c r="G613" s="83" t="b">
        <v>0</v>
      </c>
    </row>
    <row r="614" spans="1:7" ht="15">
      <c r="A614" s="84" t="s">
        <v>2730</v>
      </c>
      <c r="B614" s="83">
        <v>2</v>
      </c>
      <c r="C614" s="110">
        <v>0.0007042718569142821</v>
      </c>
      <c r="D614" s="83" t="s">
        <v>3175</v>
      </c>
      <c r="E614" s="83" t="b">
        <v>0</v>
      </c>
      <c r="F614" s="83" t="b">
        <v>0</v>
      </c>
      <c r="G614" s="83" t="b">
        <v>0</v>
      </c>
    </row>
    <row r="615" spans="1:7" ht="15">
      <c r="A615" s="84" t="s">
        <v>2731</v>
      </c>
      <c r="B615" s="83">
        <v>2</v>
      </c>
      <c r="C615" s="110">
        <v>0.0007042718569142821</v>
      </c>
      <c r="D615" s="83" t="s">
        <v>3175</v>
      </c>
      <c r="E615" s="83" t="b">
        <v>0</v>
      </c>
      <c r="F615" s="83" t="b">
        <v>0</v>
      </c>
      <c r="G615" s="83" t="b">
        <v>0</v>
      </c>
    </row>
    <row r="616" spans="1:7" ht="15">
      <c r="A616" s="84" t="s">
        <v>2732</v>
      </c>
      <c r="B616" s="83">
        <v>2</v>
      </c>
      <c r="C616" s="110">
        <v>0.0007042718569142821</v>
      </c>
      <c r="D616" s="83" t="s">
        <v>3175</v>
      </c>
      <c r="E616" s="83" t="b">
        <v>0</v>
      </c>
      <c r="F616" s="83" t="b">
        <v>0</v>
      </c>
      <c r="G616" s="83" t="b">
        <v>0</v>
      </c>
    </row>
    <row r="617" spans="1:7" ht="15">
      <c r="A617" s="84" t="s">
        <v>2733</v>
      </c>
      <c r="B617" s="83">
        <v>2</v>
      </c>
      <c r="C617" s="110">
        <v>0.0007042718569142821</v>
      </c>
      <c r="D617" s="83" t="s">
        <v>3175</v>
      </c>
      <c r="E617" s="83" t="b">
        <v>0</v>
      </c>
      <c r="F617" s="83" t="b">
        <v>1</v>
      </c>
      <c r="G617" s="83" t="b">
        <v>0</v>
      </c>
    </row>
    <row r="618" spans="1:7" ht="15">
      <c r="A618" s="84" t="s">
        <v>2734</v>
      </c>
      <c r="B618" s="83">
        <v>2</v>
      </c>
      <c r="C618" s="110">
        <v>0.0007042718569142821</v>
      </c>
      <c r="D618" s="83" t="s">
        <v>3175</v>
      </c>
      <c r="E618" s="83" t="b">
        <v>0</v>
      </c>
      <c r="F618" s="83" t="b">
        <v>0</v>
      </c>
      <c r="G618" s="83" t="b">
        <v>0</v>
      </c>
    </row>
    <row r="619" spans="1:7" ht="15">
      <c r="A619" s="84" t="s">
        <v>2735</v>
      </c>
      <c r="B619" s="83">
        <v>2</v>
      </c>
      <c r="C619" s="110">
        <v>0.0007042718569142821</v>
      </c>
      <c r="D619" s="83" t="s">
        <v>3175</v>
      </c>
      <c r="E619" s="83" t="b">
        <v>0</v>
      </c>
      <c r="F619" s="83" t="b">
        <v>0</v>
      </c>
      <c r="G619" s="83" t="b">
        <v>0</v>
      </c>
    </row>
    <row r="620" spans="1:7" ht="15">
      <c r="A620" s="84" t="s">
        <v>2736</v>
      </c>
      <c r="B620" s="83">
        <v>2</v>
      </c>
      <c r="C620" s="110">
        <v>0.0007893686754765382</v>
      </c>
      <c r="D620" s="83" t="s">
        <v>3175</v>
      </c>
      <c r="E620" s="83" t="b">
        <v>0</v>
      </c>
      <c r="F620" s="83" t="b">
        <v>0</v>
      </c>
      <c r="G620" s="83" t="b">
        <v>0</v>
      </c>
    </row>
    <row r="621" spans="1:7" ht="15">
      <c r="A621" s="84" t="s">
        <v>2737</v>
      </c>
      <c r="B621" s="83">
        <v>2</v>
      </c>
      <c r="C621" s="110">
        <v>0.0007042718569142821</v>
      </c>
      <c r="D621" s="83" t="s">
        <v>3175</v>
      </c>
      <c r="E621" s="83" t="b">
        <v>0</v>
      </c>
      <c r="F621" s="83" t="b">
        <v>0</v>
      </c>
      <c r="G621" s="83" t="b">
        <v>0</v>
      </c>
    </row>
    <row r="622" spans="1:7" ht="15">
      <c r="A622" s="84" t="s">
        <v>2738</v>
      </c>
      <c r="B622" s="83">
        <v>2</v>
      </c>
      <c r="C622" s="110">
        <v>0.0007042718569142821</v>
      </c>
      <c r="D622" s="83" t="s">
        <v>3175</v>
      </c>
      <c r="E622" s="83" t="b">
        <v>0</v>
      </c>
      <c r="F622" s="83" t="b">
        <v>0</v>
      </c>
      <c r="G622" s="83" t="b">
        <v>0</v>
      </c>
    </row>
    <row r="623" spans="1:7" ht="15">
      <c r="A623" s="84" t="s">
        <v>2739</v>
      </c>
      <c r="B623" s="83">
        <v>2</v>
      </c>
      <c r="C623" s="110">
        <v>0.0007042718569142821</v>
      </c>
      <c r="D623" s="83" t="s">
        <v>3175</v>
      </c>
      <c r="E623" s="83" t="b">
        <v>0</v>
      </c>
      <c r="F623" s="83" t="b">
        <v>0</v>
      </c>
      <c r="G623" s="83" t="b">
        <v>0</v>
      </c>
    </row>
    <row r="624" spans="1:7" ht="15">
      <c r="A624" s="84" t="s">
        <v>2740</v>
      </c>
      <c r="B624" s="83">
        <v>2</v>
      </c>
      <c r="C624" s="110">
        <v>0.0007042718569142821</v>
      </c>
      <c r="D624" s="83" t="s">
        <v>3175</v>
      </c>
      <c r="E624" s="83" t="b">
        <v>0</v>
      </c>
      <c r="F624" s="83" t="b">
        <v>0</v>
      </c>
      <c r="G624" s="83" t="b">
        <v>0</v>
      </c>
    </row>
    <row r="625" spans="1:7" ht="15">
      <c r="A625" s="84" t="s">
        <v>2741</v>
      </c>
      <c r="B625" s="83">
        <v>2</v>
      </c>
      <c r="C625" s="110">
        <v>0.0007042718569142821</v>
      </c>
      <c r="D625" s="83" t="s">
        <v>3175</v>
      </c>
      <c r="E625" s="83" t="b">
        <v>0</v>
      </c>
      <c r="F625" s="83" t="b">
        <v>1</v>
      </c>
      <c r="G625" s="83" t="b">
        <v>0</v>
      </c>
    </row>
    <row r="626" spans="1:7" ht="15">
      <c r="A626" s="84" t="s">
        <v>2742</v>
      </c>
      <c r="B626" s="83">
        <v>2</v>
      </c>
      <c r="C626" s="110">
        <v>0.0007042718569142821</v>
      </c>
      <c r="D626" s="83" t="s">
        <v>3175</v>
      </c>
      <c r="E626" s="83" t="b">
        <v>0</v>
      </c>
      <c r="F626" s="83" t="b">
        <v>0</v>
      </c>
      <c r="G626" s="83" t="b">
        <v>0</v>
      </c>
    </row>
    <row r="627" spans="1:7" ht="15">
      <c r="A627" s="84" t="s">
        <v>2743</v>
      </c>
      <c r="B627" s="83">
        <v>2</v>
      </c>
      <c r="C627" s="110">
        <v>0.0007042718569142821</v>
      </c>
      <c r="D627" s="83" t="s">
        <v>3175</v>
      </c>
      <c r="E627" s="83" t="b">
        <v>0</v>
      </c>
      <c r="F627" s="83" t="b">
        <v>0</v>
      </c>
      <c r="G627" s="83" t="b">
        <v>0</v>
      </c>
    </row>
    <row r="628" spans="1:7" ht="15">
      <c r="A628" s="84" t="s">
        <v>2744</v>
      </c>
      <c r="B628" s="83">
        <v>2</v>
      </c>
      <c r="C628" s="110">
        <v>0.0007893686754765382</v>
      </c>
      <c r="D628" s="83" t="s">
        <v>3175</v>
      </c>
      <c r="E628" s="83" t="b">
        <v>0</v>
      </c>
      <c r="F628" s="83" t="b">
        <v>0</v>
      </c>
      <c r="G628" s="83" t="b">
        <v>0</v>
      </c>
    </row>
    <row r="629" spans="1:7" ht="15">
      <c r="A629" s="84" t="s">
        <v>2745</v>
      </c>
      <c r="B629" s="83">
        <v>2</v>
      </c>
      <c r="C629" s="110">
        <v>0.0007042718569142821</v>
      </c>
      <c r="D629" s="83" t="s">
        <v>3175</v>
      </c>
      <c r="E629" s="83" t="b">
        <v>0</v>
      </c>
      <c r="F629" s="83" t="b">
        <v>0</v>
      </c>
      <c r="G629" s="83" t="b">
        <v>0</v>
      </c>
    </row>
    <row r="630" spans="1:7" ht="15">
      <c r="A630" s="84" t="s">
        <v>2746</v>
      </c>
      <c r="B630" s="83">
        <v>2</v>
      </c>
      <c r="C630" s="110">
        <v>0.0007042718569142821</v>
      </c>
      <c r="D630" s="83" t="s">
        <v>3175</v>
      </c>
      <c r="E630" s="83" t="b">
        <v>0</v>
      </c>
      <c r="F630" s="83" t="b">
        <v>0</v>
      </c>
      <c r="G630" s="83" t="b">
        <v>0</v>
      </c>
    </row>
    <row r="631" spans="1:7" ht="15">
      <c r="A631" s="84" t="s">
        <v>2747</v>
      </c>
      <c r="B631" s="83">
        <v>2</v>
      </c>
      <c r="C631" s="110">
        <v>0.0007893686754765382</v>
      </c>
      <c r="D631" s="83" t="s">
        <v>3175</v>
      </c>
      <c r="E631" s="83" t="b">
        <v>0</v>
      </c>
      <c r="F631" s="83" t="b">
        <v>0</v>
      </c>
      <c r="G631" s="83" t="b">
        <v>0</v>
      </c>
    </row>
    <row r="632" spans="1:7" ht="15">
      <c r="A632" s="84" t="s">
        <v>2748</v>
      </c>
      <c r="B632" s="83">
        <v>2</v>
      </c>
      <c r="C632" s="110">
        <v>0.0007893686754765382</v>
      </c>
      <c r="D632" s="83" t="s">
        <v>3175</v>
      </c>
      <c r="E632" s="83" t="b">
        <v>0</v>
      </c>
      <c r="F632" s="83" t="b">
        <v>0</v>
      </c>
      <c r="G632" s="83" t="b">
        <v>0</v>
      </c>
    </row>
    <row r="633" spans="1:7" ht="15">
      <c r="A633" s="84" t="s">
        <v>2749</v>
      </c>
      <c r="B633" s="83">
        <v>2</v>
      </c>
      <c r="C633" s="110">
        <v>0.0007042718569142821</v>
      </c>
      <c r="D633" s="83" t="s">
        <v>3175</v>
      </c>
      <c r="E633" s="83" t="b">
        <v>0</v>
      </c>
      <c r="F633" s="83" t="b">
        <v>0</v>
      </c>
      <c r="G633" s="83" t="b">
        <v>0</v>
      </c>
    </row>
    <row r="634" spans="1:7" ht="15">
      <c r="A634" s="84" t="s">
        <v>2750</v>
      </c>
      <c r="B634" s="83">
        <v>2</v>
      </c>
      <c r="C634" s="110">
        <v>0.0007042718569142821</v>
      </c>
      <c r="D634" s="83" t="s">
        <v>3175</v>
      </c>
      <c r="E634" s="83" t="b">
        <v>0</v>
      </c>
      <c r="F634" s="83" t="b">
        <v>0</v>
      </c>
      <c r="G634" s="83" t="b">
        <v>0</v>
      </c>
    </row>
    <row r="635" spans="1:7" ht="15">
      <c r="A635" s="84" t="s">
        <v>2751</v>
      </c>
      <c r="B635" s="83">
        <v>2</v>
      </c>
      <c r="C635" s="110">
        <v>0.0007042718569142821</v>
      </c>
      <c r="D635" s="83" t="s">
        <v>3175</v>
      </c>
      <c r="E635" s="83" t="b">
        <v>0</v>
      </c>
      <c r="F635" s="83" t="b">
        <v>1</v>
      </c>
      <c r="G635" s="83" t="b">
        <v>0</v>
      </c>
    </row>
    <row r="636" spans="1:7" ht="15">
      <c r="A636" s="84" t="s">
        <v>2752</v>
      </c>
      <c r="B636" s="83">
        <v>2</v>
      </c>
      <c r="C636" s="110">
        <v>0.0007042718569142821</v>
      </c>
      <c r="D636" s="83" t="s">
        <v>3175</v>
      </c>
      <c r="E636" s="83" t="b">
        <v>0</v>
      </c>
      <c r="F636" s="83" t="b">
        <v>0</v>
      </c>
      <c r="G636" s="83" t="b">
        <v>0</v>
      </c>
    </row>
    <row r="637" spans="1:7" ht="15">
      <c r="A637" s="84" t="s">
        <v>2753</v>
      </c>
      <c r="B637" s="83">
        <v>2</v>
      </c>
      <c r="C637" s="110">
        <v>0.0007042718569142821</v>
      </c>
      <c r="D637" s="83" t="s">
        <v>3175</v>
      </c>
      <c r="E637" s="83" t="b">
        <v>0</v>
      </c>
      <c r="F637" s="83" t="b">
        <v>0</v>
      </c>
      <c r="G637" s="83" t="b">
        <v>0</v>
      </c>
    </row>
    <row r="638" spans="1:7" ht="15">
      <c r="A638" s="84" t="s">
        <v>2754</v>
      </c>
      <c r="B638" s="83">
        <v>2</v>
      </c>
      <c r="C638" s="110">
        <v>0.0007042718569142821</v>
      </c>
      <c r="D638" s="83" t="s">
        <v>3175</v>
      </c>
      <c r="E638" s="83" t="b">
        <v>0</v>
      </c>
      <c r="F638" s="83" t="b">
        <v>0</v>
      </c>
      <c r="G638" s="83" t="b">
        <v>0</v>
      </c>
    </row>
    <row r="639" spans="1:7" ht="15">
      <c r="A639" s="84" t="s">
        <v>2755</v>
      </c>
      <c r="B639" s="83">
        <v>2</v>
      </c>
      <c r="C639" s="110">
        <v>0.0007042718569142821</v>
      </c>
      <c r="D639" s="83" t="s">
        <v>3175</v>
      </c>
      <c r="E639" s="83" t="b">
        <v>0</v>
      </c>
      <c r="F639" s="83" t="b">
        <v>0</v>
      </c>
      <c r="G639" s="83" t="b">
        <v>0</v>
      </c>
    </row>
    <row r="640" spans="1:7" ht="15">
      <c r="A640" s="84" t="s">
        <v>2756</v>
      </c>
      <c r="B640" s="83">
        <v>2</v>
      </c>
      <c r="C640" s="110">
        <v>0.0007042718569142821</v>
      </c>
      <c r="D640" s="83" t="s">
        <v>3175</v>
      </c>
      <c r="E640" s="83" t="b">
        <v>0</v>
      </c>
      <c r="F640" s="83" t="b">
        <v>0</v>
      </c>
      <c r="G640" s="83" t="b">
        <v>0</v>
      </c>
    </row>
    <row r="641" spans="1:7" ht="15">
      <c r="A641" s="84" t="s">
        <v>2757</v>
      </c>
      <c r="B641" s="83">
        <v>2</v>
      </c>
      <c r="C641" s="110">
        <v>0.0007042718569142821</v>
      </c>
      <c r="D641" s="83" t="s">
        <v>3175</v>
      </c>
      <c r="E641" s="83" t="b">
        <v>0</v>
      </c>
      <c r="F641" s="83" t="b">
        <v>0</v>
      </c>
      <c r="G641" s="83" t="b">
        <v>0</v>
      </c>
    </row>
    <row r="642" spans="1:7" ht="15">
      <c r="A642" s="84" t="s">
        <v>2758</v>
      </c>
      <c r="B642" s="83">
        <v>2</v>
      </c>
      <c r="C642" s="110">
        <v>0.0007042718569142821</v>
      </c>
      <c r="D642" s="83" t="s">
        <v>3175</v>
      </c>
      <c r="E642" s="83" t="b">
        <v>0</v>
      </c>
      <c r="F642" s="83" t="b">
        <v>0</v>
      </c>
      <c r="G642" s="83" t="b">
        <v>0</v>
      </c>
    </row>
    <row r="643" spans="1:7" ht="15">
      <c r="A643" s="84" t="s">
        <v>2759</v>
      </c>
      <c r="B643" s="83">
        <v>2</v>
      </c>
      <c r="C643" s="110">
        <v>0.0007042718569142821</v>
      </c>
      <c r="D643" s="83" t="s">
        <v>3175</v>
      </c>
      <c r="E643" s="83" t="b">
        <v>0</v>
      </c>
      <c r="F643" s="83" t="b">
        <v>0</v>
      </c>
      <c r="G643" s="83" t="b">
        <v>0</v>
      </c>
    </row>
    <row r="644" spans="1:7" ht="15">
      <c r="A644" s="84" t="s">
        <v>2760</v>
      </c>
      <c r="B644" s="83">
        <v>2</v>
      </c>
      <c r="C644" s="110">
        <v>0.0007042718569142821</v>
      </c>
      <c r="D644" s="83" t="s">
        <v>3175</v>
      </c>
      <c r="E644" s="83" t="b">
        <v>0</v>
      </c>
      <c r="F644" s="83" t="b">
        <v>1</v>
      </c>
      <c r="G644" s="83" t="b">
        <v>0</v>
      </c>
    </row>
    <row r="645" spans="1:7" ht="15">
      <c r="A645" s="84" t="s">
        <v>2761</v>
      </c>
      <c r="B645" s="83">
        <v>2</v>
      </c>
      <c r="C645" s="110">
        <v>0.0007042718569142821</v>
      </c>
      <c r="D645" s="83" t="s">
        <v>3175</v>
      </c>
      <c r="E645" s="83" t="b">
        <v>0</v>
      </c>
      <c r="F645" s="83" t="b">
        <v>0</v>
      </c>
      <c r="G645" s="83" t="b">
        <v>0</v>
      </c>
    </row>
    <row r="646" spans="1:7" ht="15">
      <c r="A646" s="84" t="s">
        <v>2762</v>
      </c>
      <c r="B646" s="83">
        <v>2</v>
      </c>
      <c r="C646" s="110">
        <v>0.0007042718569142821</v>
      </c>
      <c r="D646" s="83" t="s">
        <v>3175</v>
      </c>
      <c r="E646" s="83" t="b">
        <v>0</v>
      </c>
      <c r="F646" s="83" t="b">
        <v>0</v>
      </c>
      <c r="G646" s="83" t="b">
        <v>0</v>
      </c>
    </row>
    <row r="647" spans="1:7" ht="15">
      <c r="A647" s="84" t="s">
        <v>2763</v>
      </c>
      <c r="B647" s="83">
        <v>2</v>
      </c>
      <c r="C647" s="110">
        <v>0.0007042718569142821</v>
      </c>
      <c r="D647" s="83" t="s">
        <v>3175</v>
      </c>
      <c r="E647" s="83" t="b">
        <v>0</v>
      </c>
      <c r="F647" s="83" t="b">
        <v>0</v>
      </c>
      <c r="G647" s="83" t="b">
        <v>0</v>
      </c>
    </row>
    <row r="648" spans="1:7" ht="15">
      <c r="A648" s="84" t="s">
        <v>2764</v>
      </c>
      <c r="B648" s="83">
        <v>2</v>
      </c>
      <c r="C648" s="110">
        <v>0.0007042718569142821</v>
      </c>
      <c r="D648" s="83" t="s">
        <v>3175</v>
      </c>
      <c r="E648" s="83" t="b">
        <v>0</v>
      </c>
      <c r="F648" s="83" t="b">
        <v>0</v>
      </c>
      <c r="G648" s="83" t="b">
        <v>0</v>
      </c>
    </row>
    <row r="649" spans="1:7" ht="15">
      <c r="A649" s="84" t="s">
        <v>2765</v>
      </c>
      <c r="B649" s="83">
        <v>2</v>
      </c>
      <c r="C649" s="110">
        <v>0.0007042718569142821</v>
      </c>
      <c r="D649" s="83" t="s">
        <v>3175</v>
      </c>
      <c r="E649" s="83" t="b">
        <v>0</v>
      </c>
      <c r="F649" s="83" t="b">
        <v>0</v>
      </c>
      <c r="G649" s="83" t="b">
        <v>0</v>
      </c>
    </row>
    <row r="650" spans="1:7" ht="15">
      <c r="A650" s="84" t="s">
        <v>2766</v>
      </c>
      <c r="B650" s="83">
        <v>2</v>
      </c>
      <c r="C650" s="110">
        <v>0.0007042718569142821</v>
      </c>
      <c r="D650" s="83" t="s">
        <v>3175</v>
      </c>
      <c r="E650" s="83" t="b">
        <v>0</v>
      </c>
      <c r="F650" s="83" t="b">
        <v>1</v>
      </c>
      <c r="G650" s="83" t="b">
        <v>0</v>
      </c>
    </row>
    <row r="651" spans="1:7" ht="15">
      <c r="A651" s="84" t="s">
        <v>2767</v>
      </c>
      <c r="B651" s="83">
        <v>2</v>
      </c>
      <c r="C651" s="110">
        <v>0.0007042718569142821</v>
      </c>
      <c r="D651" s="83" t="s">
        <v>3175</v>
      </c>
      <c r="E651" s="83" t="b">
        <v>0</v>
      </c>
      <c r="F651" s="83" t="b">
        <v>0</v>
      </c>
      <c r="G651" s="83" t="b">
        <v>0</v>
      </c>
    </row>
    <row r="652" spans="1:7" ht="15">
      <c r="A652" s="84" t="s">
        <v>2768</v>
      </c>
      <c r="B652" s="83">
        <v>2</v>
      </c>
      <c r="C652" s="110">
        <v>0.0007893686754765382</v>
      </c>
      <c r="D652" s="83" t="s">
        <v>3175</v>
      </c>
      <c r="E652" s="83" t="b">
        <v>0</v>
      </c>
      <c r="F652" s="83" t="b">
        <v>0</v>
      </c>
      <c r="G652" s="83" t="b">
        <v>0</v>
      </c>
    </row>
    <row r="653" spans="1:7" ht="15">
      <c r="A653" s="84" t="s">
        <v>2769</v>
      </c>
      <c r="B653" s="83">
        <v>2</v>
      </c>
      <c r="C653" s="110">
        <v>0.0007042718569142821</v>
      </c>
      <c r="D653" s="83" t="s">
        <v>3175</v>
      </c>
      <c r="E653" s="83" t="b">
        <v>0</v>
      </c>
      <c r="F653" s="83" t="b">
        <v>0</v>
      </c>
      <c r="G653" s="83" t="b">
        <v>0</v>
      </c>
    </row>
    <row r="654" spans="1:7" ht="15">
      <c r="A654" s="84" t="s">
        <v>2770</v>
      </c>
      <c r="B654" s="83">
        <v>2</v>
      </c>
      <c r="C654" s="110">
        <v>0.0007042718569142821</v>
      </c>
      <c r="D654" s="83" t="s">
        <v>3175</v>
      </c>
      <c r="E654" s="83" t="b">
        <v>0</v>
      </c>
      <c r="F654" s="83" t="b">
        <v>0</v>
      </c>
      <c r="G654" s="83" t="b">
        <v>0</v>
      </c>
    </row>
    <row r="655" spans="1:7" ht="15">
      <c r="A655" s="84" t="s">
        <v>2771</v>
      </c>
      <c r="B655" s="83">
        <v>2</v>
      </c>
      <c r="C655" s="110">
        <v>0.0007893686754765382</v>
      </c>
      <c r="D655" s="83" t="s">
        <v>3175</v>
      </c>
      <c r="E655" s="83" t="b">
        <v>0</v>
      </c>
      <c r="F655" s="83" t="b">
        <v>0</v>
      </c>
      <c r="G655" s="83" t="b">
        <v>0</v>
      </c>
    </row>
    <row r="656" spans="1:7" ht="15">
      <c r="A656" s="84" t="s">
        <v>2772</v>
      </c>
      <c r="B656" s="83">
        <v>2</v>
      </c>
      <c r="C656" s="110">
        <v>0.0007042718569142821</v>
      </c>
      <c r="D656" s="83" t="s">
        <v>3175</v>
      </c>
      <c r="E656" s="83" t="b">
        <v>0</v>
      </c>
      <c r="F656" s="83" t="b">
        <v>0</v>
      </c>
      <c r="G656" s="83" t="b">
        <v>0</v>
      </c>
    </row>
    <row r="657" spans="1:7" ht="15">
      <c r="A657" s="84" t="s">
        <v>2773</v>
      </c>
      <c r="B657" s="83">
        <v>2</v>
      </c>
      <c r="C657" s="110">
        <v>0.0007042718569142821</v>
      </c>
      <c r="D657" s="83" t="s">
        <v>3175</v>
      </c>
      <c r="E657" s="83" t="b">
        <v>0</v>
      </c>
      <c r="F657" s="83" t="b">
        <v>1</v>
      </c>
      <c r="G657" s="83" t="b">
        <v>0</v>
      </c>
    </row>
    <row r="658" spans="1:7" ht="15">
      <c r="A658" s="84" t="s">
        <v>2774</v>
      </c>
      <c r="B658" s="83">
        <v>2</v>
      </c>
      <c r="C658" s="110">
        <v>0.0007042718569142821</v>
      </c>
      <c r="D658" s="83" t="s">
        <v>3175</v>
      </c>
      <c r="E658" s="83" t="b">
        <v>0</v>
      </c>
      <c r="F658" s="83" t="b">
        <v>0</v>
      </c>
      <c r="G658" s="83" t="b">
        <v>0</v>
      </c>
    </row>
    <row r="659" spans="1:7" ht="15">
      <c r="A659" s="84" t="s">
        <v>2775</v>
      </c>
      <c r="B659" s="83">
        <v>2</v>
      </c>
      <c r="C659" s="110">
        <v>0.0007042718569142821</v>
      </c>
      <c r="D659" s="83" t="s">
        <v>3175</v>
      </c>
      <c r="E659" s="83" t="b">
        <v>0</v>
      </c>
      <c r="F659" s="83" t="b">
        <v>0</v>
      </c>
      <c r="G659" s="83" t="b">
        <v>0</v>
      </c>
    </row>
    <row r="660" spans="1:7" ht="15">
      <c r="A660" s="84" t="s">
        <v>2776</v>
      </c>
      <c r="B660" s="83">
        <v>2</v>
      </c>
      <c r="C660" s="110">
        <v>0.0007042718569142821</v>
      </c>
      <c r="D660" s="83" t="s">
        <v>3175</v>
      </c>
      <c r="E660" s="83" t="b">
        <v>0</v>
      </c>
      <c r="F660" s="83" t="b">
        <v>0</v>
      </c>
      <c r="G660" s="83" t="b">
        <v>0</v>
      </c>
    </row>
    <row r="661" spans="1:7" ht="15">
      <c r="A661" s="84" t="s">
        <v>2777</v>
      </c>
      <c r="B661" s="83">
        <v>2</v>
      </c>
      <c r="C661" s="110">
        <v>0.0007042718569142821</v>
      </c>
      <c r="D661" s="83" t="s">
        <v>3175</v>
      </c>
      <c r="E661" s="83" t="b">
        <v>0</v>
      </c>
      <c r="F661" s="83" t="b">
        <v>0</v>
      </c>
      <c r="G661" s="83" t="b">
        <v>0</v>
      </c>
    </row>
    <row r="662" spans="1:7" ht="15">
      <c r="A662" s="84" t="s">
        <v>2778</v>
      </c>
      <c r="B662" s="83">
        <v>2</v>
      </c>
      <c r="C662" s="110">
        <v>0.0007042718569142821</v>
      </c>
      <c r="D662" s="83" t="s">
        <v>3175</v>
      </c>
      <c r="E662" s="83" t="b">
        <v>0</v>
      </c>
      <c r="F662" s="83" t="b">
        <v>0</v>
      </c>
      <c r="G662" s="83" t="b">
        <v>0</v>
      </c>
    </row>
    <row r="663" spans="1:7" ht="15">
      <c r="A663" s="84" t="s">
        <v>2779</v>
      </c>
      <c r="B663" s="83">
        <v>2</v>
      </c>
      <c r="C663" s="110">
        <v>0.0007893686754765382</v>
      </c>
      <c r="D663" s="83" t="s">
        <v>3175</v>
      </c>
      <c r="E663" s="83" t="b">
        <v>0</v>
      </c>
      <c r="F663" s="83" t="b">
        <v>0</v>
      </c>
      <c r="G663" s="83" t="b">
        <v>0</v>
      </c>
    </row>
    <row r="664" spans="1:7" ht="15">
      <c r="A664" s="84" t="s">
        <v>2780</v>
      </c>
      <c r="B664" s="83">
        <v>2</v>
      </c>
      <c r="C664" s="110">
        <v>0.0007042718569142821</v>
      </c>
      <c r="D664" s="83" t="s">
        <v>3175</v>
      </c>
      <c r="E664" s="83" t="b">
        <v>0</v>
      </c>
      <c r="F664" s="83" t="b">
        <v>0</v>
      </c>
      <c r="G664" s="83" t="b">
        <v>0</v>
      </c>
    </row>
    <row r="665" spans="1:7" ht="15">
      <c r="A665" s="84" t="s">
        <v>2781</v>
      </c>
      <c r="B665" s="83">
        <v>2</v>
      </c>
      <c r="C665" s="110">
        <v>0.0007042718569142821</v>
      </c>
      <c r="D665" s="83" t="s">
        <v>3175</v>
      </c>
      <c r="E665" s="83" t="b">
        <v>0</v>
      </c>
      <c r="F665" s="83" t="b">
        <v>0</v>
      </c>
      <c r="G665" s="83" t="b">
        <v>0</v>
      </c>
    </row>
    <row r="666" spans="1:7" ht="15">
      <c r="A666" s="84" t="s">
        <v>2782</v>
      </c>
      <c r="B666" s="83">
        <v>2</v>
      </c>
      <c r="C666" s="110">
        <v>0.0007042718569142821</v>
      </c>
      <c r="D666" s="83" t="s">
        <v>3175</v>
      </c>
      <c r="E666" s="83" t="b">
        <v>1</v>
      </c>
      <c r="F666" s="83" t="b">
        <v>0</v>
      </c>
      <c r="G666" s="83" t="b">
        <v>0</v>
      </c>
    </row>
    <row r="667" spans="1:7" ht="15">
      <c r="A667" s="84" t="s">
        <v>2783</v>
      </c>
      <c r="B667" s="83">
        <v>2</v>
      </c>
      <c r="C667" s="110">
        <v>0.0007042718569142821</v>
      </c>
      <c r="D667" s="83" t="s">
        <v>3175</v>
      </c>
      <c r="E667" s="83" t="b">
        <v>0</v>
      </c>
      <c r="F667" s="83" t="b">
        <v>1</v>
      </c>
      <c r="G667" s="83" t="b">
        <v>0</v>
      </c>
    </row>
    <row r="668" spans="1:7" ht="15">
      <c r="A668" s="84" t="s">
        <v>2784</v>
      </c>
      <c r="B668" s="83">
        <v>2</v>
      </c>
      <c r="C668" s="110">
        <v>0.0007042718569142821</v>
      </c>
      <c r="D668" s="83" t="s">
        <v>3175</v>
      </c>
      <c r="E668" s="83" t="b">
        <v>0</v>
      </c>
      <c r="F668" s="83" t="b">
        <v>0</v>
      </c>
      <c r="G668" s="83" t="b">
        <v>0</v>
      </c>
    </row>
    <row r="669" spans="1:7" ht="15">
      <c r="A669" s="84" t="s">
        <v>2785</v>
      </c>
      <c r="B669" s="83">
        <v>2</v>
      </c>
      <c r="C669" s="110">
        <v>0.0007042718569142821</v>
      </c>
      <c r="D669" s="83" t="s">
        <v>3175</v>
      </c>
      <c r="E669" s="83" t="b">
        <v>0</v>
      </c>
      <c r="F669" s="83" t="b">
        <v>0</v>
      </c>
      <c r="G669" s="83" t="b">
        <v>0</v>
      </c>
    </row>
    <row r="670" spans="1:7" ht="15">
      <c r="A670" s="84" t="s">
        <v>2786</v>
      </c>
      <c r="B670" s="83">
        <v>2</v>
      </c>
      <c r="C670" s="110">
        <v>0.0007042718569142821</v>
      </c>
      <c r="D670" s="83" t="s">
        <v>3175</v>
      </c>
      <c r="E670" s="83" t="b">
        <v>0</v>
      </c>
      <c r="F670" s="83" t="b">
        <v>1</v>
      </c>
      <c r="G670" s="83" t="b">
        <v>0</v>
      </c>
    </row>
    <row r="671" spans="1:7" ht="15">
      <c r="A671" s="84" t="s">
        <v>2787</v>
      </c>
      <c r="B671" s="83">
        <v>2</v>
      </c>
      <c r="C671" s="110">
        <v>0.0007042718569142821</v>
      </c>
      <c r="D671" s="83" t="s">
        <v>3175</v>
      </c>
      <c r="E671" s="83" t="b">
        <v>0</v>
      </c>
      <c r="F671" s="83" t="b">
        <v>0</v>
      </c>
      <c r="G671" s="83" t="b">
        <v>0</v>
      </c>
    </row>
    <row r="672" spans="1:7" ht="15">
      <c r="A672" s="84" t="s">
        <v>2788</v>
      </c>
      <c r="B672" s="83">
        <v>2</v>
      </c>
      <c r="C672" s="110">
        <v>0.0007042718569142821</v>
      </c>
      <c r="D672" s="83" t="s">
        <v>3175</v>
      </c>
      <c r="E672" s="83" t="b">
        <v>0</v>
      </c>
      <c r="F672" s="83" t="b">
        <v>0</v>
      </c>
      <c r="G672" s="83" t="b">
        <v>0</v>
      </c>
    </row>
    <row r="673" spans="1:7" ht="15">
      <c r="A673" s="84" t="s">
        <v>2789</v>
      </c>
      <c r="B673" s="83">
        <v>2</v>
      </c>
      <c r="C673" s="110">
        <v>0.0007042718569142821</v>
      </c>
      <c r="D673" s="83" t="s">
        <v>3175</v>
      </c>
      <c r="E673" s="83" t="b">
        <v>0</v>
      </c>
      <c r="F673" s="83" t="b">
        <v>0</v>
      </c>
      <c r="G673" s="83" t="b">
        <v>0</v>
      </c>
    </row>
    <row r="674" spans="1:7" ht="15">
      <c r="A674" s="84" t="s">
        <v>2790</v>
      </c>
      <c r="B674" s="83">
        <v>2</v>
      </c>
      <c r="C674" s="110">
        <v>0.0007042718569142821</v>
      </c>
      <c r="D674" s="83" t="s">
        <v>3175</v>
      </c>
      <c r="E674" s="83" t="b">
        <v>0</v>
      </c>
      <c r="F674" s="83" t="b">
        <v>0</v>
      </c>
      <c r="G674" s="83" t="b">
        <v>0</v>
      </c>
    </row>
    <row r="675" spans="1:7" ht="15">
      <c r="A675" s="84" t="s">
        <v>2791</v>
      </c>
      <c r="B675" s="83">
        <v>2</v>
      </c>
      <c r="C675" s="110">
        <v>0.0007042718569142821</v>
      </c>
      <c r="D675" s="83" t="s">
        <v>3175</v>
      </c>
      <c r="E675" s="83" t="b">
        <v>1</v>
      </c>
      <c r="F675" s="83" t="b">
        <v>0</v>
      </c>
      <c r="G675" s="83" t="b">
        <v>0</v>
      </c>
    </row>
    <row r="676" spans="1:7" ht="15">
      <c r="A676" s="84" t="s">
        <v>2792</v>
      </c>
      <c r="B676" s="83">
        <v>2</v>
      </c>
      <c r="C676" s="110">
        <v>0.0007042718569142821</v>
      </c>
      <c r="D676" s="83" t="s">
        <v>3175</v>
      </c>
      <c r="E676" s="83" t="b">
        <v>1</v>
      </c>
      <c r="F676" s="83" t="b">
        <v>0</v>
      </c>
      <c r="G676" s="83" t="b">
        <v>0</v>
      </c>
    </row>
    <row r="677" spans="1:7" ht="15">
      <c r="A677" s="84" t="s">
        <v>2793</v>
      </c>
      <c r="B677" s="83">
        <v>2</v>
      </c>
      <c r="C677" s="110">
        <v>0.0007042718569142821</v>
      </c>
      <c r="D677" s="83" t="s">
        <v>3175</v>
      </c>
      <c r="E677" s="83" t="b">
        <v>0</v>
      </c>
      <c r="F677" s="83" t="b">
        <v>0</v>
      </c>
      <c r="G677" s="83" t="b">
        <v>0</v>
      </c>
    </row>
    <row r="678" spans="1:7" ht="15">
      <c r="A678" s="84" t="s">
        <v>2794</v>
      </c>
      <c r="B678" s="83">
        <v>2</v>
      </c>
      <c r="C678" s="110">
        <v>0.0007893686754765382</v>
      </c>
      <c r="D678" s="83" t="s">
        <v>3175</v>
      </c>
      <c r="E678" s="83" t="b">
        <v>1</v>
      </c>
      <c r="F678" s="83" t="b">
        <v>0</v>
      </c>
      <c r="G678" s="83" t="b">
        <v>0</v>
      </c>
    </row>
    <row r="679" spans="1:7" ht="15">
      <c r="A679" s="84" t="s">
        <v>2795</v>
      </c>
      <c r="B679" s="83">
        <v>2</v>
      </c>
      <c r="C679" s="110">
        <v>0.0007042718569142821</v>
      </c>
      <c r="D679" s="83" t="s">
        <v>3175</v>
      </c>
      <c r="E679" s="83" t="b">
        <v>0</v>
      </c>
      <c r="F679" s="83" t="b">
        <v>0</v>
      </c>
      <c r="G679" s="83" t="b">
        <v>0</v>
      </c>
    </row>
    <row r="680" spans="1:7" ht="15">
      <c r="A680" s="84" t="s">
        <v>2796</v>
      </c>
      <c r="B680" s="83">
        <v>2</v>
      </c>
      <c r="C680" s="110">
        <v>0.0007042718569142821</v>
      </c>
      <c r="D680" s="83" t="s">
        <v>3175</v>
      </c>
      <c r="E680" s="83" t="b">
        <v>0</v>
      </c>
      <c r="F680" s="83" t="b">
        <v>0</v>
      </c>
      <c r="G680" s="83" t="b">
        <v>0</v>
      </c>
    </row>
    <row r="681" spans="1:7" ht="15">
      <c r="A681" s="84" t="s">
        <v>2797</v>
      </c>
      <c r="B681" s="83">
        <v>2</v>
      </c>
      <c r="C681" s="110">
        <v>0.0007893686754765382</v>
      </c>
      <c r="D681" s="83" t="s">
        <v>3175</v>
      </c>
      <c r="E681" s="83" t="b">
        <v>0</v>
      </c>
      <c r="F681" s="83" t="b">
        <v>0</v>
      </c>
      <c r="G681" s="83" t="b">
        <v>0</v>
      </c>
    </row>
    <row r="682" spans="1:7" ht="15">
      <c r="A682" s="84" t="s">
        <v>2798</v>
      </c>
      <c r="B682" s="83">
        <v>2</v>
      </c>
      <c r="C682" s="110">
        <v>0.0007042718569142821</v>
      </c>
      <c r="D682" s="83" t="s">
        <v>3175</v>
      </c>
      <c r="E682" s="83" t="b">
        <v>0</v>
      </c>
      <c r="F682" s="83" t="b">
        <v>0</v>
      </c>
      <c r="G682" s="83" t="b">
        <v>0</v>
      </c>
    </row>
    <row r="683" spans="1:7" ht="15">
      <c r="A683" s="84" t="s">
        <v>2799</v>
      </c>
      <c r="B683" s="83">
        <v>2</v>
      </c>
      <c r="C683" s="110">
        <v>0.0007042718569142821</v>
      </c>
      <c r="D683" s="83" t="s">
        <v>3175</v>
      </c>
      <c r="E683" s="83" t="b">
        <v>0</v>
      </c>
      <c r="F683" s="83" t="b">
        <v>0</v>
      </c>
      <c r="G683" s="83" t="b">
        <v>0</v>
      </c>
    </row>
    <row r="684" spans="1:7" ht="15">
      <c r="A684" s="84" t="s">
        <v>2800</v>
      </c>
      <c r="B684" s="83">
        <v>2</v>
      </c>
      <c r="C684" s="110">
        <v>0.0007893686754765382</v>
      </c>
      <c r="D684" s="83" t="s">
        <v>3175</v>
      </c>
      <c r="E684" s="83" t="b">
        <v>0</v>
      </c>
      <c r="F684" s="83" t="b">
        <v>1</v>
      </c>
      <c r="G684" s="83" t="b">
        <v>0</v>
      </c>
    </row>
    <row r="685" spans="1:7" ht="15">
      <c r="A685" s="84" t="s">
        <v>2801</v>
      </c>
      <c r="B685" s="83">
        <v>2</v>
      </c>
      <c r="C685" s="110">
        <v>0.0007042718569142821</v>
      </c>
      <c r="D685" s="83" t="s">
        <v>3175</v>
      </c>
      <c r="E685" s="83" t="b">
        <v>0</v>
      </c>
      <c r="F685" s="83" t="b">
        <v>1</v>
      </c>
      <c r="G685" s="83" t="b">
        <v>0</v>
      </c>
    </row>
    <row r="686" spans="1:7" ht="15">
      <c r="A686" s="84" t="s">
        <v>2802</v>
      </c>
      <c r="B686" s="83">
        <v>2</v>
      </c>
      <c r="C686" s="110">
        <v>0.0007042718569142821</v>
      </c>
      <c r="D686" s="83" t="s">
        <v>3175</v>
      </c>
      <c r="E686" s="83" t="b">
        <v>0</v>
      </c>
      <c r="F686" s="83" t="b">
        <v>1</v>
      </c>
      <c r="G686" s="83" t="b">
        <v>0</v>
      </c>
    </row>
    <row r="687" spans="1:7" ht="15">
      <c r="A687" s="84" t="s">
        <v>2803</v>
      </c>
      <c r="B687" s="83">
        <v>2</v>
      </c>
      <c r="C687" s="110">
        <v>0.0007042718569142821</v>
      </c>
      <c r="D687" s="83" t="s">
        <v>3175</v>
      </c>
      <c r="E687" s="83" t="b">
        <v>0</v>
      </c>
      <c r="F687" s="83" t="b">
        <v>1</v>
      </c>
      <c r="G687" s="83" t="b">
        <v>0</v>
      </c>
    </row>
    <row r="688" spans="1:7" ht="15">
      <c r="A688" s="84" t="s">
        <v>2804</v>
      </c>
      <c r="B688" s="83">
        <v>2</v>
      </c>
      <c r="C688" s="110">
        <v>0.0007042718569142821</v>
      </c>
      <c r="D688" s="83" t="s">
        <v>3175</v>
      </c>
      <c r="E688" s="83" t="b">
        <v>0</v>
      </c>
      <c r="F688" s="83" t="b">
        <v>0</v>
      </c>
      <c r="G688" s="83" t="b">
        <v>0</v>
      </c>
    </row>
    <row r="689" spans="1:7" ht="15">
      <c r="A689" s="84" t="s">
        <v>2805</v>
      </c>
      <c r="B689" s="83">
        <v>2</v>
      </c>
      <c r="C689" s="110">
        <v>0.0007042718569142821</v>
      </c>
      <c r="D689" s="83" t="s">
        <v>3175</v>
      </c>
      <c r="E689" s="83" t="b">
        <v>0</v>
      </c>
      <c r="F689" s="83" t="b">
        <v>0</v>
      </c>
      <c r="G689" s="83" t="b">
        <v>0</v>
      </c>
    </row>
    <row r="690" spans="1:7" ht="15">
      <c r="A690" s="84" t="s">
        <v>2806</v>
      </c>
      <c r="B690" s="83">
        <v>2</v>
      </c>
      <c r="C690" s="110">
        <v>0.0007042718569142821</v>
      </c>
      <c r="D690" s="83" t="s">
        <v>3175</v>
      </c>
      <c r="E690" s="83" t="b">
        <v>0</v>
      </c>
      <c r="F690" s="83" t="b">
        <v>0</v>
      </c>
      <c r="G690" s="83" t="b">
        <v>0</v>
      </c>
    </row>
    <row r="691" spans="1:7" ht="15">
      <c r="A691" s="84" t="s">
        <v>2807</v>
      </c>
      <c r="B691" s="83">
        <v>2</v>
      </c>
      <c r="C691" s="110">
        <v>0.0007893686754765382</v>
      </c>
      <c r="D691" s="83" t="s">
        <v>3175</v>
      </c>
      <c r="E691" s="83" t="b">
        <v>0</v>
      </c>
      <c r="F691" s="83" t="b">
        <v>0</v>
      </c>
      <c r="G691" s="83" t="b">
        <v>0</v>
      </c>
    </row>
    <row r="692" spans="1:7" ht="15">
      <c r="A692" s="84" t="s">
        <v>2808</v>
      </c>
      <c r="B692" s="83">
        <v>2</v>
      </c>
      <c r="C692" s="110">
        <v>0.0007893686754765382</v>
      </c>
      <c r="D692" s="83" t="s">
        <v>3175</v>
      </c>
      <c r="E692" s="83" t="b">
        <v>0</v>
      </c>
      <c r="F692" s="83" t="b">
        <v>0</v>
      </c>
      <c r="G692" s="83" t="b">
        <v>0</v>
      </c>
    </row>
    <row r="693" spans="1:7" ht="15">
      <c r="A693" s="84" t="s">
        <v>2809</v>
      </c>
      <c r="B693" s="83">
        <v>2</v>
      </c>
      <c r="C693" s="110">
        <v>0.0007893686754765382</v>
      </c>
      <c r="D693" s="83" t="s">
        <v>3175</v>
      </c>
      <c r="E693" s="83" t="b">
        <v>0</v>
      </c>
      <c r="F693" s="83" t="b">
        <v>0</v>
      </c>
      <c r="G693" s="83" t="b">
        <v>0</v>
      </c>
    </row>
    <row r="694" spans="1:7" ht="15">
      <c r="A694" s="84" t="s">
        <v>2810</v>
      </c>
      <c r="B694" s="83">
        <v>2</v>
      </c>
      <c r="C694" s="110">
        <v>0.0007042718569142821</v>
      </c>
      <c r="D694" s="83" t="s">
        <v>3175</v>
      </c>
      <c r="E694" s="83" t="b">
        <v>0</v>
      </c>
      <c r="F694" s="83" t="b">
        <v>0</v>
      </c>
      <c r="G694" s="83" t="b">
        <v>0</v>
      </c>
    </row>
    <row r="695" spans="1:7" ht="15">
      <c r="A695" s="84" t="s">
        <v>2811</v>
      </c>
      <c r="B695" s="83">
        <v>2</v>
      </c>
      <c r="C695" s="110">
        <v>0.0007042718569142821</v>
      </c>
      <c r="D695" s="83" t="s">
        <v>3175</v>
      </c>
      <c r="E695" s="83" t="b">
        <v>0</v>
      </c>
      <c r="F695" s="83" t="b">
        <v>0</v>
      </c>
      <c r="G695" s="83" t="b">
        <v>0</v>
      </c>
    </row>
    <row r="696" spans="1:7" ht="15">
      <c r="A696" s="84" t="s">
        <v>2812</v>
      </c>
      <c r="B696" s="83">
        <v>2</v>
      </c>
      <c r="C696" s="110">
        <v>0.0007042718569142821</v>
      </c>
      <c r="D696" s="83" t="s">
        <v>3175</v>
      </c>
      <c r="E696" s="83" t="b">
        <v>0</v>
      </c>
      <c r="F696" s="83" t="b">
        <v>0</v>
      </c>
      <c r="G696" s="83" t="b">
        <v>0</v>
      </c>
    </row>
    <row r="697" spans="1:7" ht="15">
      <c r="A697" s="84" t="s">
        <v>2813</v>
      </c>
      <c r="B697" s="83">
        <v>2</v>
      </c>
      <c r="C697" s="110">
        <v>0.0007042718569142821</v>
      </c>
      <c r="D697" s="83" t="s">
        <v>3175</v>
      </c>
      <c r="E697" s="83" t="b">
        <v>0</v>
      </c>
      <c r="F697" s="83" t="b">
        <v>0</v>
      </c>
      <c r="G697" s="83" t="b">
        <v>0</v>
      </c>
    </row>
    <row r="698" spans="1:7" ht="15">
      <c r="A698" s="84" t="s">
        <v>2814</v>
      </c>
      <c r="B698" s="83">
        <v>2</v>
      </c>
      <c r="C698" s="110">
        <v>0.0007042718569142821</v>
      </c>
      <c r="D698" s="83" t="s">
        <v>3175</v>
      </c>
      <c r="E698" s="83" t="b">
        <v>0</v>
      </c>
      <c r="F698" s="83" t="b">
        <v>0</v>
      </c>
      <c r="G698" s="83" t="b">
        <v>0</v>
      </c>
    </row>
    <row r="699" spans="1:7" ht="15">
      <c r="A699" s="84" t="s">
        <v>2815</v>
      </c>
      <c r="B699" s="83">
        <v>2</v>
      </c>
      <c r="C699" s="110">
        <v>0.0007893686754765382</v>
      </c>
      <c r="D699" s="83" t="s">
        <v>3175</v>
      </c>
      <c r="E699" s="83" t="b">
        <v>0</v>
      </c>
      <c r="F699" s="83" t="b">
        <v>0</v>
      </c>
      <c r="G699" s="83" t="b">
        <v>0</v>
      </c>
    </row>
    <row r="700" spans="1:7" ht="15">
      <c r="A700" s="84" t="s">
        <v>2816</v>
      </c>
      <c r="B700" s="83">
        <v>2</v>
      </c>
      <c r="C700" s="110">
        <v>0.0007042718569142821</v>
      </c>
      <c r="D700" s="83" t="s">
        <v>3175</v>
      </c>
      <c r="E700" s="83" t="b">
        <v>0</v>
      </c>
      <c r="F700" s="83" t="b">
        <v>0</v>
      </c>
      <c r="G700" s="83" t="b">
        <v>0</v>
      </c>
    </row>
    <row r="701" spans="1:7" ht="15">
      <c r="A701" s="84" t="s">
        <v>2817</v>
      </c>
      <c r="B701" s="83">
        <v>2</v>
      </c>
      <c r="C701" s="110">
        <v>0.0007042718569142821</v>
      </c>
      <c r="D701" s="83" t="s">
        <v>3175</v>
      </c>
      <c r="E701" s="83" t="b">
        <v>0</v>
      </c>
      <c r="F701" s="83" t="b">
        <v>0</v>
      </c>
      <c r="G701" s="83" t="b">
        <v>0</v>
      </c>
    </row>
    <row r="702" spans="1:7" ht="15">
      <c r="A702" s="84" t="s">
        <v>2818</v>
      </c>
      <c r="B702" s="83">
        <v>2</v>
      </c>
      <c r="C702" s="110">
        <v>0.0007042718569142821</v>
      </c>
      <c r="D702" s="83" t="s">
        <v>3175</v>
      </c>
      <c r="E702" s="83" t="b">
        <v>0</v>
      </c>
      <c r="F702" s="83" t="b">
        <v>0</v>
      </c>
      <c r="G702" s="83" t="b">
        <v>0</v>
      </c>
    </row>
    <row r="703" spans="1:7" ht="15">
      <c r="A703" s="84" t="s">
        <v>2819</v>
      </c>
      <c r="B703" s="83">
        <v>2</v>
      </c>
      <c r="C703" s="110">
        <v>0.0007042718569142821</v>
      </c>
      <c r="D703" s="83" t="s">
        <v>3175</v>
      </c>
      <c r="E703" s="83" t="b">
        <v>0</v>
      </c>
      <c r="F703" s="83" t="b">
        <v>0</v>
      </c>
      <c r="G703" s="83" t="b">
        <v>0</v>
      </c>
    </row>
    <row r="704" spans="1:7" ht="15">
      <c r="A704" s="84" t="s">
        <v>2820</v>
      </c>
      <c r="B704" s="83">
        <v>2</v>
      </c>
      <c r="C704" s="110">
        <v>0.0007042718569142821</v>
      </c>
      <c r="D704" s="83" t="s">
        <v>3175</v>
      </c>
      <c r="E704" s="83" t="b">
        <v>0</v>
      </c>
      <c r="F704" s="83" t="b">
        <v>1</v>
      </c>
      <c r="G704" s="83" t="b">
        <v>0</v>
      </c>
    </row>
    <row r="705" spans="1:7" ht="15">
      <c r="A705" s="84" t="s">
        <v>2821</v>
      </c>
      <c r="B705" s="83">
        <v>2</v>
      </c>
      <c r="C705" s="110">
        <v>0.0007042718569142821</v>
      </c>
      <c r="D705" s="83" t="s">
        <v>3175</v>
      </c>
      <c r="E705" s="83" t="b">
        <v>1</v>
      </c>
      <c r="F705" s="83" t="b">
        <v>0</v>
      </c>
      <c r="G705" s="83" t="b">
        <v>0</v>
      </c>
    </row>
    <row r="706" spans="1:7" ht="15">
      <c r="A706" s="84" t="s">
        <v>2822</v>
      </c>
      <c r="B706" s="83">
        <v>2</v>
      </c>
      <c r="C706" s="110">
        <v>0.0007893686754765382</v>
      </c>
      <c r="D706" s="83" t="s">
        <v>3175</v>
      </c>
      <c r="E706" s="83" t="b">
        <v>0</v>
      </c>
      <c r="F706" s="83" t="b">
        <v>0</v>
      </c>
      <c r="G706" s="83" t="b">
        <v>0</v>
      </c>
    </row>
    <row r="707" spans="1:7" ht="15">
      <c r="A707" s="84" t="s">
        <v>2823</v>
      </c>
      <c r="B707" s="83">
        <v>2</v>
      </c>
      <c r="C707" s="110">
        <v>0.0007042718569142821</v>
      </c>
      <c r="D707" s="83" t="s">
        <v>3175</v>
      </c>
      <c r="E707" s="83" t="b">
        <v>0</v>
      </c>
      <c r="F707" s="83" t="b">
        <v>0</v>
      </c>
      <c r="G707" s="83" t="b">
        <v>0</v>
      </c>
    </row>
    <row r="708" spans="1:7" ht="15">
      <c r="A708" s="84" t="s">
        <v>2824</v>
      </c>
      <c r="B708" s="83">
        <v>2</v>
      </c>
      <c r="C708" s="110">
        <v>0.0007042718569142821</v>
      </c>
      <c r="D708" s="83" t="s">
        <v>3175</v>
      </c>
      <c r="E708" s="83" t="b">
        <v>0</v>
      </c>
      <c r="F708" s="83" t="b">
        <v>0</v>
      </c>
      <c r="G708" s="83" t="b">
        <v>0</v>
      </c>
    </row>
    <row r="709" spans="1:7" ht="15">
      <c r="A709" s="84" t="s">
        <v>2825</v>
      </c>
      <c r="B709" s="83">
        <v>2</v>
      </c>
      <c r="C709" s="110">
        <v>0.0007893686754765382</v>
      </c>
      <c r="D709" s="83" t="s">
        <v>3175</v>
      </c>
      <c r="E709" s="83" t="b">
        <v>0</v>
      </c>
      <c r="F709" s="83" t="b">
        <v>0</v>
      </c>
      <c r="G709" s="83" t="b">
        <v>0</v>
      </c>
    </row>
    <row r="710" spans="1:7" ht="15">
      <c r="A710" s="84" t="s">
        <v>2826</v>
      </c>
      <c r="B710" s="83">
        <v>2</v>
      </c>
      <c r="C710" s="110">
        <v>0.0007042718569142821</v>
      </c>
      <c r="D710" s="83" t="s">
        <v>3175</v>
      </c>
      <c r="E710" s="83" t="b">
        <v>1</v>
      </c>
      <c r="F710" s="83" t="b">
        <v>0</v>
      </c>
      <c r="G710" s="83" t="b">
        <v>0</v>
      </c>
    </row>
    <row r="711" spans="1:7" ht="15">
      <c r="A711" s="84" t="s">
        <v>2827</v>
      </c>
      <c r="B711" s="83">
        <v>2</v>
      </c>
      <c r="C711" s="110">
        <v>0.0007042718569142821</v>
      </c>
      <c r="D711" s="83" t="s">
        <v>3175</v>
      </c>
      <c r="E711" s="83" t="b">
        <v>0</v>
      </c>
      <c r="F711" s="83" t="b">
        <v>0</v>
      </c>
      <c r="G711" s="83" t="b">
        <v>0</v>
      </c>
    </row>
    <row r="712" spans="1:7" ht="15">
      <c r="A712" s="84" t="s">
        <v>2828</v>
      </c>
      <c r="B712" s="83">
        <v>2</v>
      </c>
      <c r="C712" s="110">
        <v>0.0007042718569142821</v>
      </c>
      <c r="D712" s="83" t="s">
        <v>3175</v>
      </c>
      <c r="E712" s="83" t="b">
        <v>0</v>
      </c>
      <c r="F712" s="83" t="b">
        <v>0</v>
      </c>
      <c r="G712" s="83" t="b">
        <v>0</v>
      </c>
    </row>
    <row r="713" spans="1:7" ht="15">
      <c r="A713" s="84" t="s">
        <v>2829</v>
      </c>
      <c r="B713" s="83">
        <v>2</v>
      </c>
      <c r="C713" s="110">
        <v>0.0007042718569142821</v>
      </c>
      <c r="D713" s="83" t="s">
        <v>3175</v>
      </c>
      <c r="E713" s="83" t="b">
        <v>0</v>
      </c>
      <c r="F713" s="83" t="b">
        <v>1</v>
      </c>
      <c r="G713" s="83" t="b">
        <v>0</v>
      </c>
    </row>
    <row r="714" spans="1:7" ht="15">
      <c r="A714" s="84" t="s">
        <v>2830</v>
      </c>
      <c r="B714" s="83">
        <v>2</v>
      </c>
      <c r="C714" s="110">
        <v>0.0007042718569142821</v>
      </c>
      <c r="D714" s="83" t="s">
        <v>3175</v>
      </c>
      <c r="E714" s="83" t="b">
        <v>0</v>
      </c>
      <c r="F714" s="83" t="b">
        <v>1</v>
      </c>
      <c r="G714" s="83" t="b">
        <v>0</v>
      </c>
    </row>
    <row r="715" spans="1:7" ht="15">
      <c r="A715" s="84" t="s">
        <v>2831</v>
      </c>
      <c r="B715" s="83">
        <v>2</v>
      </c>
      <c r="C715" s="110">
        <v>0.0007042718569142821</v>
      </c>
      <c r="D715" s="83" t="s">
        <v>3175</v>
      </c>
      <c r="E715" s="83" t="b">
        <v>0</v>
      </c>
      <c r="F715" s="83" t="b">
        <v>0</v>
      </c>
      <c r="G715" s="83" t="b">
        <v>0</v>
      </c>
    </row>
    <row r="716" spans="1:7" ht="15">
      <c r="A716" s="84" t="s">
        <v>2832</v>
      </c>
      <c r="B716" s="83">
        <v>2</v>
      </c>
      <c r="C716" s="110">
        <v>0.0007042718569142821</v>
      </c>
      <c r="D716" s="83" t="s">
        <v>3175</v>
      </c>
      <c r="E716" s="83" t="b">
        <v>0</v>
      </c>
      <c r="F716" s="83" t="b">
        <v>0</v>
      </c>
      <c r="G716" s="83" t="b">
        <v>0</v>
      </c>
    </row>
    <row r="717" spans="1:7" ht="15">
      <c r="A717" s="84" t="s">
        <v>2833</v>
      </c>
      <c r="B717" s="83">
        <v>2</v>
      </c>
      <c r="C717" s="110">
        <v>0.0007042718569142821</v>
      </c>
      <c r="D717" s="83" t="s">
        <v>3175</v>
      </c>
      <c r="E717" s="83" t="b">
        <v>0</v>
      </c>
      <c r="F717" s="83" t="b">
        <v>1</v>
      </c>
      <c r="G717" s="83" t="b">
        <v>0</v>
      </c>
    </row>
    <row r="718" spans="1:7" ht="15">
      <c r="A718" s="84" t="s">
        <v>2834</v>
      </c>
      <c r="B718" s="83">
        <v>2</v>
      </c>
      <c r="C718" s="110">
        <v>0.0007042718569142821</v>
      </c>
      <c r="D718" s="83" t="s">
        <v>3175</v>
      </c>
      <c r="E718" s="83" t="b">
        <v>0</v>
      </c>
      <c r="F718" s="83" t="b">
        <v>0</v>
      </c>
      <c r="G718" s="83" t="b">
        <v>0</v>
      </c>
    </row>
    <row r="719" spans="1:7" ht="15">
      <c r="A719" s="84" t="s">
        <v>2835</v>
      </c>
      <c r="B719" s="83">
        <v>2</v>
      </c>
      <c r="C719" s="110">
        <v>0.0007042718569142821</v>
      </c>
      <c r="D719" s="83" t="s">
        <v>3175</v>
      </c>
      <c r="E719" s="83" t="b">
        <v>0</v>
      </c>
      <c r="F719" s="83" t="b">
        <v>0</v>
      </c>
      <c r="G719" s="83" t="b">
        <v>0</v>
      </c>
    </row>
    <row r="720" spans="1:7" ht="15">
      <c r="A720" s="84" t="s">
        <v>2836</v>
      </c>
      <c r="B720" s="83">
        <v>2</v>
      </c>
      <c r="C720" s="110">
        <v>0.0007042718569142821</v>
      </c>
      <c r="D720" s="83" t="s">
        <v>3175</v>
      </c>
      <c r="E720" s="83" t="b">
        <v>0</v>
      </c>
      <c r="F720" s="83" t="b">
        <v>0</v>
      </c>
      <c r="G720" s="83" t="b">
        <v>0</v>
      </c>
    </row>
    <row r="721" spans="1:7" ht="15">
      <c r="A721" s="84" t="s">
        <v>2837</v>
      </c>
      <c r="B721" s="83">
        <v>2</v>
      </c>
      <c r="C721" s="110">
        <v>0.0007042718569142821</v>
      </c>
      <c r="D721" s="83" t="s">
        <v>3175</v>
      </c>
      <c r="E721" s="83" t="b">
        <v>0</v>
      </c>
      <c r="F721" s="83" t="b">
        <v>0</v>
      </c>
      <c r="G721" s="83" t="b">
        <v>0</v>
      </c>
    </row>
    <row r="722" spans="1:7" ht="15">
      <c r="A722" s="84" t="s">
        <v>2838</v>
      </c>
      <c r="B722" s="83">
        <v>2</v>
      </c>
      <c r="C722" s="110">
        <v>0.0007893686754765382</v>
      </c>
      <c r="D722" s="83" t="s">
        <v>3175</v>
      </c>
      <c r="E722" s="83" t="b">
        <v>1</v>
      </c>
      <c r="F722" s="83" t="b">
        <v>0</v>
      </c>
      <c r="G722" s="83" t="b">
        <v>0</v>
      </c>
    </row>
    <row r="723" spans="1:7" ht="15">
      <c r="A723" s="84" t="s">
        <v>2839</v>
      </c>
      <c r="B723" s="83">
        <v>2</v>
      </c>
      <c r="C723" s="110">
        <v>0.0007893686754765382</v>
      </c>
      <c r="D723" s="83" t="s">
        <v>3175</v>
      </c>
      <c r="E723" s="83" t="b">
        <v>0</v>
      </c>
      <c r="F723" s="83" t="b">
        <v>1</v>
      </c>
      <c r="G723" s="83" t="b">
        <v>0</v>
      </c>
    </row>
    <row r="724" spans="1:7" ht="15">
      <c r="A724" s="84" t="s">
        <v>2840</v>
      </c>
      <c r="B724" s="83">
        <v>2</v>
      </c>
      <c r="C724" s="110">
        <v>0.0007042718569142821</v>
      </c>
      <c r="D724" s="83" t="s">
        <v>3175</v>
      </c>
      <c r="E724" s="83" t="b">
        <v>0</v>
      </c>
      <c r="F724" s="83" t="b">
        <v>0</v>
      </c>
      <c r="G724" s="83" t="b">
        <v>0</v>
      </c>
    </row>
    <row r="725" spans="1:7" ht="15">
      <c r="A725" s="84" t="s">
        <v>2841</v>
      </c>
      <c r="B725" s="83">
        <v>2</v>
      </c>
      <c r="C725" s="110">
        <v>0.0007893686754765382</v>
      </c>
      <c r="D725" s="83" t="s">
        <v>3175</v>
      </c>
      <c r="E725" s="83" t="b">
        <v>0</v>
      </c>
      <c r="F725" s="83" t="b">
        <v>0</v>
      </c>
      <c r="G725" s="83" t="b">
        <v>0</v>
      </c>
    </row>
    <row r="726" spans="1:7" ht="15">
      <c r="A726" s="84" t="s">
        <v>2842</v>
      </c>
      <c r="B726" s="83">
        <v>2</v>
      </c>
      <c r="C726" s="110">
        <v>0.0007893686754765382</v>
      </c>
      <c r="D726" s="83" t="s">
        <v>3175</v>
      </c>
      <c r="E726" s="83" t="b">
        <v>0</v>
      </c>
      <c r="F726" s="83" t="b">
        <v>0</v>
      </c>
      <c r="G726" s="83" t="b">
        <v>0</v>
      </c>
    </row>
    <row r="727" spans="1:7" ht="15">
      <c r="A727" s="84" t="s">
        <v>2843</v>
      </c>
      <c r="B727" s="83">
        <v>2</v>
      </c>
      <c r="C727" s="110">
        <v>0.0007042718569142821</v>
      </c>
      <c r="D727" s="83" t="s">
        <v>3175</v>
      </c>
      <c r="E727" s="83" t="b">
        <v>0</v>
      </c>
      <c r="F727" s="83" t="b">
        <v>0</v>
      </c>
      <c r="G727" s="83" t="b">
        <v>0</v>
      </c>
    </row>
    <row r="728" spans="1:7" ht="15">
      <c r="A728" s="84" t="s">
        <v>2844</v>
      </c>
      <c r="B728" s="83">
        <v>2</v>
      </c>
      <c r="C728" s="110">
        <v>0.0007042718569142821</v>
      </c>
      <c r="D728" s="83" t="s">
        <v>3175</v>
      </c>
      <c r="E728" s="83" t="b">
        <v>1</v>
      </c>
      <c r="F728" s="83" t="b">
        <v>0</v>
      </c>
      <c r="G728" s="83" t="b">
        <v>0</v>
      </c>
    </row>
    <row r="729" spans="1:7" ht="15">
      <c r="A729" s="84" t="s">
        <v>2845</v>
      </c>
      <c r="B729" s="83">
        <v>2</v>
      </c>
      <c r="C729" s="110">
        <v>0.0007893686754765382</v>
      </c>
      <c r="D729" s="83" t="s">
        <v>3175</v>
      </c>
      <c r="E729" s="83" t="b">
        <v>0</v>
      </c>
      <c r="F729" s="83" t="b">
        <v>0</v>
      </c>
      <c r="G729" s="83" t="b">
        <v>0</v>
      </c>
    </row>
    <row r="730" spans="1:7" ht="15">
      <c r="A730" s="84" t="s">
        <v>2846</v>
      </c>
      <c r="B730" s="83">
        <v>2</v>
      </c>
      <c r="C730" s="110">
        <v>0.0007042718569142821</v>
      </c>
      <c r="D730" s="83" t="s">
        <v>3175</v>
      </c>
      <c r="E730" s="83" t="b">
        <v>0</v>
      </c>
      <c r="F730" s="83" t="b">
        <v>0</v>
      </c>
      <c r="G730" s="83" t="b">
        <v>0</v>
      </c>
    </row>
    <row r="731" spans="1:7" ht="15">
      <c r="A731" s="84" t="s">
        <v>2847</v>
      </c>
      <c r="B731" s="83">
        <v>2</v>
      </c>
      <c r="C731" s="110">
        <v>0.0007042718569142821</v>
      </c>
      <c r="D731" s="83" t="s">
        <v>3175</v>
      </c>
      <c r="E731" s="83" t="b">
        <v>1</v>
      </c>
      <c r="F731" s="83" t="b">
        <v>0</v>
      </c>
      <c r="G731" s="83" t="b">
        <v>0</v>
      </c>
    </row>
    <row r="732" spans="1:7" ht="15">
      <c r="A732" s="84" t="s">
        <v>2848</v>
      </c>
      <c r="B732" s="83">
        <v>2</v>
      </c>
      <c r="C732" s="110">
        <v>0.0007042718569142821</v>
      </c>
      <c r="D732" s="83" t="s">
        <v>3175</v>
      </c>
      <c r="E732" s="83" t="b">
        <v>0</v>
      </c>
      <c r="F732" s="83" t="b">
        <v>0</v>
      </c>
      <c r="G732" s="83" t="b">
        <v>0</v>
      </c>
    </row>
    <row r="733" spans="1:7" ht="15">
      <c r="A733" s="84" t="s">
        <v>2849</v>
      </c>
      <c r="B733" s="83">
        <v>2</v>
      </c>
      <c r="C733" s="110">
        <v>0.0007042718569142821</v>
      </c>
      <c r="D733" s="83" t="s">
        <v>3175</v>
      </c>
      <c r="E733" s="83" t="b">
        <v>0</v>
      </c>
      <c r="F733" s="83" t="b">
        <v>0</v>
      </c>
      <c r="G733" s="83" t="b">
        <v>0</v>
      </c>
    </row>
    <row r="734" spans="1:7" ht="15">
      <c r="A734" s="84" t="s">
        <v>2850</v>
      </c>
      <c r="B734" s="83">
        <v>2</v>
      </c>
      <c r="C734" s="110">
        <v>0.0007042718569142821</v>
      </c>
      <c r="D734" s="83" t="s">
        <v>3175</v>
      </c>
      <c r="E734" s="83" t="b">
        <v>0</v>
      </c>
      <c r="F734" s="83" t="b">
        <v>0</v>
      </c>
      <c r="G734" s="83" t="b">
        <v>0</v>
      </c>
    </row>
    <row r="735" spans="1:7" ht="15">
      <c r="A735" s="84" t="s">
        <v>2851</v>
      </c>
      <c r="B735" s="83">
        <v>2</v>
      </c>
      <c r="C735" s="110">
        <v>0.0007042718569142821</v>
      </c>
      <c r="D735" s="83" t="s">
        <v>3175</v>
      </c>
      <c r="E735" s="83" t="b">
        <v>0</v>
      </c>
      <c r="F735" s="83" t="b">
        <v>0</v>
      </c>
      <c r="G735" s="83" t="b">
        <v>0</v>
      </c>
    </row>
    <row r="736" spans="1:7" ht="15">
      <c r="A736" s="84" t="s">
        <v>2852</v>
      </c>
      <c r="B736" s="83">
        <v>2</v>
      </c>
      <c r="C736" s="110">
        <v>0.0007042718569142821</v>
      </c>
      <c r="D736" s="83" t="s">
        <v>3175</v>
      </c>
      <c r="E736" s="83" t="b">
        <v>0</v>
      </c>
      <c r="F736" s="83" t="b">
        <v>0</v>
      </c>
      <c r="G736" s="83" t="b">
        <v>0</v>
      </c>
    </row>
    <row r="737" spans="1:7" ht="15">
      <c r="A737" s="84" t="s">
        <v>2853</v>
      </c>
      <c r="B737" s="83">
        <v>2</v>
      </c>
      <c r="C737" s="110">
        <v>0.0007042718569142821</v>
      </c>
      <c r="D737" s="83" t="s">
        <v>3175</v>
      </c>
      <c r="E737" s="83" t="b">
        <v>0</v>
      </c>
      <c r="F737" s="83" t="b">
        <v>0</v>
      </c>
      <c r="G737" s="83" t="b">
        <v>0</v>
      </c>
    </row>
    <row r="738" spans="1:7" ht="15">
      <c r="A738" s="84" t="s">
        <v>2854</v>
      </c>
      <c r="B738" s="83">
        <v>2</v>
      </c>
      <c r="C738" s="110">
        <v>0.0007042718569142821</v>
      </c>
      <c r="D738" s="83" t="s">
        <v>3175</v>
      </c>
      <c r="E738" s="83" t="b">
        <v>0</v>
      </c>
      <c r="F738" s="83" t="b">
        <v>0</v>
      </c>
      <c r="G738" s="83" t="b">
        <v>0</v>
      </c>
    </row>
    <row r="739" spans="1:7" ht="15">
      <c r="A739" s="84" t="s">
        <v>2855</v>
      </c>
      <c r="B739" s="83">
        <v>2</v>
      </c>
      <c r="C739" s="110">
        <v>0.0007042718569142821</v>
      </c>
      <c r="D739" s="83" t="s">
        <v>3175</v>
      </c>
      <c r="E739" s="83" t="b">
        <v>0</v>
      </c>
      <c r="F739" s="83" t="b">
        <v>0</v>
      </c>
      <c r="G739" s="83" t="b">
        <v>0</v>
      </c>
    </row>
    <row r="740" spans="1:7" ht="15">
      <c r="A740" s="84" t="s">
        <v>2856</v>
      </c>
      <c r="B740" s="83">
        <v>2</v>
      </c>
      <c r="C740" s="110">
        <v>0.0007893686754765382</v>
      </c>
      <c r="D740" s="83" t="s">
        <v>3175</v>
      </c>
      <c r="E740" s="83" t="b">
        <v>0</v>
      </c>
      <c r="F740" s="83" t="b">
        <v>0</v>
      </c>
      <c r="G740" s="83" t="b">
        <v>0</v>
      </c>
    </row>
    <row r="741" spans="1:7" ht="15">
      <c r="A741" s="84" t="s">
        <v>2857</v>
      </c>
      <c r="B741" s="83">
        <v>2</v>
      </c>
      <c r="C741" s="110">
        <v>0.0007893686754765382</v>
      </c>
      <c r="D741" s="83" t="s">
        <v>3175</v>
      </c>
      <c r="E741" s="83" t="b">
        <v>0</v>
      </c>
      <c r="F741" s="83" t="b">
        <v>0</v>
      </c>
      <c r="G741" s="83" t="b">
        <v>0</v>
      </c>
    </row>
    <row r="742" spans="1:7" ht="15">
      <c r="A742" s="84" t="s">
        <v>2858</v>
      </c>
      <c r="B742" s="83">
        <v>2</v>
      </c>
      <c r="C742" s="110">
        <v>0.0007042718569142821</v>
      </c>
      <c r="D742" s="83" t="s">
        <v>3175</v>
      </c>
      <c r="E742" s="83" t="b">
        <v>0</v>
      </c>
      <c r="F742" s="83" t="b">
        <v>0</v>
      </c>
      <c r="G742" s="83" t="b">
        <v>0</v>
      </c>
    </row>
    <row r="743" spans="1:7" ht="15">
      <c r="A743" s="84" t="s">
        <v>2859</v>
      </c>
      <c r="B743" s="83">
        <v>2</v>
      </c>
      <c r="C743" s="110">
        <v>0.0007042718569142821</v>
      </c>
      <c r="D743" s="83" t="s">
        <v>3175</v>
      </c>
      <c r="E743" s="83" t="b">
        <v>1</v>
      </c>
      <c r="F743" s="83" t="b">
        <v>0</v>
      </c>
      <c r="G743" s="83" t="b">
        <v>0</v>
      </c>
    </row>
    <row r="744" spans="1:7" ht="15">
      <c r="A744" s="84" t="s">
        <v>2860</v>
      </c>
      <c r="B744" s="83">
        <v>2</v>
      </c>
      <c r="C744" s="110">
        <v>0.0007042718569142821</v>
      </c>
      <c r="D744" s="83" t="s">
        <v>3175</v>
      </c>
      <c r="E744" s="83" t="b">
        <v>0</v>
      </c>
      <c r="F744" s="83" t="b">
        <v>0</v>
      </c>
      <c r="G744" s="83" t="b">
        <v>0</v>
      </c>
    </row>
    <row r="745" spans="1:7" ht="15">
      <c r="A745" s="84" t="s">
        <v>2861</v>
      </c>
      <c r="B745" s="83">
        <v>2</v>
      </c>
      <c r="C745" s="110">
        <v>0.0007042718569142821</v>
      </c>
      <c r="D745" s="83" t="s">
        <v>3175</v>
      </c>
      <c r="E745" s="83" t="b">
        <v>0</v>
      </c>
      <c r="F745" s="83" t="b">
        <v>0</v>
      </c>
      <c r="G745" s="83" t="b">
        <v>0</v>
      </c>
    </row>
    <row r="746" spans="1:7" ht="15">
      <c r="A746" s="84" t="s">
        <v>2862</v>
      </c>
      <c r="B746" s="83">
        <v>2</v>
      </c>
      <c r="C746" s="110">
        <v>0.0007042718569142821</v>
      </c>
      <c r="D746" s="83" t="s">
        <v>3175</v>
      </c>
      <c r="E746" s="83" t="b">
        <v>0</v>
      </c>
      <c r="F746" s="83" t="b">
        <v>0</v>
      </c>
      <c r="G746" s="83" t="b">
        <v>0</v>
      </c>
    </row>
    <row r="747" spans="1:7" ht="15">
      <c r="A747" s="84" t="s">
        <v>2863</v>
      </c>
      <c r="B747" s="83">
        <v>2</v>
      </c>
      <c r="C747" s="110">
        <v>0.0007042718569142821</v>
      </c>
      <c r="D747" s="83" t="s">
        <v>3175</v>
      </c>
      <c r="E747" s="83" t="b">
        <v>0</v>
      </c>
      <c r="F747" s="83" t="b">
        <v>0</v>
      </c>
      <c r="G747" s="83" t="b">
        <v>0</v>
      </c>
    </row>
    <row r="748" spans="1:7" ht="15">
      <c r="A748" s="84" t="s">
        <v>2864</v>
      </c>
      <c r="B748" s="83">
        <v>2</v>
      </c>
      <c r="C748" s="110">
        <v>0.0007042718569142821</v>
      </c>
      <c r="D748" s="83" t="s">
        <v>3175</v>
      </c>
      <c r="E748" s="83" t="b">
        <v>0</v>
      </c>
      <c r="F748" s="83" t="b">
        <v>1</v>
      </c>
      <c r="G748" s="83" t="b">
        <v>0</v>
      </c>
    </row>
    <row r="749" spans="1:7" ht="15">
      <c r="A749" s="84" t="s">
        <v>2865</v>
      </c>
      <c r="B749" s="83">
        <v>2</v>
      </c>
      <c r="C749" s="110">
        <v>0.0007042718569142821</v>
      </c>
      <c r="D749" s="83" t="s">
        <v>3175</v>
      </c>
      <c r="E749" s="83" t="b">
        <v>0</v>
      </c>
      <c r="F749" s="83" t="b">
        <v>0</v>
      </c>
      <c r="G749" s="83" t="b">
        <v>0</v>
      </c>
    </row>
    <row r="750" spans="1:7" ht="15">
      <c r="A750" s="84" t="s">
        <v>2866</v>
      </c>
      <c r="B750" s="83">
        <v>2</v>
      </c>
      <c r="C750" s="110">
        <v>0.0007893686754765382</v>
      </c>
      <c r="D750" s="83" t="s">
        <v>3175</v>
      </c>
      <c r="E750" s="83" t="b">
        <v>0</v>
      </c>
      <c r="F750" s="83" t="b">
        <v>1</v>
      </c>
      <c r="G750" s="83" t="b">
        <v>0</v>
      </c>
    </row>
    <row r="751" spans="1:7" ht="15">
      <c r="A751" s="84" t="s">
        <v>2867</v>
      </c>
      <c r="B751" s="83">
        <v>2</v>
      </c>
      <c r="C751" s="110">
        <v>0.0007042718569142821</v>
      </c>
      <c r="D751" s="83" t="s">
        <v>3175</v>
      </c>
      <c r="E751" s="83" t="b">
        <v>0</v>
      </c>
      <c r="F751" s="83" t="b">
        <v>0</v>
      </c>
      <c r="G751" s="83" t="b">
        <v>0</v>
      </c>
    </row>
    <row r="752" spans="1:7" ht="15">
      <c r="A752" s="84" t="s">
        <v>2868</v>
      </c>
      <c r="B752" s="83">
        <v>2</v>
      </c>
      <c r="C752" s="110">
        <v>0.0007042718569142821</v>
      </c>
      <c r="D752" s="83" t="s">
        <v>3175</v>
      </c>
      <c r="E752" s="83" t="b">
        <v>1</v>
      </c>
      <c r="F752" s="83" t="b">
        <v>0</v>
      </c>
      <c r="G752" s="83" t="b">
        <v>0</v>
      </c>
    </row>
    <row r="753" spans="1:7" ht="15">
      <c r="A753" s="84" t="s">
        <v>2869</v>
      </c>
      <c r="B753" s="83">
        <v>2</v>
      </c>
      <c r="C753" s="110">
        <v>0.0007042718569142821</v>
      </c>
      <c r="D753" s="83" t="s">
        <v>3175</v>
      </c>
      <c r="E753" s="83" t="b">
        <v>0</v>
      </c>
      <c r="F753" s="83" t="b">
        <v>0</v>
      </c>
      <c r="G753" s="83" t="b">
        <v>0</v>
      </c>
    </row>
    <row r="754" spans="1:7" ht="15">
      <c r="A754" s="84" t="s">
        <v>2870</v>
      </c>
      <c r="B754" s="83">
        <v>2</v>
      </c>
      <c r="C754" s="110">
        <v>0.0007042718569142821</v>
      </c>
      <c r="D754" s="83" t="s">
        <v>3175</v>
      </c>
      <c r="E754" s="83" t="b">
        <v>0</v>
      </c>
      <c r="F754" s="83" t="b">
        <v>0</v>
      </c>
      <c r="G754" s="83" t="b">
        <v>0</v>
      </c>
    </row>
    <row r="755" spans="1:7" ht="15">
      <c r="A755" s="84" t="s">
        <v>2871</v>
      </c>
      <c r="B755" s="83">
        <v>2</v>
      </c>
      <c r="C755" s="110">
        <v>0.0007042718569142821</v>
      </c>
      <c r="D755" s="83" t="s">
        <v>3175</v>
      </c>
      <c r="E755" s="83" t="b">
        <v>0</v>
      </c>
      <c r="F755" s="83" t="b">
        <v>0</v>
      </c>
      <c r="G755" s="83" t="b">
        <v>0</v>
      </c>
    </row>
    <row r="756" spans="1:7" ht="15">
      <c r="A756" s="84" t="s">
        <v>2872</v>
      </c>
      <c r="B756" s="83">
        <v>2</v>
      </c>
      <c r="C756" s="110">
        <v>0.0007893686754765382</v>
      </c>
      <c r="D756" s="83" t="s">
        <v>3175</v>
      </c>
      <c r="E756" s="83" t="b">
        <v>0</v>
      </c>
      <c r="F756" s="83" t="b">
        <v>0</v>
      </c>
      <c r="G756" s="83" t="b">
        <v>0</v>
      </c>
    </row>
    <row r="757" spans="1:7" ht="15">
      <c r="A757" s="84" t="s">
        <v>2873</v>
      </c>
      <c r="B757" s="83">
        <v>2</v>
      </c>
      <c r="C757" s="110">
        <v>0.0007042718569142821</v>
      </c>
      <c r="D757" s="83" t="s">
        <v>3175</v>
      </c>
      <c r="E757" s="83" t="b">
        <v>0</v>
      </c>
      <c r="F757" s="83" t="b">
        <v>0</v>
      </c>
      <c r="G757" s="83" t="b">
        <v>0</v>
      </c>
    </row>
    <row r="758" spans="1:7" ht="15">
      <c r="A758" s="84" t="s">
        <v>2874</v>
      </c>
      <c r="B758" s="83">
        <v>2</v>
      </c>
      <c r="C758" s="110">
        <v>0.0007893686754765382</v>
      </c>
      <c r="D758" s="83" t="s">
        <v>3175</v>
      </c>
      <c r="E758" s="83" t="b">
        <v>1</v>
      </c>
      <c r="F758" s="83" t="b">
        <v>0</v>
      </c>
      <c r="G758" s="83" t="b">
        <v>0</v>
      </c>
    </row>
    <row r="759" spans="1:7" ht="15">
      <c r="A759" s="84" t="s">
        <v>2875</v>
      </c>
      <c r="B759" s="83">
        <v>2</v>
      </c>
      <c r="C759" s="110">
        <v>0.0007042718569142821</v>
      </c>
      <c r="D759" s="83" t="s">
        <v>3175</v>
      </c>
      <c r="E759" s="83" t="b">
        <v>0</v>
      </c>
      <c r="F759" s="83" t="b">
        <v>0</v>
      </c>
      <c r="G759" s="83" t="b">
        <v>0</v>
      </c>
    </row>
    <row r="760" spans="1:7" ht="15">
      <c r="A760" s="84" t="s">
        <v>2876</v>
      </c>
      <c r="B760" s="83">
        <v>2</v>
      </c>
      <c r="C760" s="110">
        <v>0.0007042718569142821</v>
      </c>
      <c r="D760" s="83" t="s">
        <v>3175</v>
      </c>
      <c r="E760" s="83" t="b">
        <v>1</v>
      </c>
      <c r="F760" s="83" t="b">
        <v>0</v>
      </c>
      <c r="G760" s="83" t="b">
        <v>0</v>
      </c>
    </row>
    <row r="761" spans="1:7" ht="15">
      <c r="A761" s="84" t="s">
        <v>2877</v>
      </c>
      <c r="B761" s="83">
        <v>2</v>
      </c>
      <c r="C761" s="110">
        <v>0.0007042718569142821</v>
      </c>
      <c r="D761" s="83" t="s">
        <v>3175</v>
      </c>
      <c r="E761" s="83" t="b">
        <v>0</v>
      </c>
      <c r="F761" s="83" t="b">
        <v>0</v>
      </c>
      <c r="G761" s="83" t="b">
        <v>0</v>
      </c>
    </row>
    <row r="762" spans="1:7" ht="15">
      <c r="A762" s="84" t="s">
        <v>2878</v>
      </c>
      <c r="B762" s="83">
        <v>2</v>
      </c>
      <c r="C762" s="110">
        <v>0.0007893686754765382</v>
      </c>
      <c r="D762" s="83" t="s">
        <v>3175</v>
      </c>
      <c r="E762" s="83" t="b">
        <v>0</v>
      </c>
      <c r="F762" s="83" t="b">
        <v>0</v>
      </c>
      <c r="G762" s="83" t="b">
        <v>0</v>
      </c>
    </row>
    <row r="763" spans="1:7" ht="15">
      <c r="A763" s="84" t="s">
        <v>2879</v>
      </c>
      <c r="B763" s="83">
        <v>2</v>
      </c>
      <c r="C763" s="110">
        <v>0.0007042718569142821</v>
      </c>
      <c r="D763" s="83" t="s">
        <v>3175</v>
      </c>
      <c r="E763" s="83" t="b">
        <v>0</v>
      </c>
      <c r="F763" s="83" t="b">
        <v>0</v>
      </c>
      <c r="G763" s="83" t="b">
        <v>0</v>
      </c>
    </row>
    <row r="764" spans="1:7" ht="15">
      <c r="A764" s="84" t="s">
        <v>2880</v>
      </c>
      <c r="B764" s="83">
        <v>2</v>
      </c>
      <c r="C764" s="110">
        <v>0.0007042718569142821</v>
      </c>
      <c r="D764" s="83" t="s">
        <v>3175</v>
      </c>
      <c r="E764" s="83" t="b">
        <v>1</v>
      </c>
      <c r="F764" s="83" t="b">
        <v>0</v>
      </c>
      <c r="G764" s="83" t="b">
        <v>0</v>
      </c>
    </row>
    <row r="765" spans="1:7" ht="15">
      <c r="A765" s="84" t="s">
        <v>2881</v>
      </c>
      <c r="B765" s="83">
        <v>2</v>
      </c>
      <c r="C765" s="110">
        <v>0.0007042718569142821</v>
      </c>
      <c r="D765" s="83" t="s">
        <v>3175</v>
      </c>
      <c r="E765" s="83" t="b">
        <v>1</v>
      </c>
      <c r="F765" s="83" t="b">
        <v>0</v>
      </c>
      <c r="G765" s="83" t="b">
        <v>0</v>
      </c>
    </row>
    <row r="766" spans="1:7" ht="15">
      <c r="A766" s="84" t="s">
        <v>2882</v>
      </c>
      <c r="B766" s="83">
        <v>2</v>
      </c>
      <c r="C766" s="110">
        <v>0.0007042718569142821</v>
      </c>
      <c r="D766" s="83" t="s">
        <v>3175</v>
      </c>
      <c r="E766" s="83" t="b">
        <v>0</v>
      </c>
      <c r="F766" s="83" t="b">
        <v>0</v>
      </c>
      <c r="G766" s="83" t="b">
        <v>0</v>
      </c>
    </row>
    <row r="767" spans="1:7" ht="15">
      <c r="A767" s="84" t="s">
        <v>2883</v>
      </c>
      <c r="B767" s="83">
        <v>2</v>
      </c>
      <c r="C767" s="110">
        <v>0.0007042718569142821</v>
      </c>
      <c r="D767" s="83" t="s">
        <v>3175</v>
      </c>
      <c r="E767" s="83" t="b">
        <v>0</v>
      </c>
      <c r="F767" s="83" t="b">
        <v>0</v>
      </c>
      <c r="G767" s="83" t="b">
        <v>0</v>
      </c>
    </row>
    <row r="768" spans="1:7" ht="15">
      <c r="A768" s="84" t="s">
        <v>2884</v>
      </c>
      <c r="B768" s="83">
        <v>2</v>
      </c>
      <c r="C768" s="110">
        <v>0.0007042718569142821</v>
      </c>
      <c r="D768" s="83" t="s">
        <v>3175</v>
      </c>
      <c r="E768" s="83" t="b">
        <v>0</v>
      </c>
      <c r="F768" s="83" t="b">
        <v>0</v>
      </c>
      <c r="G768" s="83" t="b">
        <v>0</v>
      </c>
    </row>
    <row r="769" spans="1:7" ht="15">
      <c r="A769" s="84" t="s">
        <v>2885</v>
      </c>
      <c r="B769" s="83">
        <v>2</v>
      </c>
      <c r="C769" s="110">
        <v>0.0007042718569142821</v>
      </c>
      <c r="D769" s="83" t="s">
        <v>3175</v>
      </c>
      <c r="E769" s="83" t="b">
        <v>0</v>
      </c>
      <c r="F769" s="83" t="b">
        <v>0</v>
      </c>
      <c r="G769" s="83" t="b">
        <v>0</v>
      </c>
    </row>
    <row r="770" spans="1:7" ht="15">
      <c r="A770" s="84" t="s">
        <v>2886</v>
      </c>
      <c r="B770" s="83">
        <v>2</v>
      </c>
      <c r="C770" s="110">
        <v>0.0007042718569142821</v>
      </c>
      <c r="D770" s="83" t="s">
        <v>3175</v>
      </c>
      <c r="E770" s="83" t="b">
        <v>0</v>
      </c>
      <c r="F770" s="83" t="b">
        <v>0</v>
      </c>
      <c r="G770" s="83" t="b">
        <v>0</v>
      </c>
    </row>
    <row r="771" spans="1:7" ht="15">
      <c r="A771" s="84" t="s">
        <v>2887</v>
      </c>
      <c r="B771" s="83">
        <v>2</v>
      </c>
      <c r="C771" s="110">
        <v>0.0007042718569142821</v>
      </c>
      <c r="D771" s="83" t="s">
        <v>3175</v>
      </c>
      <c r="E771" s="83" t="b">
        <v>0</v>
      </c>
      <c r="F771" s="83" t="b">
        <v>0</v>
      </c>
      <c r="G771" s="83" t="b">
        <v>0</v>
      </c>
    </row>
    <row r="772" spans="1:7" ht="15">
      <c r="A772" s="84" t="s">
        <v>2888</v>
      </c>
      <c r="B772" s="83">
        <v>2</v>
      </c>
      <c r="C772" s="110">
        <v>0.0007042718569142821</v>
      </c>
      <c r="D772" s="83" t="s">
        <v>3175</v>
      </c>
      <c r="E772" s="83" t="b">
        <v>0</v>
      </c>
      <c r="F772" s="83" t="b">
        <v>0</v>
      </c>
      <c r="G772" s="83" t="b">
        <v>0</v>
      </c>
    </row>
    <row r="773" spans="1:7" ht="15">
      <c r="A773" s="84" t="s">
        <v>2889</v>
      </c>
      <c r="B773" s="83">
        <v>2</v>
      </c>
      <c r="C773" s="110">
        <v>0.0007042718569142821</v>
      </c>
      <c r="D773" s="83" t="s">
        <v>3175</v>
      </c>
      <c r="E773" s="83" t="b">
        <v>0</v>
      </c>
      <c r="F773" s="83" t="b">
        <v>0</v>
      </c>
      <c r="G773" s="83" t="b">
        <v>0</v>
      </c>
    </row>
    <row r="774" spans="1:7" ht="15">
      <c r="A774" s="84" t="s">
        <v>2890</v>
      </c>
      <c r="B774" s="83">
        <v>2</v>
      </c>
      <c r="C774" s="110">
        <v>0.0007042718569142821</v>
      </c>
      <c r="D774" s="83" t="s">
        <v>3175</v>
      </c>
      <c r="E774" s="83" t="b">
        <v>0</v>
      </c>
      <c r="F774" s="83" t="b">
        <v>0</v>
      </c>
      <c r="G774" s="83" t="b">
        <v>0</v>
      </c>
    </row>
    <row r="775" spans="1:7" ht="15">
      <c r="A775" s="84" t="s">
        <v>2891</v>
      </c>
      <c r="B775" s="83">
        <v>2</v>
      </c>
      <c r="C775" s="110">
        <v>0.0007042718569142821</v>
      </c>
      <c r="D775" s="83" t="s">
        <v>3175</v>
      </c>
      <c r="E775" s="83" t="b">
        <v>0</v>
      </c>
      <c r="F775" s="83" t="b">
        <v>0</v>
      </c>
      <c r="G775" s="83" t="b">
        <v>0</v>
      </c>
    </row>
    <row r="776" spans="1:7" ht="15">
      <c r="A776" s="84" t="s">
        <v>2892</v>
      </c>
      <c r="B776" s="83">
        <v>2</v>
      </c>
      <c r="C776" s="110">
        <v>0.0007042718569142821</v>
      </c>
      <c r="D776" s="83" t="s">
        <v>3175</v>
      </c>
      <c r="E776" s="83" t="b">
        <v>0</v>
      </c>
      <c r="F776" s="83" t="b">
        <v>0</v>
      </c>
      <c r="G776" s="83" t="b">
        <v>0</v>
      </c>
    </row>
    <row r="777" spans="1:7" ht="15">
      <c r="A777" s="84" t="s">
        <v>2893</v>
      </c>
      <c r="B777" s="83">
        <v>2</v>
      </c>
      <c r="C777" s="110">
        <v>0.0007042718569142821</v>
      </c>
      <c r="D777" s="83" t="s">
        <v>3175</v>
      </c>
      <c r="E777" s="83" t="b">
        <v>0</v>
      </c>
      <c r="F777" s="83" t="b">
        <v>0</v>
      </c>
      <c r="G777" s="83" t="b">
        <v>0</v>
      </c>
    </row>
    <row r="778" spans="1:7" ht="15">
      <c r="A778" s="84" t="s">
        <v>2894</v>
      </c>
      <c r="B778" s="83">
        <v>2</v>
      </c>
      <c r="C778" s="110">
        <v>0.0007042718569142821</v>
      </c>
      <c r="D778" s="83" t="s">
        <v>3175</v>
      </c>
      <c r="E778" s="83" t="b">
        <v>0</v>
      </c>
      <c r="F778" s="83" t="b">
        <v>0</v>
      </c>
      <c r="G778" s="83" t="b">
        <v>0</v>
      </c>
    </row>
    <row r="779" spans="1:7" ht="15">
      <c r="A779" s="84" t="s">
        <v>2895</v>
      </c>
      <c r="B779" s="83">
        <v>2</v>
      </c>
      <c r="C779" s="110">
        <v>0.0007042718569142821</v>
      </c>
      <c r="D779" s="83" t="s">
        <v>3175</v>
      </c>
      <c r="E779" s="83" t="b">
        <v>0</v>
      </c>
      <c r="F779" s="83" t="b">
        <v>0</v>
      </c>
      <c r="G779" s="83" t="b">
        <v>0</v>
      </c>
    </row>
    <row r="780" spans="1:7" ht="15">
      <c r="A780" s="84" t="s">
        <v>2896</v>
      </c>
      <c r="B780" s="83">
        <v>2</v>
      </c>
      <c r="C780" s="110">
        <v>0.0007042718569142821</v>
      </c>
      <c r="D780" s="83" t="s">
        <v>3175</v>
      </c>
      <c r="E780" s="83" t="b">
        <v>0</v>
      </c>
      <c r="F780" s="83" t="b">
        <v>0</v>
      </c>
      <c r="G780" s="83" t="b">
        <v>0</v>
      </c>
    </row>
    <row r="781" spans="1:7" ht="15">
      <c r="A781" s="84" t="s">
        <v>2897</v>
      </c>
      <c r="B781" s="83">
        <v>2</v>
      </c>
      <c r="C781" s="110">
        <v>0.0007893686754765382</v>
      </c>
      <c r="D781" s="83" t="s">
        <v>3175</v>
      </c>
      <c r="E781" s="83" t="b">
        <v>0</v>
      </c>
      <c r="F781" s="83" t="b">
        <v>0</v>
      </c>
      <c r="G781" s="83" t="b">
        <v>0</v>
      </c>
    </row>
    <row r="782" spans="1:7" ht="15">
      <c r="A782" s="84" t="s">
        <v>2898</v>
      </c>
      <c r="B782" s="83">
        <v>2</v>
      </c>
      <c r="C782" s="110">
        <v>0.0007042718569142821</v>
      </c>
      <c r="D782" s="83" t="s">
        <v>3175</v>
      </c>
      <c r="E782" s="83" t="b">
        <v>0</v>
      </c>
      <c r="F782" s="83" t="b">
        <v>0</v>
      </c>
      <c r="G782" s="83" t="b">
        <v>0</v>
      </c>
    </row>
    <row r="783" spans="1:7" ht="15">
      <c r="A783" s="84" t="s">
        <v>2899</v>
      </c>
      <c r="B783" s="83">
        <v>2</v>
      </c>
      <c r="C783" s="110">
        <v>0.0007042718569142821</v>
      </c>
      <c r="D783" s="83" t="s">
        <v>3175</v>
      </c>
      <c r="E783" s="83" t="b">
        <v>0</v>
      </c>
      <c r="F783" s="83" t="b">
        <v>0</v>
      </c>
      <c r="G783" s="83" t="b">
        <v>0</v>
      </c>
    </row>
    <row r="784" spans="1:7" ht="15">
      <c r="A784" s="84" t="s">
        <v>2900</v>
      </c>
      <c r="B784" s="83">
        <v>2</v>
      </c>
      <c r="C784" s="110">
        <v>0.0007042718569142821</v>
      </c>
      <c r="D784" s="83" t="s">
        <v>3175</v>
      </c>
      <c r="E784" s="83" t="b">
        <v>0</v>
      </c>
      <c r="F784" s="83" t="b">
        <v>0</v>
      </c>
      <c r="G784" s="83" t="b">
        <v>0</v>
      </c>
    </row>
    <row r="785" spans="1:7" ht="15">
      <c r="A785" s="84" t="s">
        <v>2901</v>
      </c>
      <c r="B785" s="83">
        <v>2</v>
      </c>
      <c r="C785" s="110">
        <v>0.0007042718569142821</v>
      </c>
      <c r="D785" s="83" t="s">
        <v>3175</v>
      </c>
      <c r="E785" s="83" t="b">
        <v>0</v>
      </c>
      <c r="F785" s="83" t="b">
        <v>0</v>
      </c>
      <c r="G785" s="83" t="b">
        <v>0</v>
      </c>
    </row>
    <row r="786" spans="1:7" ht="15">
      <c r="A786" s="84" t="s">
        <v>2902</v>
      </c>
      <c r="B786" s="83">
        <v>2</v>
      </c>
      <c r="C786" s="110">
        <v>0.0007042718569142821</v>
      </c>
      <c r="D786" s="83" t="s">
        <v>3175</v>
      </c>
      <c r="E786" s="83" t="b">
        <v>0</v>
      </c>
      <c r="F786" s="83" t="b">
        <v>0</v>
      </c>
      <c r="G786" s="83" t="b">
        <v>0</v>
      </c>
    </row>
    <row r="787" spans="1:7" ht="15">
      <c r="A787" s="84" t="s">
        <v>2903</v>
      </c>
      <c r="B787" s="83">
        <v>2</v>
      </c>
      <c r="C787" s="110">
        <v>0.0007042718569142821</v>
      </c>
      <c r="D787" s="83" t="s">
        <v>3175</v>
      </c>
      <c r="E787" s="83" t="b">
        <v>0</v>
      </c>
      <c r="F787" s="83" t="b">
        <v>0</v>
      </c>
      <c r="G787" s="83" t="b">
        <v>0</v>
      </c>
    </row>
    <row r="788" spans="1:7" ht="15">
      <c r="A788" s="84" t="s">
        <v>2904</v>
      </c>
      <c r="B788" s="83">
        <v>2</v>
      </c>
      <c r="C788" s="110">
        <v>0.0007042718569142821</v>
      </c>
      <c r="D788" s="83" t="s">
        <v>3175</v>
      </c>
      <c r="E788" s="83" t="b">
        <v>0</v>
      </c>
      <c r="F788" s="83" t="b">
        <v>0</v>
      </c>
      <c r="G788" s="83" t="b">
        <v>0</v>
      </c>
    </row>
    <row r="789" spans="1:7" ht="15">
      <c r="A789" s="84" t="s">
        <v>2905</v>
      </c>
      <c r="B789" s="83">
        <v>2</v>
      </c>
      <c r="C789" s="110">
        <v>0.0007042718569142821</v>
      </c>
      <c r="D789" s="83" t="s">
        <v>3175</v>
      </c>
      <c r="E789" s="83" t="b">
        <v>0</v>
      </c>
      <c r="F789" s="83" t="b">
        <v>0</v>
      </c>
      <c r="G789" s="83" t="b">
        <v>0</v>
      </c>
    </row>
    <row r="790" spans="1:7" ht="15">
      <c r="A790" s="84" t="s">
        <v>2906</v>
      </c>
      <c r="B790" s="83">
        <v>2</v>
      </c>
      <c r="C790" s="110">
        <v>0.0007042718569142821</v>
      </c>
      <c r="D790" s="83" t="s">
        <v>3175</v>
      </c>
      <c r="E790" s="83" t="b">
        <v>0</v>
      </c>
      <c r="F790" s="83" t="b">
        <v>0</v>
      </c>
      <c r="G790" s="83" t="b">
        <v>0</v>
      </c>
    </row>
    <row r="791" spans="1:7" ht="15">
      <c r="A791" s="84" t="s">
        <v>2907</v>
      </c>
      <c r="B791" s="83">
        <v>2</v>
      </c>
      <c r="C791" s="110">
        <v>0.0007042718569142821</v>
      </c>
      <c r="D791" s="83" t="s">
        <v>3175</v>
      </c>
      <c r="E791" s="83" t="b">
        <v>0</v>
      </c>
      <c r="F791" s="83" t="b">
        <v>0</v>
      </c>
      <c r="G791" s="83" t="b">
        <v>0</v>
      </c>
    </row>
    <row r="792" spans="1:7" ht="15">
      <c r="A792" s="84" t="s">
        <v>2908</v>
      </c>
      <c r="B792" s="83">
        <v>2</v>
      </c>
      <c r="C792" s="110">
        <v>0.0007042718569142821</v>
      </c>
      <c r="D792" s="83" t="s">
        <v>3175</v>
      </c>
      <c r="E792" s="83" t="b">
        <v>0</v>
      </c>
      <c r="F792" s="83" t="b">
        <v>0</v>
      </c>
      <c r="G792" s="83" t="b">
        <v>0</v>
      </c>
    </row>
    <row r="793" spans="1:7" ht="15">
      <c r="A793" s="84" t="s">
        <v>2909</v>
      </c>
      <c r="B793" s="83">
        <v>2</v>
      </c>
      <c r="C793" s="110">
        <v>0.0007042718569142821</v>
      </c>
      <c r="D793" s="83" t="s">
        <v>3175</v>
      </c>
      <c r="E793" s="83" t="b">
        <v>1</v>
      </c>
      <c r="F793" s="83" t="b">
        <v>0</v>
      </c>
      <c r="G793" s="83" t="b">
        <v>0</v>
      </c>
    </row>
    <row r="794" spans="1:7" ht="15">
      <c r="A794" s="84" t="s">
        <v>2910</v>
      </c>
      <c r="B794" s="83">
        <v>2</v>
      </c>
      <c r="C794" s="110">
        <v>0.0007042718569142821</v>
      </c>
      <c r="D794" s="83" t="s">
        <v>3175</v>
      </c>
      <c r="E794" s="83" t="b">
        <v>0</v>
      </c>
      <c r="F794" s="83" t="b">
        <v>1</v>
      </c>
      <c r="G794" s="83" t="b">
        <v>0</v>
      </c>
    </row>
    <row r="795" spans="1:7" ht="15">
      <c r="A795" s="84" t="s">
        <v>2911</v>
      </c>
      <c r="B795" s="83">
        <v>2</v>
      </c>
      <c r="C795" s="110">
        <v>0.0007042718569142821</v>
      </c>
      <c r="D795" s="83" t="s">
        <v>3175</v>
      </c>
      <c r="E795" s="83" t="b">
        <v>0</v>
      </c>
      <c r="F795" s="83" t="b">
        <v>0</v>
      </c>
      <c r="G795" s="83" t="b">
        <v>0</v>
      </c>
    </row>
    <row r="796" spans="1:7" ht="15">
      <c r="A796" s="84" t="s">
        <v>2912</v>
      </c>
      <c r="B796" s="83">
        <v>2</v>
      </c>
      <c r="C796" s="110">
        <v>0.0007893686754765382</v>
      </c>
      <c r="D796" s="83" t="s">
        <v>3175</v>
      </c>
      <c r="E796" s="83" t="b">
        <v>0</v>
      </c>
      <c r="F796" s="83" t="b">
        <v>0</v>
      </c>
      <c r="G796" s="83" t="b">
        <v>0</v>
      </c>
    </row>
    <row r="797" spans="1:7" ht="15">
      <c r="A797" s="84" t="s">
        <v>2913</v>
      </c>
      <c r="B797" s="83">
        <v>2</v>
      </c>
      <c r="C797" s="110">
        <v>0.0007042718569142821</v>
      </c>
      <c r="D797" s="83" t="s">
        <v>3175</v>
      </c>
      <c r="E797" s="83" t="b">
        <v>0</v>
      </c>
      <c r="F797" s="83" t="b">
        <v>0</v>
      </c>
      <c r="G797" s="83" t="b">
        <v>0</v>
      </c>
    </row>
    <row r="798" spans="1:7" ht="15">
      <c r="A798" s="84" t="s">
        <v>2914</v>
      </c>
      <c r="B798" s="83">
        <v>2</v>
      </c>
      <c r="C798" s="110">
        <v>0.0007042718569142821</v>
      </c>
      <c r="D798" s="83" t="s">
        <v>3175</v>
      </c>
      <c r="E798" s="83" t="b">
        <v>0</v>
      </c>
      <c r="F798" s="83" t="b">
        <v>1</v>
      </c>
      <c r="G798" s="83" t="b">
        <v>0</v>
      </c>
    </row>
    <row r="799" spans="1:7" ht="15">
      <c r="A799" s="84" t="s">
        <v>2915</v>
      </c>
      <c r="B799" s="83">
        <v>2</v>
      </c>
      <c r="C799" s="110">
        <v>0.0007042718569142821</v>
      </c>
      <c r="D799" s="83" t="s">
        <v>3175</v>
      </c>
      <c r="E799" s="83" t="b">
        <v>0</v>
      </c>
      <c r="F799" s="83" t="b">
        <v>0</v>
      </c>
      <c r="G799" s="83" t="b">
        <v>0</v>
      </c>
    </row>
    <row r="800" spans="1:7" ht="15">
      <c r="A800" s="84" t="s">
        <v>2916</v>
      </c>
      <c r="B800" s="83">
        <v>2</v>
      </c>
      <c r="C800" s="110">
        <v>0.0007042718569142821</v>
      </c>
      <c r="D800" s="83" t="s">
        <v>3175</v>
      </c>
      <c r="E800" s="83" t="b">
        <v>1</v>
      </c>
      <c r="F800" s="83" t="b">
        <v>0</v>
      </c>
      <c r="G800" s="83" t="b">
        <v>0</v>
      </c>
    </row>
    <row r="801" spans="1:7" ht="15">
      <c r="A801" s="84" t="s">
        <v>2917</v>
      </c>
      <c r="B801" s="83">
        <v>2</v>
      </c>
      <c r="C801" s="110">
        <v>0.0007042718569142821</v>
      </c>
      <c r="D801" s="83" t="s">
        <v>3175</v>
      </c>
      <c r="E801" s="83" t="b">
        <v>0</v>
      </c>
      <c r="F801" s="83" t="b">
        <v>0</v>
      </c>
      <c r="G801" s="83" t="b">
        <v>0</v>
      </c>
    </row>
    <row r="802" spans="1:7" ht="15">
      <c r="A802" s="84" t="s">
        <v>2918</v>
      </c>
      <c r="B802" s="83">
        <v>2</v>
      </c>
      <c r="C802" s="110">
        <v>0.0007042718569142821</v>
      </c>
      <c r="D802" s="83" t="s">
        <v>3175</v>
      </c>
      <c r="E802" s="83" t="b">
        <v>0</v>
      </c>
      <c r="F802" s="83" t="b">
        <v>0</v>
      </c>
      <c r="G802" s="83" t="b">
        <v>0</v>
      </c>
    </row>
    <row r="803" spans="1:7" ht="15">
      <c r="A803" s="84" t="s">
        <v>2919</v>
      </c>
      <c r="B803" s="83">
        <v>2</v>
      </c>
      <c r="C803" s="110">
        <v>0.0007042718569142821</v>
      </c>
      <c r="D803" s="83" t="s">
        <v>3175</v>
      </c>
      <c r="E803" s="83" t="b">
        <v>0</v>
      </c>
      <c r="F803" s="83" t="b">
        <v>0</v>
      </c>
      <c r="G803" s="83" t="b">
        <v>0</v>
      </c>
    </row>
    <row r="804" spans="1:7" ht="15">
      <c r="A804" s="84" t="s">
        <v>2920</v>
      </c>
      <c r="B804" s="83">
        <v>2</v>
      </c>
      <c r="C804" s="110">
        <v>0.0007042718569142821</v>
      </c>
      <c r="D804" s="83" t="s">
        <v>3175</v>
      </c>
      <c r="E804" s="83" t="b">
        <v>0</v>
      </c>
      <c r="F804" s="83" t="b">
        <v>0</v>
      </c>
      <c r="G804" s="83" t="b">
        <v>0</v>
      </c>
    </row>
    <row r="805" spans="1:7" ht="15">
      <c r="A805" s="84" t="s">
        <v>2921</v>
      </c>
      <c r="B805" s="83">
        <v>2</v>
      </c>
      <c r="C805" s="110">
        <v>0.0007042718569142821</v>
      </c>
      <c r="D805" s="83" t="s">
        <v>3175</v>
      </c>
      <c r="E805" s="83" t="b">
        <v>0</v>
      </c>
      <c r="F805" s="83" t="b">
        <v>0</v>
      </c>
      <c r="G805" s="83" t="b">
        <v>0</v>
      </c>
    </row>
    <row r="806" spans="1:7" ht="15">
      <c r="A806" s="84" t="s">
        <v>2922</v>
      </c>
      <c r="B806" s="83">
        <v>2</v>
      </c>
      <c r="C806" s="110">
        <v>0.0007893686754765382</v>
      </c>
      <c r="D806" s="83" t="s">
        <v>3175</v>
      </c>
      <c r="E806" s="83" t="b">
        <v>0</v>
      </c>
      <c r="F806" s="83" t="b">
        <v>1</v>
      </c>
      <c r="G806" s="83" t="b">
        <v>0</v>
      </c>
    </row>
    <row r="807" spans="1:7" ht="15">
      <c r="A807" s="84" t="s">
        <v>2923</v>
      </c>
      <c r="B807" s="83">
        <v>2</v>
      </c>
      <c r="C807" s="110">
        <v>0.0007042718569142821</v>
      </c>
      <c r="D807" s="83" t="s">
        <v>3175</v>
      </c>
      <c r="E807" s="83" t="b">
        <v>0</v>
      </c>
      <c r="F807" s="83" t="b">
        <v>0</v>
      </c>
      <c r="G807" s="83" t="b">
        <v>0</v>
      </c>
    </row>
    <row r="808" spans="1:7" ht="15">
      <c r="A808" s="84" t="s">
        <v>2924</v>
      </c>
      <c r="B808" s="83">
        <v>2</v>
      </c>
      <c r="C808" s="110">
        <v>0.0007042718569142821</v>
      </c>
      <c r="D808" s="83" t="s">
        <v>3175</v>
      </c>
      <c r="E808" s="83" t="b">
        <v>0</v>
      </c>
      <c r="F808" s="83" t="b">
        <v>1</v>
      </c>
      <c r="G808" s="83" t="b">
        <v>0</v>
      </c>
    </row>
    <row r="809" spans="1:7" ht="15">
      <c r="A809" s="84" t="s">
        <v>2925</v>
      </c>
      <c r="B809" s="83">
        <v>2</v>
      </c>
      <c r="C809" s="110">
        <v>0.0007893686754765382</v>
      </c>
      <c r="D809" s="83" t="s">
        <v>3175</v>
      </c>
      <c r="E809" s="83" t="b">
        <v>0</v>
      </c>
      <c r="F809" s="83" t="b">
        <v>0</v>
      </c>
      <c r="G809" s="83" t="b">
        <v>0</v>
      </c>
    </row>
    <row r="810" spans="1:7" ht="15">
      <c r="A810" s="84" t="s">
        <v>2926</v>
      </c>
      <c r="B810" s="83">
        <v>2</v>
      </c>
      <c r="C810" s="110">
        <v>0.0007042718569142821</v>
      </c>
      <c r="D810" s="83" t="s">
        <v>3175</v>
      </c>
      <c r="E810" s="83" t="b">
        <v>0</v>
      </c>
      <c r="F810" s="83" t="b">
        <v>0</v>
      </c>
      <c r="G810" s="83" t="b">
        <v>0</v>
      </c>
    </row>
    <row r="811" spans="1:7" ht="15">
      <c r="A811" s="84" t="s">
        <v>2927</v>
      </c>
      <c r="B811" s="83">
        <v>2</v>
      </c>
      <c r="C811" s="110">
        <v>0.0007893686754765382</v>
      </c>
      <c r="D811" s="83" t="s">
        <v>3175</v>
      </c>
      <c r="E811" s="83" t="b">
        <v>1</v>
      </c>
      <c r="F811" s="83" t="b">
        <v>0</v>
      </c>
      <c r="G811" s="83" t="b">
        <v>0</v>
      </c>
    </row>
    <row r="812" spans="1:7" ht="15">
      <c r="A812" s="84" t="s">
        <v>2928</v>
      </c>
      <c r="B812" s="83">
        <v>2</v>
      </c>
      <c r="C812" s="110">
        <v>0.0007042718569142821</v>
      </c>
      <c r="D812" s="83" t="s">
        <v>3175</v>
      </c>
      <c r="E812" s="83" t="b">
        <v>0</v>
      </c>
      <c r="F812" s="83" t="b">
        <v>1</v>
      </c>
      <c r="G812" s="83" t="b">
        <v>0</v>
      </c>
    </row>
    <row r="813" spans="1:7" ht="15">
      <c r="A813" s="84" t="s">
        <v>2929</v>
      </c>
      <c r="B813" s="83">
        <v>2</v>
      </c>
      <c r="C813" s="110">
        <v>0.0007042718569142821</v>
      </c>
      <c r="D813" s="83" t="s">
        <v>3175</v>
      </c>
      <c r="E813" s="83" t="b">
        <v>0</v>
      </c>
      <c r="F813" s="83" t="b">
        <v>0</v>
      </c>
      <c r="G813" s="83" t="b">
        <v>0</v>
      </c>
    </row>
    <row r="814" spans="1:7" ht="15">
      <c r="A814" s="84" t="s">
        <v>2930</v>
      </c>
      <c r="B814" s="83">
        <v>2</v>
      </c>
      <c r="C814" s="110">
        <v>0.0007042718569142821</v>
      </c>
      <c r="D814" s="83" t="s">
        <v>3175</v>
      </c>
      <c r="E814" s="83" t="b">
        <v>0</v>
      </c>
      <c r="F814" s="83" t="b">
        <v>1</v>
      </c>
      <c r="G814" s="83" t="b">
        <v>0</v>
      </c>
    </row>
    <row r="815" spans="1:7" ht="15">
      <c r="A815" s="84" t="s">
        <v>2931</v>
      </c>
      <c r="B815" s="83">
        <v>2</v>
      </c>
      <c r="C815" s="110">
        <v>0.0007042718569142821</v>
      </c>
      <c r="D815" s="83" t="s">
        <v>3175</v>
      </c>
      <c r="E815" s="83" t="b">
        <v>0</v>
      </c>
      <c r="F815" s="83" t="b">
        <v>1</v>
      </c>
      <c r="G815" s="83" t="b">
        <v>0</v>
      </c>
    </row>
    <row r="816" spans="1:7" ht="15">
      <c r="A816" s="84" t="s">
        <v>2932</v>
      </c>
      <c r="B816" s="83">
        <v>2</v>
      </c>
      <c r="C816" s="110">
        <v>0.0007042718569142821</v>
      </c>
      <c r="D816" s="83" t="s">
        <v>3175</v>
      </c>
      <c r="E816" s="83" t="b">
        <v>0</v>
      </c>
      <c r="F816" s="83" t="b">
        <v>0</v>
      </c>
      <c r="G816" s="83" t="b">
        <v>0</v>
      </c>
    </row>
    <row r="817" spans="1:7" ht="15">
      <c r="A817" s="84" t="s">
        <v>2933</v>
      </c>
      <c r="B817" s="83">
        <v>2</v>
      </c>
      <c r="C817" s="110">
        <v>0.0007042718569142821</v>
      </c>
      <c r="D817" s="83" t="s">
        <v>3175</v>
      </c>
      <c r="E817" s="83" t="b">
        <v>0</v>
      </c>
      <c r="F817" s="83" t="b">
        <v>0</v>
      </c>
      <c r="G817" s="83" t="b">
        <v>0</v>
      </c>
    </row>
    <row r="818" spans="1:7" ht="15">
      <c r="A818" s="84" t="s">
        <v>2934</v>
      </c>
      <c r="B818" s="83">
        <v>2</v>
      </c>
      <c r="C818" s="110">
        <v>0.0007042718569142821</v>
      </c>
      <c r="D818" s="83" t="s">
        <v>3175</v>
      </c>
      <c r="E818" s="83" t="b">
        <v>0</v>
      </c>
      <c r="F818" s="83" t="b">
        <v>0</v>
      </c>
      <c r="G818" s="83" t="b">
        <v>0</v>
      </c>
    </row>
    <row r="819" spans="1:7" ht="15">
      <c r="A819" s="84" t="s">
        <v>2935</v>
      </c>
      <c r="B819" s="83">
        <v>2</v>
      </c>
      <c r="C819" s="110">
        <v>0.0007893686754765382</v>
      </c>
      <c r="D819" s="83" t="s">
        <v>3175</v>
      </c>
      <c r="E819" s="83" t="b">
        <v>0</v>
      </c>
      <c r="F819" s="83" t="b">
        <v>0</v>
      </c>
      <c r="G819" s="83" t="b">
        <v>0</v>
      </c>
    </row>
    <row r="820" spans="1:7" ht="15">
      <c r="A820" s="84" t="s">
        <v>2936</v>
      </c>
      <c r="B820" s="83">
        <v>2</v>
      </c>
      <c r="C820" s="110">
        <v>0.0007042718569142821</v>
      </c>
      <c r="D820" s="83" t="s">
        <v>3175</v>
      </c>
      <c r="E820" s="83" t="b">
        <v>0</v>
      </c>
      <c r="F820" s="83" t="b">
        <v>0</v>
      </c>
      <c r="G820" s="83" t="b">
        <v>0</v>
      </c>
    </row>
    <row r="821" spans="1:7" ht="15">
      <c r="A821" s="84" t="s">
        <v>2937</v>
      </c>
      <c r="B821" s="83">
        <v>2</v>
      </c>
      <c r="C821" s="110">
        <v>0.0007893686754765382</v>
      </c>
      <c r="D821" s="83" t="s">
        <v>3175</v>
      </c>
      <c r="E821" s="83" t="b">
        <v>0</v>
      </c>
      <c r="F821" s="83" t="b">
        <v>0</v>
      </c>
      <c r="G821" s="83" t="b">
        <v>0</v>
      </c>
    </row>
    <row r="822" spans="1:7" ht="15">
      <c r="A822" s="84" t="s">
        <v>2938</v>
      </c>
      <c r="B822" s="83">
        <v>2</v>
      </c>
      <c r="C822" s="110">
        <v>0.0007893686754765382</v>
      </c>
      <c r="D822" s="83" t="s">
        <v>3175</v>
      </c>
      <c r="E822" s="83" t="b">
        <v>0</v>
      </c>
      <c r="F822" s="83" t="b">
        <v>0</v>
      </c>
      <c r="G822" s="83" t="b">
        <v>0</v>
      </c>
    </row>
    <row r="823" spans="1:7" ht="15">
      <c r="A823" s="84" t="s">
        <v>2939</v>
      </c>
      <c r="B823" s="83">
        <v>2</v>
      </c>
      <c r="C823" s="110">
        <v>0.0007893686754765382</v>
      </c>
      <c r="D823" s="83" t="s">
        <v>3175</v>
      </c>
      <c r="E823" s="83" t="b">
        <v>0</v>
      </c>
      <c r="F823" s="83" t="b">
        <v>1</v>
      </c>
      <c r="G823" s="83" t="b">
        <v>0</v>
      </c>
    </row>
    <row r="824" spans="1:7" ht="15">
      <c r="A824" s="84" t="s">
        <v>2940</v>
      </c>
      <c r="B824" s="83">
        <v>2</v>
      </c>
      <c r="C824" s="110">
        <v>0.0007893686754765382</v>
      </c>
      <c r="D824" s="83" t="s">
        <v>3175</v>
      </c>
      <c r="E824" s="83" t="b">
        <v>0</v>
      </c>
      <c r="F824" s="83" t="b">
        <v>0</v>
      </c>
      <c r="G824" s="83" t="b">
        <v>0</v>
      </c>
    </row>
    <row r="825" spans="1:7" ht="15">
      <c r="A825" s="84" t="s">
        <v>2941</v>
      </c>
      <c r="B825" s="83">
        <v>2</v>
      </c>
      <c r="C825" s="110">
        <v>0.0007893686754765382</v>
      </c>
      <c r="D825" s="83" t="s">
        <v>3175</v>
      </c>
      <c r="E825" s="83" t="b">
        <v>0</v>
      </c>
      <c r="F825" s="83" t="b">
        <v>0</v>
      </c>
      <c r="G825" s="83" t="b">
        <v>0</v>
      </c>
    </row>
    <row r="826" spans="1:7" ht="15">
      <c r="A826" s="84" t="s">
        <v>2942</v>
      </c>
      <c r="B826" s="83">
        <v>2</v>
      </c>
      <c r="C826" s="110">
        <v>0.0007042718569142821</v>
      </c>
      <c r="D826" s="83" t="s">
        <v>3175</v>
      </c>
      <c r="E826" s="83" t="b">
        <v>0</v>
      </c>
      <c r="F826" s="83" t="b">
        <v>0</v>
      </c>
      <c r="G826" s="83" t="b">
        <v>0</v>
      </c>
    </row>
    <row r="827" spans="1:7" ht="15">
      <c r="A827" s="84" t="s">
        <v>2943</v>
      </c>
      <c r="B827" s="83">
        <v>2</v>
      </c>
      <c r="C827" s="110">
        <v>0.0007042718569142821</v>
      </c>
      <c r="D827" s="83" t="s">
        <v>3175</v>
      </c>
      <c r="E827" s="83" t="b">
        <v>0</v>
      </c>
      <c r="F827" s="83" t="b">
        <v>0</v>
      </c>
      <c r="G827" s="83" t="b">
        <v>0</v>
      </c>
    </row>
    <row r="828" spans="1:7" ht="15">
      <c r="A828" s="84" t="s">
        <v>2944</v>
      </c>
      <c r="B828" s="83">
        <v>2</v>
      </c>
      <c r="C828" s="110">
        <v>0.0007042718569142821</v>
      </c>
      <c r="D828" s="83" t="s">
        <v>3175</v>
      </c>
      <c r="E828" s="83" t="b">
        <v>0</v>
      </c>
      <c r="F828" s="83" t="b">
        <v>0</v>
      </c>
      <c r="G828" s="83" t="b">
        <v>0</v>
      </c>
    </row>
    <row r="829" spans="1:7" ht="15">
      <c r="A829" s="84" t="s">
        <v>2945</v>
      </c>
      <c r="B829" s="83">
        <v>2</v>
      </c>
      <c r="C829" s="110">
        <v>0.0007042718569142821</v>
      </c>
      <c r="D829" s="83" t="s">
        <v>3175</v>
      </c>
      <c r="E829" s="83" t="b">
        <v>0</v>
      </c>
      <c r="F829" s="83" t="b">
        <v>0</v>
      </c>
      <c r="G829" s="83" t="b">
        <v>0</v>
      </c>
    </row>
    <row r="830" spans="1:7" ht="15">
      <c r="A830" s="84" t="s">
        <v>2946</v>
      </c>
      <c r="B830" s="83">
        <v>2</v>
      </c>
      <c r="C830" s="110">
        <v>0.0007042718569142821</v>
      </c>
      <c r="D830" s="83" t="s">
        <v>3175</v>
      </c>
      <c r="E830" s="83" t="b">
        <v>0</v>
      </c>
      <c r="F830" s="83" t="b">
        <v>0</v>
      </c>
      <c r="G830" s="83" t="b">
        <v>0</v>
      </c>
    </row>
    <row r="831" spans="1:7" ht="15">
      <c r="A831" s="84" t="s">
        <v>2947</v>
      </c>
      <c r="B831" s="83">
        <v>2</v>
      </c>
      <c r="C831" s="110">
        <v>0.0007042718569142821</v>
      </c>
      <c r="D831" s="83" t="s">
        <v>3175</v>
      </c>
      <c r="E831" s="83" t="b">
        <v>0</v>
      </c>
      <c r="F831" s="83" t="b">
        <v>0</v>
      </c>
      <c r="G831" s="83" t="b">
        <v>0</v>
      </c>
    </row>
    <row r="832" spans="1:7" ht="15">
      <c r="A832" s="84" t="s">
        <v>2948</v>
      </c>
      <c r="B832" s="83">
        <v>2</v>
      </c>
      <c r="C832" s="110">
        <v>0.0007042718569142821</v>
      </c>
      <c r="D832" s="83" t="s">
        <v>3175</v>
      </c>
      <c r="E832" s="83" t="b">
        <v>0</v>
      </c>
      <c r="F832" s="83" t="b">
        <v>0</v>
      </c>
      <c r="G832" s="83" t="b">
        <v>0</v>
      </c>
    </row>
    <row r="833" spans="1:7" ht="15">
      <c r="A833" s="84" t="s">
        <v>2949</v>
      </c>
      <c r="B833" s="83">
        <v>2</v>
      </c>
      <c r="C833" s="110">
        <v>0.0007042718569142821</v>
      </c>
      <c r="D833" s="83" t="s">
        <v>3175</v>
      </c>
      <c r="E833" s="83" t="b">
        <v>0</v>
      </c>
      <c r="F833" s="83" t="b">
        <v>0</v>
      </c>
      <c r="G833" s="83" t="b">
        <v>0</v>
      </c>
    </row>
    <row r="834" spans="1:7" ht="15">
      <c r="A834" s="84" t="s">
        <v>2950</v>
      </c>
      <c r="B834" s="83">
        <v>2</v>
      </c>
      <c r="C834" s="110">
        <v>0.0007042718569142821</v>
      </c>
      <c r="D834" s="83" t="s">
        <v>3175</v>
      </c>
      <c r="E834" s="83" t="b">
        <v>0</v>
      </c>
      <c r="F834" s="83" t="b">
        <v>1</v>
      </c>
      <c r="G834" s="83" t="b">
        <v>0</v>
      </c>
    </row>
    <row r="835" spans="1:7" ht="15">
      <c r="A835" s="84" t="s">
        <v>2951</v>
      </c>
      <c r="B835" s="83">
        <v>2</v>
      </c>
      <c r="C835" s="110">
        <v>0.0007042718569142821</v>
      </c>
      <c r="D835" s="83" t="s">
        <v>3175</v>
      </c>
      <c r="E835" s="83" t="b">
        <v>0</v>
      </c>
      <c r="F835" s="83" t="b">
        <v>0</v>
      </c>
      <c r="G835" s="83" t="b">
        <v>0</v>
      </c>
    </row>
    <row r="836" spans="1:7" ht="15">
      <c r="A836" s="84" t="s">
        <v>2952</v>
      </c>
      <c r="B836" s="83">
        <v>2</v>
      </c>
      <c r="C836" s="110">
        <v>0.0007042718569142821</v>
      </c>
      <c r="D836" s="83" t="s">
        <v>3175</v>
      </c>
      <c r="E836" s="83" t="b">
        <v>0</v>
      </c>
      <c r="F836" s="83" t="b">
        <v>0</v>
      </c>
      <c r="G836" s="83" t="b">
        <v>0</v>
      </c>
    </row>
    <row r="837" spans="1:7" ht="15">
      <c r="A837" s="84" t="s">
        <v>2953</v>
      </c>
      <c r="B837" s="83">
        <v>2</v>
      </c>
      <c r="C837" s="110">
        <v>0.0007042718569142821</v>
      </c>
      <c r="D837" s="83" t="s">
        <v>3175</v>
      </c>
      <c r="E837" s="83" t="b">
        <v>0</v>
      </c>
      <c r="F837" s="83" t="b">
        <v>0</v>
      </c>
      <c r="G837" s="83" t="b">
        <v>0</v>
      </c>
    </row>
    <row r="838" spans="1:7" ht="15">
      <c r="A838" s="84" t="s">
        <v>2954</v>
      </c>
      <c r="B838" s="83">
        <v>2</v>
      </c>
      <c r="C838" s="110">
        <v>0.0007042718569142821</v>
      </c>
      <c r="D838" s="83" t="s">
        <v>3175</v>
      </c>
      <c r="E838" s="83" t="b">
        <v>1</v>
      </c>
      <c r="F838" s="83" t="b">
        <v>0</v>
      </c>
      <c r="G838" s="83" t="b">
        <v>0</v>
      </c>
    </row>
    <row r="839" spans="1:7" ht="15">
      <c r="A839" s="84" t="s">
        <v>2955</v>
      </c>
      <c r="B839" s="83">
        <v>2</v>
      </c>
      <c r="C839" s="110">
        <v>0.0007042718569142821</v>
      </c>
      <c r="D839" s="83" t="s">
        <v>3175</v>
      </c>
      <c r="E839" s="83" t="b">
        <v>0</v>
      </c>
      <c r="F839" s="83" t="b">
        <v>0</v>
      </c>
      <c r="G839" s="83" t="b">
        <v>0</v>
      </c>
    </row>
    <row r="840" spans="1:7" ht="15">
      <c r="A840" s="84" t="s">
        <v>2956</v>
      </c>
      <c r="B840" s="83">
        <v>2</v>
      </c>
      <c r="C840" s="110">
        <v>0.0007042718569142821</v>
      </c>
      <c r="D840" s="83" t="s">
        <v>3175</v>
      </c>
      <c r="E840" s="83" t="b">
        <v>0</v>
      </c>
      <c r="F840" s="83" t="b">
        <v>0</v>
      </c>
      <c r="G840" s="83" t="b">
        <v>0</v>
      </c>
    </row>
    <row r="841" spans="1:7" ht="15">
      <c r="A841" s="84" t="s">
        <v>2957</v>
      </c>
      <c r="B841" s="83">
        <v>2</v>
      </c>
      <c r="C841" s="110">
        <v>0.0007893686754765382</v>
      </c>
      <c r="D841" s="83" t="s">
        <v>3175</v>
      </c>
      <c r="E841" s="83" t="b">
        <v>0</v>
      </c>
      <c r="F841" s="83" t="b">
        <v>1</v>
      </c>
      <c r="G841" s="83" t="b">
        <v>0</v>
      </c>
    </row>
    <row r="842" spans="1:7" ht="15">
      <c r="A842" s="84" t="s">
        <v>2958</v>
      </c>
      <c r="B842" s="83">
        <v>2</v>
      </c>
      <c r="C842" s="110">
        <v>0.0007042718569142821</v>
      </c>
      <c r="D842" s="83" t="s">
        <v>3175</v>
      </c>
      <c r="E842" s="83" t="b">
        <v>0</v>
      </c>
      <c r="F842" s="83" t="b">
        <v>0</v>
      </c>
      <c r="G842" s="83" t="b">
        <v>0</v>
      </c>
    </row>
    <row r="843" spans="1:7" ht="15">
      <c r="A843" s="84" t="s">
        <v>2959</v>
      </c>
      <c r="B843" s="83">
        <v>2</v>
      </c>
      <c r="C843" s="110">
        <v>0.0007042718569142821</v>
      </c>
      <c r="D843" s="83" t="s">
        <v>3175</v>
      </c>
      <c r="E843" s="83" t="b">
        <v>0</v>
      </c>
      <c r="F843" s="83" t="b">
        <v>0</v>
      </c>
      <c r="G843" s="83" t="b">
        <v>0</v>
      </c>
    </row>
    <row r="844" spans="1:7" ht="15">
      <c r="A844" s="84" t="s">
        <v>2960</v>
      </c>
      <c r="B844" s="83">
        <v>2</v>
      </c>
      <c r="C844" s="110">
        <v>0.0007042718569142821</v>
      </c>
      <c r="D844" s="83" t="s">
        <v>3175</v>
      </c>
      <c r="E844" s="83" t="b">
        <v>0</v>
      </c>
      <c r="F844" s="83" t="b">
        <v>0</v>
      </c>
      <c r="G844" s="83" t="b">
        <v>0</v>
      </c>
    </row>
    <row r="845" spans="1:7" ht="15">
      <c r="A845" s="84" t="s">
        <v>2961</v>
      </c>
      <c r="B845" s="83">
        <v>2</v>
      </c>
      <c r="C845" s="110">
        <v>0.0007042718569142821</v>
      </c>
      <c r="D845" s="83" t="s">
        <v>3175</v>
      </c>
      <c r="E845" s="83" t="b">
        <v>0</v>
      </c>
      <c r="F845" s="83" t="b">
        <v>0</v>
      </c>
      <c r="G845" s="83" t="b">
        <v>0</v>
      </c>
    </row>
    <row r="846" spans="1:7" ht="15">
      <c r="A846" s="84" t="s">
        <v>2962</v>
      </c>
      <c r="B846" s="83">
        <v>2</v>
      </c>
      <c r="C846" s="110">
        <v>0.0007893686754765382</v>
      </c>
      <c r="D846" s="83" t="s">
        <v>3175</v>
      </c>
      <c r="E846" s="83" t="b">
        <v>0</v>
      </c>
      <c r="F846" s="83" t="b">
        <v>0</v>
      </c>
      <c r="G846" s="83" t="b">
        <v>0</v>
      </c>
    </row>
    <row r="847" spans="1:7" ht="15">
      <c r="A847" s="84" t="s">
        <v>2963</v>
      </c>
      <c r="B847" s="83">
        <v>2</v>
      </c>
      <c r="C847" s="110">
        <v>0.0007042718569142821</v>
      </c>
      <c r="D847" s="83" t="s">
        <v>3175</v>
      </c>
      <c r="E847" s="83" t="b">
        <v>0</v>
      </c>
      <c r="F847" s="83" t="b">
        <v>0</v>
      </c>
      <c r="G847" s="83" t="b">
        <v>0</v>
      </c>
    </row>
    <row r="848" spans="1:7" ht="15">
      <c r="A848" s="84" t="s">
        <v>2964</v>
      </c>
      <c r="B848" s="83">
        <v>2</v>
      </c>
      <c r="C848" s="110">
        <v>0.0007042718569142821</v>
      </c>
      <c r="D848" s="83" t="s">
        <v>3175</v>
      </c>
      <c r="E848" s="83" t="b">
        <v>0</v>
      </c>
      <c r="F848" s="83" t="b">
        <v>0</v>
      </c>
      <c r="G848" s="83" t="b">
        <v>0</v>
      </c>
    </row>
    <row r="849" spans="1:7" ht="15">
      <c r="A849" s="84" t="s">
        <v>2965</v>
      </c>
      <c r="B849" s="83">
        <v>2</v>
      </c>
      <c r="C849" s="110">
        <v>0.0007042718569142821</v>
      </c>
      <c r="D849" s="83" t="s">
        <v>3175</v>
      </c>
      <c r="E849" s="83" t="b">
        <v>0</v>
      </c>
      <c r="F849" s="83" t="b">
        <v>1</v>
      </c>
      <c r="G849" s="83" t="b">
        <v>0</v>
      </c>
    </row>
    <row r="850" spans="1:7" ht="15">
      <c r="A850" s="84" t="s">
        <v>2966</v>
      </c>
      <c r="B850" s="83">
        <v>2</v>
      </c>
      <c r="C850" s="110">
        <v>0.0007042718569142821</v>
      </c>
      <c r="D850" s="83" t="s">
        <v>3175</v>
      </c>
      <c r="E850" s="83" t="b">
        <v>0</v>
      </c>
      <c r="F850" s="83" t="b">
        <v>0</v>
      </c>
      <c r="G850" s="83" t="b">
        <v>0</v>
      </c>
    </row>
    <row r="851" spans="1:7" ht="15">
      <c r="A851" s="84" t="s">
        <v>2967</v>
      </c>
      <c r="B851" s="83">
        <v>2</v>
      </c>
      <c r="C851" s="110">
        <v>0.0007042718569142821</v>
      </c>
      <c r="D851" s="83" t="s">
        <v>3175</v>
      </c>
      <c r="E851" s="83" t="b">
        <v>0</v>
      </c>
      <c r="F851" s="83" t="b">
        <v>1</v>
      </c>
      <c r="G851" s="83" t="b">
        <v>0</v>
      </c>
    </row>
    <row r="852" spans="1:7" ht="15">
      <c r="A852" s="84" t="s">
        <v>2968</v>
      </c>
      <c r="B852" s="83">
        <v>2</v>
      </c>
      <c r="C852" s="110">
        <v>0.0007042718569142821</v>
      </c>
      <c r="D852" s="83" t="s">
        <v>3175</v>
      </c>
      <c r="E852" s="83" t="b">
        <v>0</v>
      </c>
      <c r="F852" s="83" t="b">
        <v>0</v>
      </c>
      <c r="G852" s="83" t="b">
        <v>0</v>
      </c>
    </row>
    <row r="853" spans="1:7" ht="15">
      <c r="A853" s="84" t="s">
        <v>2969</v>
      </c>
      <c r="B853" s="83">
        <v>2</v>
      </c>
      <c r="C853" s="110">
        <v>0.0007042718569142821</v>
      </c>
      <c r="D853" s="83" t="s">
        <v>3175</v>
      </c>
      <c r="E853" s="83" t="b">
        <v>0</v>
      </c>
      <c r="F853" s="83" t="b">
        <v>0</v>
      </c>
      <c r="G853" s="83" t="b">
        <v>0</v>
      </c>
    </row>
    <row r="854" spans="1:7" ht="15">
      <c r="A854" s="84" t="s">
        <v>2970</v>
      </c>
      <c r="B854" s="83">
        <v>2</v>
      </c>
      <c r="C854" s="110">
        <v>0.0007042718569142821</v>
      </c>
      <c r="D854" s="83" t="s">
        <v>3175</v>
      </c>
      <c r="E854" s="83" t="b">
        <v>0</v>
      </c>
      <c r="F854" s="83" t="b">
        <v>0</v>
      </c>
      <c r="G854" s="83" t="b">
        <v>0</v>
      </c>
    </row>
    <row r="855" spans="1:7" ht="15">
      <c r="A855" s="84" t="s">
        <v>2971</v>
      </c>
      <c r="B855" s="83">
        <v>2</v>
      </c>
      <c r="C855" s="110">
        <v>0.0007042718569142821</v>
      </c>
      <c r="D855" s="83" t="s">
        <v>3175</v>
      </c>
      <c r="E855" s="83" t="b">
        <v>0</v>
      </c>
      <c r="F855" s="83" t="b">
        <v>0</v>
      </c>
      <c r="G855" s="83" t="b">
        <v>0</v>
      </c>
    </row>
    <row r="856" spans="1:7" ht="15">
      <c r="A856" s="84" t="s">
        <v>2972</v>
      </c>
      <c r="B856" s="83">
        <v>2</v>
      </c>
      <c r="C856" s="110">
        <v>0.0007042718569142821</v>
      </c>
      <c r="D856" s="83" t="s">
        <v>3175</v>
      </c>
      <c r="E856" s="83" t="b">
        <v>0</v>
      </c>
      <c r="F856" s="83" t="b">
        <v>0</v>
      </c>
      <c r="G856" s="83" t="b">
        <v>0</v>
      </c>
    </row>
    <row r="857" spans="1:7" ht="15">
      <c r="A857" s="84" t="s">
        <v>2973</v>
      </c>
      <c r="B857" s="83">
        <v>2</v>
      </c>
      <c r="C857" s="110">
        <v>0.0007042718569142821</v>
      </c>
      <c r="D857" s="83" t="s">
        <v>3175</v>
      </c>
      <c r="E857" s="83" t="b">
        <v>0</v>
      </c>
      <c r="F857" s="83" t="b">
        <v>0</v>
      </c>
      <c r="G857" s="83" t="b">
        <v>0</v>
      </c>
    </row>
    <row r="858" spans="1:7" ht="15">
      <c r="A858" s="84" t="s">
        <v>2974</v>
      </c>
      <c r="B858" s="83">
        <v>2</v>
      </c>
      <c r="C858" s="110">
        <v>0.0007042718569142821</v>
      </c>
      <c r="D858" s="83" t="s">
        <v>3175</v>
      </c>
      <c r="E858" s="83" t="b">
        <v>0</v>
      </c>
      <c r="F858" s="83" t="b">
        <v>0</v>
      </c>
      <c r="G858" s="83" t="b">
        <v>0</v>
      </c>
    </row>
    <row r="859" spans="1:7" ht="15">
      <c r="A859" s="84" t="s">
        <v>2975</v>
      </c>
      <c r="B859" s="83">
        <v>2</v>
      </c>
      <c r="C859" s="110">
        <v>0.0007042718569142821</v>
      </c>
      <c r="D859" s="83" t="s">
        <v>3175</v>
      </c>
      <c r="E859" s="83" t="b">
        <v>0</v>
      </c>
      <c r="F859" s="83" t="b">
        <v>0</v>
      </c>
      <c r="G859" s="83" t="b">
        <v>0</v>
      </c>
    </row>
    <row r="860" spans="1:7" ht="15">
      <c r="A860" s="84" t="s">
        <v>2976</v>
      </c>
      <c r="B860" s="83">
        <v>2</v>
      </c>
      <c r="C860" s="110">
        <v>0.0007042718569142821</v>
      </c>
      <c r="D860" s="83" t="s">
        <v>3175</v>
      </c>
      <c r="E860" s="83" t="b">
        <v>0</v>
      </c>
      <c r="F860" s="83" t="b">
        <v>0</v>
      </c>
      <c r="G860" s="83" t="b">
        <v>0</v>
      </c>
    </row>
    <row r="861" spans="1:7" ht="15">
      <c r="A861" s="84" t="s">
        <v>2977</v>
      </c>
      <c r="B861" s="83">
        <v>2</v>
      </c>
      <c r="C861" s="110">
        <v>0.0007042718569142821</v>
      </c>
      <c r="D861" s="83" t="s">
        <v>3175</v>
      </c>
      <c r="E861" s="83" t="b">
        <v>0</v>
      </c>
      <c r="F861" s="83" t="b">
        <v>0</v>
      </c>
      <c r="G861" s="83" t="b">
        <v>0</v>
      </c>
    </row>
    <row r="862" spans="1:7" ht="15">
      <c r="A862" s="84" t="s">
        <v>2978</v>
      </c>
      <c r="B862" s="83">
        <v>2</v>
      </c>
      <c r="C862" s="110">
        <v>0.0007042718569142821</v>
      </c>
      <c r="D862" s="83" t="s">
        <v>3175</v>
      </c>
      <c r="E862" s="83" t="b">
        <v>0</v>
      </c>
      <c r="F862" s="83" t="b">
        <v>0</v>
      </c>
      <c r="G862" s="83" t="b">
        <v>0</v>
      </c>
    </row>
    <row r="863" spans="1:7" ht="15">
      <c r="A863" s="84" t="s">
        <v>2979</v>
      </c>
      <c r="B863" s="83">
        <v>2</v>
      </c>
      <c r="C863" s="110">
        <v>0.0007042718569142821</v>
      </c>
      <c r="D863" s="83" t="s">
        <v>3175</v>
      </c>
      <c r="E863" s="83" t="b">
        <v>0</v>
      </c>
      <c r="F863" s="83" t="b">
        <v>0</v>
      </c>
      <c r="G863" s="83" t="b">
        <v>0</v>
      </c>
    </row>
    <row r="864" spans="1:7" ht="15">
      <c r="A864" s="84" t="s">
        <v>2980</v>
      </c>
      <c r="B864" s="83">
        <v>2</v>
      </c>
      <c r="C864" s="110">
        <v>0.0007042718569142821</v>
      </c>
      <c r="D864" s="83" t="s">
        <v>3175</v>
      </c>
      <c r="E864" s="83" t="b">
        <v>0</v>
      </c>
      <c r="F864" s="83" t="b">
        <v>0</v>
      </c>
      <c r="G864" s="83" t="b">
        <v>0</v>
      </c>
    </row>
    <row r="865" spans="1:7" ht="15">
      <c r="A865" s="84" t="s">
        <v>2981</v>
      </c>
      <c r="B865" s="83">
        <v>2</v>
      </c>
      <c r="C865" s="110">
        <v>0.0007042718569142821</v>
      </c>
      <c r="D865" s="83" t="s">
        <v>3175</v>
      </c>
      <c r="E865" s="83" t="b">
        <v>0</v>
      </c>
      <c r="F865" s="83" t="b">
        <v>0</v>
      </c>
      <c r="G865" s="83" t="b">
        <v>0</v>
      </c>
    </row>
    <row r="866" spans="1:7" ht="15">
      <c r="A866" s="84" t="s">
        <v>2982</v>
      </c>
      <c r="B866" s="83">
        <v>2</v>
      </c>
      <c r="C866" s="110">
        <v>0.0007042718569142821</v>
      </c>
      <c r="D866" s="83" t="s">
        <v>3175</v>
      </c>
      <c r="E866" s="83" t="b">
        <v>0</v>
      </c>
      <c r="F866" s="83" t="b">
        <v>1</v>
      </c>
      <c r="G866" s="83" t="b">
        <v>0</v>
      </c>
    </row>
    <row r="867" spans="1:7" ht="15">
      <c r="A867" s="84" t="s">
        <v>2983</v>
      </c>
      <c r="B867" s="83">
        <v>2</v>
      </c>
      <c r="C867" s="110">
        <v>0.0007893686754765382</v>
      </c>
      <c r="D867" s="83" t="s">
        <v>3175</v>
      </c>
      <c r="E867" s="83" t="b">
        <v>1</v>
      </c>
      <c r="F867" s="83" t="b">
        <v>0</v>
      </c>
      <c r="G867" s="83" t="b">
        <v>0</v>
      </c>
    </row>
    <row r="868" spans="1:7" ht="15">
      <c r="A868" s="84" t="s">
        <v>2984</v>
      </c>
      <c r="B868" s="83">
        <v>2</v>
      </c>
      <c r="C868" s="110">
        <v>0.0007893686754765382</v>
      </c>
      <c r="D868" s="83" t="s">
        <v>3175</v>
      </c>
      <c r="E868" s="83" t="b">
        <v>0</v>
      </c>
      <c r="F868" s="83" t="b">
        <v>0</v>
      </c>
      <c r="G868" s="83" t="b">
        <v>0</v>
      </c>
    </row>
    <row r="869" spans="1:7" ht="15">
      <c r="A869" s="84" t="s">
        <v>2985</v>
      </c>
      <c r="B869" s="83">
        <v>2</v>
      </c>
      <c r="C869" s="110">
        <v>0.0007042718569142821</v>
      </c>
      <c r="D869" s="83" t="s">
        <v>3175</v>
      </c>
      <c r="E869" s="83" t="b">
        <v>0</v>
      </c>
      <c r="F869" s="83" t="b">
        <v>0</v>
      </c>
      <c r="G869" s="83" t="b">
        <v>0</v>
      </c>
    </row>
    <row r="870" spans="1:7" ht="15">
      <c r="A870" s="84" t="s">
        <v>2986</v>
      </c>
      <c r="B870" s="83">
        <v>2</v>
      </c>
      <c r="C870" s="110">
        <v>0.0007042718569142821</v>
      </c>
      <c r="D870" s="83" t="s">
        <v>3175</v>
      </c>
      <c r="E870" s="83" t="b">
        <v>0</v>
      </c>
      <c r="F870" s="83" t="b">
        <v>0</v>
      </c>
      <c r="G870" s="83" t="b">
        <v>0</v>
      </c>
    </row>
    <row r="871" spans="1:7" ht="15">
      <c r="A871" s="84" t="s">
        <v>2987</v>
      </c>
      <c r="B871" s="83">
        <v>2</v>
      </c>
      <c r="C871" s="110">
        <v>0.0007042718569142821</v>
      </c>
      <c r="D871" s="83" t="s">
        <v>3175</v>
      </c>
      <c r="E871" s="83" t="b">
        <v>0</v>
      </c>
      <c r="F871" s="83" t="b">
        <v>0</v>
      </c>
      <c r="G871" s="83" t="b">
        <v>0</v>
      </c>
    </row>
    <row r="872" spans="1:7" ht="15">
      <c r="A872" s="84" t="s">
        <v>2988</v>
      </c>
      <c r="B872" s="83">
        <v>2</v>
      </c>
      <c r="C872" s="110">
        <v>0.0007042718569142821</v>
      </c>
      <c r="D872" s="83" t="s">
        <v>3175</v>
      </c>
      <c r="E872" s="83" t="b">
        <v>0</v>
      </c>
      <c r="F872" s="83" t="b">
        <v>0</v>
      </c>
      <c r="G872" s="83" t="b">
        <v>0</v>
      </c>
    </row>
    <row r="873" spans="1:7" ht="15">
      <c r="A873" s="84" t="s">
        <v>2989</v>
      </c>
      <c r="B873" s="83">
        <v>2</v>
      </c>
      <c r="C873" s="110">
        <v>0.0007042718569142821</v>
      </c>
      <c r="D873" s="83" t="s">
        <v>3175</v>
      </c>
      <c r="E873" s="83" t="b">
        <v>0</v>
      </c>
      <c r="F873" s="83" t="b">
        <v>0</v>
      </c>
      <c r="G873" s="83" t="b">
        <v>0</v>
      </c>
    </row>
    <row r="874" spans="1:7" ht="15">
      <c r="A874" s="84" t="s">
        <v>2990</v>
      </c>
      <c r="B874" s="83">
        <v>2</v>
      </c>
      <c r="C874" s="110">
        <v>0.0007042718569142821</v>
      </c>
      <c r="D874" s="83" t="s">
        <v>3175</v>
      </c>
      <c r="E874" s="83" t="b">
        <v>0</v>
      </c>
      <c r="F874" s="83" t="b">
        <v>0</v>
      </c>
      <c r="G874" s="83" t="b">
        <v>0</v>
      </c>
    </row>
    <row r="875" spans="1:7" ht="15">
      <c r="A875" s="84" t="s">
        <v>2991</v>
      </c>
      <c r="B875" s="83">
        <v>2</v>
      </c>
      <c r="C875" s="110">
        <v>0.0007042718569142821</v>
      </c>
      <c r="D875" s="83" t="s">
        <v>3175</v>
      </c>
      <c r="E875" s="83" t="b">
        <v>0</v>
      </c>
      <c r="F875" s="83" t="b">
        <v>0</v>
      </c>
      <c r="G875" s="83" t="b">
        <v>0</v>
      </c>
    </row>
    <row r="876" spans="1:7" ht="15">
      <c r="A876" s="84" t="s">
        <v>2992</v>
      </c>
      <c r="B876" s="83">
        <v>2</v>
      </c>
      <c r="C876" s="110">
        <v>0.0007042718569142821</v>
      </c>
      <c r="D876" s="83" t="s">
        <v>3175</v>
      </c>
      <c r="E876" s="83" t="b">
        <v>0</v>
      </c>
      <c r="F876" s="83" t="b">
        <v>1</v>
      </c>
      <c r="G876" s="83" t="b">
        <v>0</v>
      </c>
    </row>
    <row r="877" spans="1:7" ht="15">
      <c r="A877" s="84" t="s">
        <v>2993</v>
      </c>
      <c r="B877" s="83">
        <v>2</v>
      </c>
      <c r="C877" s="110">
        <v>0.0007042718569142821</v>
      </c>
      <c r="D877" s="83" t="s">
        <v>3175</v>
      </c>
      <c r="E877" s="83" t="b">
        <v>0</v>
      </c>
      <c r="F877" s="83" t="b">
        <v>1</v>
      </c>
      <c r="G877" s="83" t="b">
        <v>0</v>
      </c>
    </row>
    <row r="878" spans="1:7" ht="15">
      <c r="A878" s="84" t="s">
        <v>2994</v>
      </c>
      <c r="B878" s="83">
        <v>2</v>
      </c>
      <c r="C878" s="110">
        <v>0.0007042718569142821</v>
      </c>
      <c r="D878" s="83" t="s">
        <v>3175</v>
      </c>
      <c r="E878" s="83" t="b">
        <v>0</v>
      </c>
      <c r="F878" s="83" t="b">
        <v>0</v>
      </c>
      <c r="G878" s="83" t="b">
        <v>0</v>
      </c>
    </row>
    <row r="879" spans="1:7" ht="15">
      <c r="A879" s="84" t="s">
        <v>2995</v>
      </c>
      <c r="B879" s="83">
        <v>2</v>
      </c>
      <c r="C879" s="110">
        <v>0.0007042718569142821</v>
      </c>
      <c r="D879" s="83" t="s">
        <v>3175</v>
      </c>
      <c r="E879" s="83" t="b">
        <v>0</v>
      </c>
      <c r="F879" s="83" t="b">
        <v>0</v>
      </c>
      <c r="G879" s="83" t="b">
        <v>0</v>
      </c>
    </row>
    <row r="880" spans="1:7" ht="15">
      <c r="A880" s="84" t="s">
        <v>2996</v>
      </c>
      <c r="B880" s="83">
        <v>2</v>
      </c>
      <c r="C880" s="110">
        <v>0.0007042718569142821</v>
      </c>
      <c r="D880" s="83" t="s">
        <v>3175</v>
      </c>
      <c r="E880" s="83" t="b">
        <v>0</v>
      </c>
      <c r="F880" s="83" t="b">
        <v>1</v>
      </c>
      <c r="G880" s="83" t="b">
        <v>0</v>
      </c>
    </row>
    <row r="881" spans="1:7" ht="15">
      <c r="A881" s="84" t="s">
        <v>2997</v>
      </c>
      <c r="B881" s="83">
        <v>2</v>
      </c>
      <c r="C881" s="110">
        <v>0.0007042718569142821</v>
      </c>
      <c r="D881" s="83" t="s">
        <v>3175</v>
      </c>
      <c r="E881" s="83" t="b">
        <v>0</v>
      </c>
      <c r="F881" s="83" t="b">
        <v>1</v>
      </c>
      <c r="G881" s="83" t="b">
        <v>0</v>
      </c>
    </row>
    <row r="882" spans="1:7" ht="15">
      <c r="A882" s="84" t="s">
        <v>2998</v>
      </c>
      <c r="B882" s="83">
        <v>2</v>
      </c>
      <c r="C882" s="110">
        <v>0.0007042718569142821</v>
      </c>
      <c r="D882" s="83" t="s">
        <v>3175</v>
      </c>
      <c r="E882" s="83" t="b">
        <v>0</v>
      </c>
      <c r="F882" s="83" t="b">
        <v>1</v>
      </c>
      <c r="G882" s="83" t="b">
        <v>0</v>
      </c>
    </row>
    <row r="883" spans="1:7" ht="15">
      <c r="A883" s="84" t="s">
        <v>2999</v>
      </c>
      <c r="B883" s="83">
        <v>2</v>
      </c>
      <c r="C883" s="110">
        <v>0.0007042718569142821</v>
      </c>
      <c r="D883" s="83" t="s">
        <v>3175</v>
      </c>
      <c r="E883" s="83" t="b">
        <v>0</v>
      </c>
      <c r="F883" s="83" t="b">
        <v>0</v>
      </c>
      <c r="G883" s="83" t="b">
        <v>0</v>
      </c>
    </row>
    <row r="884" spans="1:7" ht="15">
      <c r="A884" s="84" t="s">
        <v>3000</v>
      </c>
      <c r="B884" s="83">
        <v>2</v>
      </c>
      <c r="C884" s="110">
        <v>0.0007893686754765382</v>
      </c>
      <c r="D884" s="83" t="s">
        <v>3175</v>
      </c>
      <c r="E884" s="83" t="b">
        <v>0</v>
      </c>
      <c r="F884" s="83" t="b">
        <v>0</v>
      </c>
      <c r="G884" s="83" t="b">
        <v>0</v>
      </c>
    </row>
    <row r="885" spans="1:7" ht="15">
      <c r="A885" s="84" t="s">
        <v>3001</v>
      </c>
      <c r="B885" s="83">
        <v>2</v>
      </c>
      <c r="C885" s="110">
        <v>0.0007042718569142821</v>
      </c>
      <c r="D885" s="83" t="s">
        <v>3175</v>
      </c>
      <c r="E885" s="83" t="b">
        <v>0</v>
      </c>
      <c r="F885" s="83" t="b">
        <v>0</v>
      </c>
      <c r="G885" s="83" t="b">
        <v>0</v>
      </c>
    </row>
    <row r="886" spans="1:7" ht="15">
      <c r="A886" s="84" t="s">
        <v>3002</v>
      </c>
      <c r="B886" s="83">
        <v>2</v>
      </c>
      <c r="C886" s="110">
        <v>0.0007042718569142821</v>
      </c>
      <c r="D886" s="83" t="s">
        <v>3175</v>
      </c>
      <c r="E886" s="83" t="b">
        <v>0</v>
      </c>
      <c r="F886" s="83" t="b">
        <v>0</v>
      </c>
      <c r="G886" s="83" t="b">
        <v>0</v>
      </c>
    </row>
    <row r="887" spans="1:7" ht="15">
      <c r="A887" s="84" t="s">
        <v>3003</v>
      </c>
      <c r="B887" s="83">
        <v>2</v>
      </c>
      <c r="C887" s="110">
        <v>0.0007042718569142821</v>
      </c>
      <c r="D887" s="83" t="s">
        <v>3175</v>
      </c>
      <c r="E887" s="83" t="b">
        <v>0</v>
      </c>
      <c r="F887" s="83" t="b">
        <v>0</v>
      </c>
      <c r="G887" s="83" t="b">
        <v>0</v>
      </c>
    </row>
    <row r="888" spans="1:7" ht="15">
      <c r="A888" s="84" t="s">
        <v>3004</v>
      </c>
      <c r="B888" s="83">
        <v>2</v>
      </c>
      <c r="C888" s="110">
        <v>0.0007042718569142821</v>
      </c>
      <c r="D888" s="83" t="s">
        <v>3175</v>
      </c>
      <c r="E888" s="83" t="b">
        <v>0</v>
      </c>
      <c r="F888" s="83" t="b">
        <v>0</v>
      </c>
      <c r="G888" s="83" t="b">
        <v>0</v>
      </c>
    </row>
    <row r="889" spans="1:7" ht="15">
      <c r="A889" s="84" t="s">
        <v>3005</v>
      </c>
      <c r="B889" s="83">
        <v>2</v>
      </c>
      <c r="C889" s="110">
        <v>0.0007042718569142821</v>
      </c>
      <c r="D889" s="83" t="s">
        <v>3175</v>
      </c>
      <c r="E889" s="83" t="b">
        <v>0</v>
      </c>
      <c r="F889" s="83" t="b">
        <v>0</v>
      </c>
      <c r="G889" s="83" t="b">
        <v>0</v>
      </c>
    </row>
    <row r="890" spans="1:7" ht="15">
      <c r="A890" s="84" t="s">
        <v>3006</v>
      </c>
      <c r="B890" s="83">
        <v>2</v>
      </c>
      <c r="C890" s="110">
        <v>0.0007042718569142821</v>
      </c>
      <c r="D890" s="83" t="s">
        <v>3175</v>
      </c>
      <c r="E890" s="83" t="b">
        <v>0</v>
      </c>
      <c r="F890" s="83" t="b">
        <v>0</v>
      </c>
      <c r="G890" s="83" t="b">
        <v>0</v>
      </c>
    </row>
    <row r="891" spans="1:7" ht="15">
      <c r="A891" s="84" t="s">
        <v>3007</v>
      </c>
      <c r="B891" s="83">
        <v>2</v>
      </c>
      <c r="C891" s="110">
        <v>0.0007042718569142821</v>
      </c>
      <c r="D891" s="83" t="s">
        <v>3175</v>
      </c>
      <c r="E891" s="83" t="b">
        <v>0</v>
      </c>
      <c r="F891" s="83" t="b">
        <v>0</v>
      </c>
      <c r="G891" s="83" t="b">
        <v>0</v>
      </c>
    </row>
    <row r="892" spans="1:7" ht="15">
      <c r="A892" s="84" t="s">
        <v>3008</v>
      </c>
      <c r="B892" s="83">
        <v>2</v>
      </c>
      <c r="C892" s="110">
        <v>0.0007893686754765382</v>
      </c>
      <c r="D892" s="83" t="s">
        <v>3175</v>
      </c>
      <c r="E892" s="83" t="b">
        <v>0</v>
      </c>
      <c r="F892" s="83" t="b">
        <v>0</v>
      </c>
      <c r="G892" s="83" t="b">
        <v>0</v>
      </c>
    </row>
    <row r="893" spans="1:7" ht="15">
      <c r="A893" s="84" t="s">
        <v>3009</v>
      </c>
      <c r="B893" s="83">
        <v>2</v>
      </c>
      <c r="C893" s="110">
        <v>0.0007042718569142821</v>
      </c>
      <c r="D893" s="83" t="s">
        <v>3175</v>
      </c>
      <c r="E893" s="83" t="b">
        <v>0</v>
      </c>
      <c r="F893" s="83" t="b">
        <v>1</v>
      </c>
      <c r="G893" s="83" t="b">
        <v>0</v>
      </c>
    </row>
    <row r="894" spans="1:7" ht="15">
      <c r="A894" s="84" t="s">
        <v>3010</v>
      </c>
      <c r="B894" s="83">
        <v>2</v>
      </c>
      <c r="C894" s="110">
        <v>0.0007042718569142821</v>
      </c>
      <c r="D894" s="83" t="s">
        <v>3175</v>
      </c>
      <c r="E894" s="83" t="b">
        <v>1</v>
      </c>
      <c r="F894" s="83" t="b">
        <v>0</v>
      </c>
      <c r="G894" s="83" t="b">
        <v>0</v>
      </c>
    </row>
    <row r="895" spans="1:7" ht="15">
      <c r="A895" s="84" t="s">
        <v>3011</v>
      </c>
      <c r="B895" s="83">
        <v>2</v>
      </c>
      <c r="C895" s="110">
        <v>0.0007042718569142821</v>
      </c>
      <c r="D895" s="83" t="s">
        <v>3175</v>
      </c>
      <c r="E895" s="83" t="b">
        <v>0</v>
      </c>
      <c r="F895" s="83" t="b">
        <v>1</v>
      </c>
      <c r="G895" s="83" t="b">
        <v>0</v>
      </c>
    </row>
    <row r="896" spans="1:7" ht="15">
      <c r="A896" s="84" t="s">
        <v>3012</v>
      </c>
      <c r="B896" s="83">
        <v>2</v>
      </c>
      <c r="C896" s="110">
        <v>0.0007042718569142821</v>
      </c>
      <c r="D896" s="83" t="s">
        <v>3175</v>
      </c>
      <c r="E896" s="83" t="b">
        <v>0</v>
      </c>
      <c r="F896" s="83" t="b">
        <v>0</v>
      </c>
      <c r="G896" s="83" t="b">
        <v>0</v>
      </c>
    </row>
    <row r="897" spans="1:7" ht="15">
      <c r="A897" s="84" t="s">
        <v>3013</v>
      </c>
      <c r="B897" s="83">
        <v>2</v>
      </c>
      <c r="C897" s="110">
        <v>0.0007042718569142821</v>
      </c>
      <c r="D897" s="83" t="s">
        <v>3175</v>
      </c>
      <c r="E897" s="83" t="b">
        <v>0</v>
      </c>
      <c r="F897" s="83" t="b">
        <v>0</v>
      </c>
      <c r="G897" s="83" t="b">
        <v>0</v>
      </c>
    </row>
    <row r="898" spans="1:7" ht="15">
      <c r="A898" s="84" t="s">
        <v>3014</v>
      </c>
      <c r="B898" s="83">
        <v>2</v>
      </c>
      <c r="C898" s="110">
        <v>0.0007042718569142821</v>
      </c>
      <c r="D898" s="83" t="s">
        <v>3175</v>
      </c>
      <c r="E898" s="83" t="b">
        <v>1</v>
      </c>
      <c r="F898" s="83" t="b">
        <v>0</v>
      </c>
      <c r="G898" s="83" t="b">
        <v>0</v>
      </c>
    </row>
    <row r="899" spans="1:7" ht="15">
      <c r="A899" s="84" t="s">
        <v>3015</v>
      </c>
      <c r="B899" s="83">
        <v>2</v>
      </c>
      <c r="C899" s="110">
        <v>0.0007042718569142821</v>
      </c>
      <c r="D899" s="83" t="s">
        <v>3175</v>
      </c>
      <c r="E899" s="83" t="b">
        <v>0</v>
      </c>
      <c r="F899" s="83" t="b">
        <v>0</v>
      </c>
      <c r="G899" s="83" t="b">
        <v>0</v>
      </c>
    </row>
    <row r="900" spans="1:7" ht="15">
      <c r="A900" s="84" t="s">
        <v>3016</v>
      </c>
      <c r="B900" s="83">
        <v>2</v>
      </c>
      <c r="C900" s="110">
        <v>0.0007042718569142821</v>
      </c>
      <c r="D900" s="83" t="s">
        <v>3175</v>
      </c>
      <c r="E900" s="83" t="b">
        <v>0</v>
      </c>
      <c r="F900" s="83" t="b">
        <v>0</v>
      </c>
      <c r="G900" s="83" t="b">
        <v>0</v>
      </c>
    </row>
    <row r="901" spans="1:7" ht="15">
      <c r="A901" s="84" t="s">
        <v>3017</v>
      </c>
      <c r="B901" s="83">
        <v>2</v>
      </c>
      <c r="C901" s="110">
        <v>0.0007893686754765382</v>
      </c>
      <c r="D901" s="83" t="s">
        <v>3175</v>
      </c>
      <c r="E901" s="83" t="b">
        <v>0</v>
      </c>
      <c r="F901" s="83" t="b">
        <v>0</v>
      </c>
      <c r="G901" s="83" t="b">
        <v>0</v>
      </c>
    </row>
    <row r="902" spans="1:7" ht="15">
      <c r="A902" s="84" t="s">
        <v>3018</v>
      </c>
      <c r="B902" s="83">
        <v>2</v>
      </c>
      <c r="C902" s="110">
        <v>0.0007042718569142821</v>
      </c>
      <c r="D902" s="83" t="s">
        <v>3175</v>
      </c>
      <c r="E902" s="83" t="b">
        <v>0</v>
      </c>
      <c r="F902" s="83" t="b">
        <v>0</v>
      </c>
      <c r="G902" s="83" t="b">
        <v>0</v>
      </c>
    </row>
    <row r="903" spans="1:7" ht="15">
      <c r="A903" s="84" t="s">
        <v>3019</v>
      </c>
      <c r="B903" s="83">
        <v>2</v>
      </c>
      <c r="C903" s="110">
        <v>0.0007042718569142821</v>
      </c>
      <c r="D903" s="83" t="s">
        <v>3175</v>
      </c>
      <c r="E903" s="83" t="b">
        <v>0</v>
      </c>
      <c r="F903" s="83" t="b">
        <v>0</v>
      </c>
      <c r="G903" s="83" t="b">
        <v>0</v>
      </c>
    </row>
    <row r="904" spans="1:7" ht="15">
      <c r="A904" s="84" t="s">
        <v>3020</v>
      </c>
      <c r="B904" s="83">
        <v>2</v>
      </c>
      <c r="C904" s="110">
        <v>0.0007042718569142821</v>
      </c>
      <c r="D904" s="83" t="s">
        <v>3175</v>
      </c>
      <c r="E904" s="83" t="b">
        <v>1</v>
      </c>
      <c r="F904" s="83" t="b">
        <v>0</v>
      </c>
      <c r="G904" s="83" t="b">
        <v>0</v>
      </c>
    </row>
    <row r="905" spans="1:7" ht="15">
      <c r="A905" s="84" t="s">
        <v>3021</v>
      </c>
      <c r="B905" s="83">
        <v>2</v>
      </c>
      <c r="C905" s="110">
        <v>0.0007042718569142821</v>
      </c>
      <c r="D905" s="83" t="s">
        <v>3175</v>
      </c>
      <c r="E905" s="83" t="b">
        <v>0</v>
      </c>
      <c r="F905" s="83" t="b">
        <v>0</v>
      </c>
      <c r="G905" s="83" t="b">
        <v>0</v>
      </c>
    </row>
    <row r="906" spans="1:7" ht="15">
      <c r="A906" s="84" t="s">
        <v>3022</v>
      </c>
      <c r="B906" s="83">
        <v>2</v>
      </c>
      <c r="C906" s="110">
        <v>0.0007042718569142821</v>
      </c>
      <c r="D906" s="83" t="s">
        <v>3175</v>
      </c>
      <c r="E906" s="83" t="b">
        <v>0</v>
      </c>
      <c r="F906" s="83" t="b">
        <v>0</v>
      </c>
      <c r="G906" s="83" t="b">
        <v>0</v>
      </c>
    </row>
    <row r="907" spans="1:7" ht="15">
      <c r="A907" s="84" t="s">
        <v>3023</v>
      </c>
      <c r="B907" s="83">
        <v>2</v>
      </c>
      <c r="C907" s="110">
        <v>0.0007893686754765382</v>
      </c>
      <c r="D907" s="83" t="s">
        <v>3175</v>
      </c>
      <c r="E907" s="83" t="b">
        <v>0</v>
      </c>
      <c r="F907" s="83" t="b">
        <v>1</v>
      </c>
      <c r="G907" s="83" t="b">
        <v>0</v>
      </c>
    </row>
    <row r="908" spans="1:7" ht="15">
      <c r="A908" s="84" t="s">
        <v>3024</v>
      </c>
      <c r="B908" s="83">
        <v>2</v>
      </c>
      <c r="C908" s="110">
        <v>0.0007893686754765382</v>
      </c>
      <c r="D908" s="83" t="s">
        <v>3175</v>
      </c>
      <c r="E908" s="83" t="b">
        <v>0</v>
      </c>
      <c r="F908" s="83" t="b">
        <v>0</v>
      </c>
      <c r="G908" s="83" t="b">
        <v>0</v>
      </c>
    </row>
    <row r="909" spans="1:7" ht="15">
      <c r="A909" s="84" t="s">
        <v>3025</v>
      </c>
      <c r="B909" s="83">
        <v>2</v>
      </c>
      <c r="C909" s="110">
        <v>0.0007893686754765382</v>
      </c>
      <c r="D909" s="83" t="s">
        <v>3175</v>
      </c>
      <c r="E909" s="83" t="b">
        <v>1</v>
      </c>
      <c r="F909" s="83" t="b">
        <v>0</v>
      </c>
      <c r="G909" s="83" t="b">
        <v>0</v>
      </c>
    </row>
    <row r="910" spans="1:7" ht="15">
      <c r="A910" s="84" t="s">
        <v>3026</v>
      </c>
      <c r="B910" s="83">
        <v>2</v>
      </c>
      <c r="C910" s="110">
        <v>0.0007893686754765382</v>
      </c>
      <c r="D910" s="83" t="s">
        <v>3175</v>
      </c>
      <c r="E910" s="83" t="b">
        <v>0</v>
      </c>
      <c r="F910" s="83" t="b">
        <v>0</v>
      </c>
      <c r="G910" s="83" t="b">
        <v>0</v>
      </c>
    </row>
    <row r="911" spans="1:7" ht="15">
      <c r="A911" s="84" t="s">
        <v>3027</v>
      </c>
      <c r="B911" s="83">
        <v>2</v>
      </c>
      <c r="C911" s="110">
        <v>0.0007042718569142821</v>
      </c>
      <c r="D911" s="83" t="s">
        <v>3175</v>
      </c>
      <c r="E911" s="83" t="b">
        <v>0</v>
      </c>
      <c r="F911" s="83" t="b">
        <v>0</v>
      </c>
      <c r="G911" s="83" t="b">
        <v>0</v>
      </c>
    </row>
    <row r="912" spans="1:7" ht="15">
      <c r="A912" s="84" t="s">
        <v>3028</v>
      </c>
      <c r="B912" s="83">
        <v>2</v>
      </c>
      <c r="C912" s="110">
        <v>0.0007042718569142821</v>
      </c>
      <c r="D912" s="83" t="s">
        <v>3175</v>
      </c>
      <c r="E912" s="83" t="b">
        <v>0</v>
      </c>
      <c r="F912" s="83" t="b">
        <v>1</v>
      </c>
      <c r="G912" s="83" t="b">
        <v>0</v>
      </c>
    </row>
    <row r="913" spans="1:7" ht="15">
      <c r="A913" s="84" t="s">
        <v>3029</v>
      </c>
      <c r="B913" s="83">
        <v>2</v>
      </c>
      <c r="C913" s="110">
        <v>0.0007042718569142821</v>
      </c>
      <c r="D913" s="83" t="s">
        <v>3175</v>
      </c>
      <c r="E913" s="83" t="b">
        <v>0</v>
      </c>
      <c r="F913" s="83" t="b">
        <v>1</v>
      </c>
      <c r="G913" s="83" t="b">
        <v>0</v>
      </c>
    </row>
    <row r="914" spans="1:7" ht="15">
      <c r="A914" s="84" t="s">
        <v>3030</v>
      </c>
      <c r="B914" s="83">
        <v>2</v>
      </c>
      <c r="C914" s="110">
        <v>0.0007042718569142821</v>
      </c>
      <c r="D914" s="83" t="s">
        <v>3175</v>
      </c>
      <c r="E914" s="83" t="b">
        <v>0</v>
      </c>
      <c r="F914" s="83" t="b">
        <v>0</v>
      </c>
      <c r="G914" s="83" t="b">
        <v>0</v>
      </c>
    </row>
    <row r="915" spans="1:7" ht="15">
      <c r="A915" s="84" t="s">
        <v>3031</v>
      </c>
      <c r="B915" s="83">
        <v>2</v>
      </c>
      <c r="C915" s="110">
        <v>0.0007893686754765382</v>
      </c>
      <c r="D915" s="83" t="s">
        <v>3175</v>
      </c>
      <c r="E915" s="83" t="b">
        <v>0</v>
      </c>
      <c r="F915" s="83" t="b">
        <v>0</v>
      </c>
      <c r="G915" s="83" t="b">
        <v>0</v>
      </c>
    </row>
    <row r="916" spans="1:7" ht="15">
      <c r="A916" s="84" t="s">
        <v>3032</v>
      </c>
      <c r="B916" s="83">
        <v>2</v>
      </c>
      <c r="C916" s="110">
        <v>0.0007042718569142821</v>
      </c>
      <c r="D916" s="83" t="s">
        <v>3175</v>
      </c>
      <c r="E916" s="83" t="b">
        <v>0</v>
      </c>
      <c r="F916" s="83" t="b">
        <v>0</v>
      </c>
      <c r="G916" s="83" t="b">
        <v>0</v>
      </c>
    </row>
    <row r="917" spans="1:7" ht="15">
      <c r="A917" s="84" t="s">
        <v>3033</v>
      </c>
      <c r="B917" s="83">
        <v>2</v>
      </c>
      <c r="C917" s="110">
        <v>0.0007042718569142821</v>
      </c>
      <c r="D917" s="83" t="s">
        <v>3175</v>
      </c>
      <c r="E917" s="83" t="b">
        <v>0</v>
      </c>
      <c r="F917" s="83" t="b">
        <v>0</v>
      </c>
      <c r="G917" s="83" t="b">
        <v>0</v>
      </c>
    </row>
    <row r="918" spans="1:7" ht="15">
      <c r="A918" s="84" t="s">
        <v>3034</v>
      </c>
      <c r="B918" s="83">
        <v>2</v>
      </c>
      <c r="C918" s="110">
        <v>0.0007042718569142821</v>
      </c>
      <c r="D918" s="83" t="s">
        <v>3175</v>
      </c>
      <c r="E918" s="83" t="b">
        <v>0</v>
      </c>
      <c r="F918" s="83" t="b">
        <v>0</v>
      </c>
      <c r="G918" s="83" t="b">
        <v>0</v>
      </c>
    </row>
    <row r="919" spans="1:7" ht="15">
      <c r="A919" s="84" t="s">
        <v>3035</v>
      </c>
      <c r="B919" s="83">
        <v>2</v>
      </c>
      <c r="C919" s="110">
        <v>0.0007042718569142821</v>
      </c>
      <c r="D919" s="83" t="s">
        <v>3175</v>
      </c>
      <c r="E919" s="83" t="b">
        <v>0</v>
      </c>
      <c r="F919" s="83" t="b">
        <v>0</v>
      </c>
      <c r="G919" s="83" t="b">
        <v>0</v>
      </c>
    </row>
    <row r="920" spans="1:7" ht="15">
      <c r="A920" s="84" t="s">
        <v>3036</v>
      </c>
      <c r="B920" s="83">
        <v>2</v>
      </c>
      <c r="C920" s="110">
        <v>0.0007893686754765382</v>
      </c>
      <c r="D920" s="83" t="s">
        <v>3175</v>
      </c>
      <c r="E920" s="83" t="b">
        <v>0</v>
      </c>
      <c r="F920" s="83" t="b">
        <v>0</v>
      </c>
      <c r="G920" s="83" t="b">
        <v>0</v>
      </c>
    </row>
    <row r="921" spans="1:7" ht="15">
      <c r="A921" s="84" t="s">
        <v>3037</v>
      </c>
      <c r="B921" s="83">
        <v>2</v>
      </c>
      <c r="C921" s="110">
        <v>0.0007893686754765382</v>
      </c>
      <c r="D921" s="83" t="s">
        <v>3175</v>
      </c>
      <c r="E921" s="83" t="b">
        <v>0</v>
      </c>
      <c r="F921" s="83" t="b">
        <v>0</v>
      </c>
      <c r="G921" s="83" t="b">
        <v>0</v>
      </c>
    </row>
    <row r="922" spans="1:7" ht="15">
      <c r="A922" s="84" t="s">
        <v>3038</v>
      </c>
      <c r="B922" s="83">
        <v>2</v>
      </c>
      <c r="C922" s="110">
        <v>0.0007042718569142821</v>
      </c>
      <c r="D922" s="83" t="s">
        <v>3175</v>
      </c>
      <c r="E922" s="83" t="b">
        <v>0</v>
      </c>
      <c r="F922" s="83" t="b">
        <v>0</v>
      </c>
      <c r="G922" s="83" t="b">
        <v>0</v>
      </c>
    </row>
    <row r="923" spans="1:7" ht="15">
      <c r="A923" s="84" t="s">
        <v>3039</v>
      </c>
      <c r="B923" s="83">
        <v>2</v>
      </c>
      <c r="C923" s="110">
        <v>0.0007042718569142821</v>
      </c>
      <c r="D923" s="83" t="s">
        <v>3175</v>
      </c>
      <c r="E923" s="83" t="b">
        <v>1</v>
      </c>
      <c r="F923" s="83" t="b">
        <v>0</v>
      </c>
      <c r="G923" s="83" t="b">
        <v>0</v>
      </c>
    </row>
    <row r="924" spans="1:7" ht="15">
      <c r="A924" s="84" t="s">
        <v>3040</v>
      </c>
      <c r="B924" s="83">
        <v>2</v>
      </c>
      <c r="C924" s="110">
        <v>0.0007042718569142821</v>
      </c>
      <c r="D924" s="83" t="s">
        <v>3175</v>
      </c>
      <c r="E924" s="83" t="b">
        <v>0</v>
      </c>
      <c r="F924" s="83" t="b">
        <v>0</v>
      </c>
      <c r="G924" s="83" t="b">
        <v>0</v>
      </c>
    </row>
    <row r="925" spans="1:7" ht="15">
      <c r="A925" s="84" t="s">
        <v>3041</v>
      </c>
      <c r="B925" s="83">
        <v>2</v>
      </c>
      <c r="C925" s="110">
        <v>0.0007042718569142821</v>
      </c>
      <c r="D925" s="83" t="s">
        <v>3175</v>
      </c>
      <c r="E925" s="83" t="b">
        <v>0</v>
      </c>
      <c r="F925" s="83" t="b">
        <v>0</v>
      </c>
      <c r="G925" s="83" t="b">
        <v>0</v>
      </c>
    </row>
    <row r="926" spans="1:7" ht="15">
      <c r="A926" s="84" t="s">
        <v>3042</v>
      </c>
      <c r="B926" s="83">
        <v>2</v>
      </c>
      <c r="C926" s="110">
        <v>0.0007042718569142821</v>
      </c>
      <c r="D926" s="83" t="s">
        <v>3175</v>
      </c>
      <c r="E926" s="83" t="b">
        <v>0</v>
      </c>
      <c r="F926" s="83" t="b">
        <v>0</v>
      </c>
      <c r="G926" s="83" t="b">
        <v>0</v>
      </c>
    </row>
    <row r="927" spans="1:7" ht="15">
      <c r="A927" s="84" t="s">
        <v>3043</v>
      </c>
      <c r="B927" s="83">
        <v>2</v>
      </c>
      <c r="C927" s="110">
        <v>0.0007042718569142821</v>
      </c>
      <c r="D927" s="83" t="s">
        <v>3175</v>
      </c>
      <c r="E927" s="83" t="b">
        <v>0</v>
      </c>
      <c r="F927" s="83" t="b">
        <v>0</v>
      </c>
      <c r="G927" s="83" t="b">
        <v>0</v>
      </c>
    </row>
    <row r="928" spans="1:7" ht="15">
      <c r="A928" s="84" t="s">
        <v>3044</v>
      </c>
      <c r="B928" s="83">
        <v>2</v>
      </c>
      <c r="C928" s="110">
        <v>0.0007042718569142821</v>
      </c>
      <c r="D928" s="83" t="s">
        <v>3175</v>
      </c>
      <c r="E928" s="83" t="b">
        <v>0</v>
      </c>
      <c r="F928" s="83" t="b">
        <v>0</v>
      </c>
      <c r="G928" s="83" t="b">
        <v>0</v>
      </c>
    </row>
    <row r="929" spans="1:7" ht="15">
      <c r="A929" s="84" t="s">
        <v>3045</v>
      </c>
      <c r="B929" s="83">
        <v>2</v>
      </c>
      <c r="C929" s="110">
        <v>0.0007893686754765382</v>
      </c>
      <c r="D929" s="83" t="s">
        <v>3175</v>
      </c>
      <c r="E929" s="83" t="b">
        <v>0</v>
      </c>
      <c r="F929" s="83" t="b">
        <v>0</v>
      </c>
      <c r="G929" s="83" t="b">
        <v>0</v>
      </c>
    </row>
    <row r="930" spans="1:7" ht="15">
      <c r="A930" s="84" t="s">
        <v>3046</v>
      </c>
      <c r="B930" s="83">
        <v>2</v>
      </c>
      <c r="C930" s="110">
        <v>0.0007042718569142821</v>
      </c>
      <c r="D930" s="83" t="s">
        <v>3175</v>
      </c>
      <c r="E930" s="83" t="b">
        <v>1</v>
      </c>
      <c r="F930" s="83" t="b">
        <v>0</v>
      </c>
      <c r="G930" s="83" t="b">
        <v>0</v>
      </c>
    </row>
    <row r="931" spans="1:7" ht="15">
      <c r="A931" s="84" t="s">
        <v>3047</v>
      </c>
      <c r="B931" s="83">
        <v>2</v>
      </c>
      <c r="C931" s="110">
        <v>0.0007042718569142821</v>
      </c>
      <c r="D931" s="83" t="s">
        <v>3175</v>
      </c>
      <c r="E931" s="83" t="b">
        <v>1</v>
      </c>
      <c r="F931" s="83" t="b">
        <v>0</v>
      </c>
      <c r="G931" s="83" t="b">
        <v>0</v>
      </c>
    </row>
    <row r="932" spans="1:7" ht="15">
      <c r="A932" s="84" t="s">
        <v>3048</v>
      </c>
      <c r="B932" s="83">
        <v>2</v>
      </c>
      <c r="C932" s="110">
        <v>0.0007042718569142821</v>
      </c>
      <c r="D932" s="83" t="s">
        <v>3175</v>
      </c>
      <c r="E932" s="83" t="b">
        <v>0</v>
      </c>
      <c r="F932" s="83" t="b">
        <v>0</v>
      </c>
      <c r="G932" s="83" t="b">
        <v>0</v>
      </c>
    </row>
    <row r="933" spans="1:7" ht="15">
      <c r="A933" s="84" t="s">
        <v>3049</v>
      </c>
      <c r="B933" s="83">
        <v>2</v>
      </c>
      <c r="C933" s="110">
        <v>0.0007042718569142821</v>
      </c>
      <c r="D933" s="83" t="s">
        <v>3175</v>
      </c>
      <c r="E933" s="83" t="b">
        <v>0</v>
      </c>
      <c r="F933" s="83" t="b">
        <v>0</v>
      </c>
      <c r="G933" s="83" t="b">
        <v>0</v>
      </c>
    </row>
    <row r="934" spans="1:7" ht="15">
      <c r="A934" s="84" t="s">
        <v>3050</v>
      </c>
      <c r="B934" s="83">
        <v>2</v>
      </c>
      <c r="C934" s="110">
        <v>0.0007042718569142821</v>
      </c>
      <c r="D934" s="83" t="s">
        <v>3175</v>
      </c>
      <c r="E934" s="83" t="b">
        <v>0</v>
      </c>
      <c r="F934" s="83" t="b">
        <v>0</v>
      </c>
      <c r="G934" s="83" t="b">
        <v>0</v>
      </c>
    </row>
    <row r="935" spans="1:7" ht="15">
      <c r="A935" s="84" t="s">
        <v>3051</v>
      </c>
      <c r="B935" s="83">
        <v>2</v>
      </c>
      <c r="C935" s="110">
        <v>0.0007042718569142821</v>
      </c>
      <c r="D935" s="83" t="s">
        <v>3175</v>
      </c>
      <c r="E935" s="83" t="b">
        <v>0</v>
      </c>
      <c r="F935" s="83" t="b">
        <v>0</v>
      </c>
      <c r="G935" s="83" t="b">
        <v>0</v>
      </c>
    </row>
    <row r="936" spans="1:7" ht="15">
      <c r="A936" s="84" t="s">
        <v>3052</v>
      </c>
      <c r="B936" s="83">
        <v>2</v>
      </c>
      <c r="C936" s="110">
        <v>0.0007042718569142821</v>
      </c>
      <c r="D936" s="83" t="s">
        <v>3175</v>
      </c>
      <c r="E936" s="83" t="b">
        <v>0</v>
      </c>
      <c r="F936" s="83" t="b">
        <v>1</v>
      </c>
      <c r="G936" s="83" t="b">
        <v>0</v>
      </c>
    </row>
    <row r="937" spans="1:7" ht="15">
      <c r="A937" s="84" t="s">
        <v>3053</v>
      </c>
      <c r="B937" s="83">
        <v>2</v>
      </c>
      <c r="C937" s="110">
        <v>0.0007042718569142821</v>
      </c>
      <c r="D937" s="83" t="s">
        <v>3175</v>
      </c>
      <c r="E937" s="83" t="b">
        <v>0</v>
      </c>
      <c r="F937" s="83" t="b">
        <v>0</v>
      </c>
      <c r="G937" s="83" t="b">
        <v>0</v>
      </c>
    </row>
    <row r="938" spans="1:7" ht="15">
      <c r="A938" s="84" t="s">
        <v>3054</v>
      </c>
      <c r="B938" s="83">
        <v>2</v>
      </c>
      <c r="C938" s="110">
        <v>0.0007893686754765382</v>
      </c>
      <c r="D938" s="83" t="s">
        <v>3175</v>
      </c>
      <c r="E938" s="83" t="b">
        <v>0</v>
      </c>
      <c r="F938" s="83" t="b">
        <v>0</v>
      </c>
      <c r="G938" s="83" t="b">
        <v>0</v>
      </c>
    </row>
    <row r="939" spans="1:7" ht="15">
      <c r="A939" s="84" t="s">
        <v>3055</v>
      </c>
      <c r="B939" s="83">
        <v>2</v>
      </c>
      <c r="C939" s="110">
        <v>0.0007042718569142821</v>
      </c>
      <c r="D939" s="83" t="s">
        <v>3175</v>
      </c>
      <c r="E939" s="83" t="b">
        <v>0</v>
      </c>
      <c r="F939" s="83" t="b">
        <v>0</v>
      </c>
      <c r="G939" s="83" t="b">
        <v>0</v>
      </c>
    </row>
    <row r="940" spans="1:7" ht="15">
      <c r="A940" s="84" t="s">
        <v>3056</v>
      </c>
      <c r="B940" s="83">
        <v>2</v>
      </c>
      <c r="C940" s="110">
        <v>0.0007042718569142821</v>
      </c>
      <c r="D940" s="83" t="s">
        <v>3175</v>
      </c>
      <c r="E940" s="83" t="b">
        <v>0</v>
      </c>
      <c r="F940" s="83" t="b">
        <v>0</v>
      </c>
      <c r="G940" s="83" t="b">
        <v>0</v>
      </c>
    </row>
    <row r="941" spans="1:7" ht="15">
      <c r="A941" s="84" t="s">
        <v>3057</v>
      </c>
      <c r="B941" s="83">
        <v>2</v>
      </c>
      <c r="C941" s="110">
        <v>0.0007042718569142821</v>
      </c>
      <c r="D941" s="83" t="s">
        <v>3175</v>
      </c>
      <c r="E941" s="83" t="b">
        <v>1</v>
      </c>
      <c r="F941" s="83" t="b">
        <v>0</v>
      </c>
      <c r="G941" s="83" t="b">
        <v>0</v>
      </c>
    </row>
    <row r="942" spans="1:7" ht="15">
      <c r="A942" s="84" t="s">
        <v>3058</v>
      </c>
      <c r="B942" s="83">
        <v>2</v>
      </c>
      <c r="C942" s="110">
        <v>0.0007042718569142821</v>
      </c>
      <c r="D942" s="83" t="s">
        <v>3175</v>
      </c>
      <c r="E942" s="83" t="b">
        <v>0</v>
      </c>
      <c r="F942" s="83" t="b">
        <v>1</v>
      </c>
      <c r="G942" s="83" t="b">
        <v>0</v>
      </c>
    </row>
    <row r="943" spans="1:7" ht="15">
      <c r="A943" s="84" t="s">
        <v>3059</v>
      </c>
      <c r="B943" s="83">
        <v>2</v>
      </c>
      <c r="C943" s="110">
        <v>0.0007042718569142821</v>
      </c>
      <c r="D943" s="83" t="s">
        <v>3175</v>
      </c>
      <c r="E943" s="83" t="b">
        <v>1</v>
      </c>
      <c r="F943" s="83" t="b">
        <v>0</v>
      </c>
      <c r="G943" s="83" t="b">
        <v>0</v>
      </c>
    </row>
    <row r="944" spans="1:7" ht="15">
      <c r="A944" s="84" t="s">
        <v>3060</v>
      </c>
      <c r="B944" s="83">
        <v>2</v>
      </c>
      <c r="C944" s="110">
        <v>0.0007042718569142821</v>
      </c>
      <c r="D944" s="83" t="s">
        <v>3175</v>
      </c>
      <c r="E944" s="83" t="b">
        <v>0</v>
      </c>
      <c r="F944" s="83" t="b">
        <v>0</v>
      </c>
      <c r="G944" s="83" t="b">
        <v>0</v>
      </c>
    </row>
    <row r="945" spans="1:7" ht="15">
      <c r="A945" s="84" t="s">
        <v>3061</v>
      </c>
      <c r="B945" s="83">
        <v>2</v>
      </c>
      <c r="C945" s="110">
        <v>0.0007042718569142821</v>
      </c>
      <c r="D945" s="83" t="s">
        <v>3175</v>
      </c>
      <c r="E945" s="83" t="b">
        <v>0</v>
      </c>
      <c r="F945" s="83" t="b">
        <v>0</v>
      </c>
      <c r="G945" s="83" t="b">
        <v>0</v>
      </c>
    </row>
    <row r="946" spans="1:7" ht="15">
      <c r="A946" s="84" t="s">
        <v>3062</v>
      </c>
      <c r="B946" s="83">
        <v>2</v>
      </c>
      <c r="C946" s="110">
        <v>0.0007042718569142821</v>
      </c>
      <c r="D946" s="83" t="s">
        <v>3175</v>
      </c>
      <c r="E946" s="83" t="b">
        <v>0</v>
      </c>
      <c r="F946" s="83" t="b">
        <v>0</v>
      </c>
      <c r="G946" s="83" t="b">
        <v>0</v>
      </c>
    </row>
    <row r="947" spans="1:7" ht="15">
      <c r="A947" s="84" t="s">
        <v>3063</v>
      </c>
      <c r="B947" s="83">
        <v>2</v>
      </c>
      <c r="C947" s="110">
        <v>0.0007042718569142821</v>
      </c>
      <c r="D947" s="83" t="s">
        <v>3175</v>
      </c>
      <c r="E947" s="83" t="b">
        <v>0</v>
      </c>
      <c r="F947" s="83" t="b">
        <v>0</v>
      </c>
      <c r="G947" s="83" t="b">
        <v>0</v>
      </c>
    </row>
    <row r="948" spans="1:7" ht="15">
      <c r="A948" s="84" t="s">
        <v>3064</v>
      </c>
      <c r="B948" s="83">
        <v>2</v>
      </c>
      <c r="C948" s="110">
        <v>0.0007042718569142821</v>
      </c>
      <c r="D948" s="83" t="s">
        <v>3175</v>
      </c>
      <c r="E948" s="83" t="b">
        <v>0</v>
      </c>
      <c r="F948" s="83" t="b">
        <v>0</v>
      </c>
      <c r="G948" s="83" t="b">
        <v>0</v>
      </c>
    </row>
    <row r="949" spans="1:7" ht="15">
      <c r="A949" s="84" t="s">
        <v>3065</v>
      </c>
      <c r="B949" s="83">
        <v>2</v>
      </c>
      <c r="C949" s="110">
        <v>0.0007893686754765382</v>
      </c>
      <c r="D949" s="83" t="s">
        <v>3175</v>
      </c>
      <c r="E949" s="83" t="b">
        <v>0</v>
      </c>
      <c r="F949" s="83" t="b">
        <v>0</v>
      </c>
      <c r="G949" s="83" t="b">
        <v>0</v>
      </c>
    </row>
    <row r="950" spans="1:7" ht="15">
      <c r="A950" s="84" t="s">
        <v>3066</v>
      </c>
      <c r="B950" s="83">
        <v>2</v>
      </c>
      <c r="C950" s="110">
        <v>0.0007042718569142821</v>
      </c>
      <c r="D950" s="83" t="s">
        <v>3175</v>
      </c>
      <c r="E950" s="83" t="b">
        <v>1</v>
      </c>
      <c r="F950" s="83" t="b">
        <v>0</v>
      </c>
      <c r="G950" s="83" t="b">
        <v>0</v>
      </c>
    </row>
    <row r="951" spans="1:7" ht="15">
      <c r="A951" s="84" t="s">
        <v>3067</v>
      </c>
      <c r="B951" s="83">
        <v>2</v>
      </c>
      <c r="C951" s="110">
        <v>0.0007042718569142821</v>
      </c>
      <c r="D951" s="83" t="s">
        <v>3175</v>
      </c>
      <c r="E951" s="83" t="b">
        <v>0</v>
      </c>
      <c r="F951" s="83" t="b">
        <v>1</v>
      </c>
      <c r="G951" s="83" t="b">
        <v>0</v>
      </c>
    </row>
    <row r="952" spans="1:7" ht="15">
      <c r="A952" s="84" t="s">
        <v>3068</v>
      </c>
      <c r="B952" s="83">
        <v>2</v>
      </c>
      <c r="C952" s="110">
        <v>0.0007042718569142821</v>
      </c>
      <c r="D952" s="83" t="s">
        <v>3175</v>
      </c>
      <c r="E952" s="83" t="b">
        <v>0</v>
      </c>
      <c r="F952" s="83" t="b">
        <v>0</v>
      </c>
      <c r="G952" s="83" t="b">
        <v>0</v>
      </c>
    </row>
    <row r="953" spans="1:7" ht="15">
      <c r="A953" s="84" t="s">
        <v>3069</v>
      </c>
      <c r="B953" s="83">
        <v>2</v>
      </c>
      <c r="C953" s="110">
        <v>0.0007042718569142821</v>
      </c>
      <c r="D953" s="83" t="s">
        <v>3175</v>
      </c>
      <c r="E953" s="83" t="b">
        <v>0</v>
      </c>
      <c r="F953" s="83" t="b">
        <v>0</v>
      </c>
      <c r="G953" s="83" t="b">
        <v>0</v>
      </c>
    </row>
    <row r="954" spans="1:7" ht="15">
      <c r="A954" s="84" t="s">
        <v>3070</v>
      </c>
      <c r="B954" s="83">
        <v>2</v>
      </c>
      <c r="C954" s="110">
        <v>0.0007042718569142821</v>
      </c>
      <c r="D954" s="83" t="s">
        <v>3175</v>
      </c>
      <c r="E954" s="83" t="b">
        <v>0</v>
      </c>
      <c r="F954" s="83" t="b">
        <v>0</v>
      </c>
      <c r="G954" s="83" t="b">
        <v>0</v>
      </c>
    </row>
    <row r="955" spans="1:7" ht="15">
      <c r="A955" s="84" t="s">
        <v>3071</v>
      </c>
      <c r="B955" s="83">
        <v>2</v>
      </c>
      <c r="C955" s="110">
        <v>0.0007042718569142821</v>
      </c>
      <c r="D955" s="83" t="s">
        <v>3175</v>
      </c>
      <c r="E955" s="83" t="b">
        <v>0</v>
      </c>
      <c r="F955" s="83" t="b">
        <v>0</v>
      </c>
      <c r="G955" s="83" t="b">
        <v>0</v>
      </c>
    </row>
    <row r="956" spans="1:7" ht="15">
      <c r="A956" s="84" t="s">
        <v>3072</v>
      </c>
      <c r="B956" s="83">
        <v>2</v>
      </c>
      <c r="C956" s="110">
        <v>0.0007042718569142821</v>
      </c>
      <c r="D956" s="83" t="s">
        <v>3175</v>
      </c>
      <c r="E956" s="83" t="b">
        <v>0</v>
      </c>
      <c r="F956" s="83" t="b">
        <v>0</v>
      </c>
      <c r="G956" s="83" t="b">
        <v>0</v>
      </c>
    </row>
    <row r="957" spans="1:7" ht="15">
      <c r="A957" s="84" t="s">
        <v>3073</v>
      </c>
      <c r="B957" s="83">
        <v>2</v>
      </c>
      <c r="C957" s="110">
        <v>0.0007042718569142821</v>
      </c>
      <c r="D957" s="83" t="s">
        <v>3175</v>
      </c>
      <c r="E957" s="83" t="b">
        <v>0</v>
      </c>
      <c r="F957" s="83" t="b">
        <v>0</v>
      </c>
      <c r="G957" s="83" t="b">
        <v>0</v>
      </c>
    </row>
    <row r="958" spans="1:7" ht="15">
      <c r="A958" s="84" t="s">
        <v>3074</v>
      </c>
      <c r="B958" s="83">
        <v>2</v>
      </c>
      <c r="C958" s="110">
        <v>0.0007042718569142821</v>
      </c>
      <c r="D958" s="83" t="s">
        <v>3175</v>
      </c>
      <c r="E958" s="83" t="b">
        <v>0</v>
      </c>
      <c r="F958" s="83" t="b">
        <v>0</v>
      </c>
      <c r="G958" s="83" t="b">
        <v>0</v>
      </c>
    </row>
    <row r="959" spans="1:7" ht="15">
      <c r="A959" s="84" t="s">
        <v>3075</v>
      </c>
      <c r="B959" s="83">
        <v>2</v>
      </c>
      <c r="C959" s="110">
        <v>0.0007042718569142821</v>
      </c>
      <c r="D959" s="83" t="s">
        <v>3175</v>
      </c>
      <c r="E959" s="83" t="b">
        <v>0</v>
      </c>
      <c r="F959" s="83" t="b">
        <v>1</v>
      </c>
      <c r="G959" s="83" t="b">
        <v>0</v>
      </c>
    </row>
    <row r="960" spans="1:7" ht="15">
      <c r="A960" s="84" t="s">
        <v>3076</v>
      </c>
      <c r="B960" s="83">
        <v>2</v>
      </c>
      <c r="C960" s="110">
        <v>0.0007042718569142821</v>
      </c>
      <c r="D960" s="83" t="s">
        <v>3175</v>
      </c>
      <c r="E960" s="83" t="b">
        <v>0</v>
      </c>
      <c r="F960" s="83" t="b">
        <v>0</v>
      </c>
      <c r="G960" s="83" t="b">
        <v>0</v>
      </c>
    </row>
    <row r="961" spans="1:7" ht="15">
      <c r="A961" s="84" t="s">
        <v>3077</v>
      </c>
      <c r="B961" s="83">
        <v>2</v>
      </c>
      <c r="C961" s="110">
        <v>0.0007893686754765382</v>
      </c>
      <c r="D961" s="83" t="s">
        <v>3175</v>
      </c>
      <c r="E961" s="83" t="b">
        <v>0</v>
      </c>
      <c r="F961" s="83" t="b">
        <v>0</v>
      </c>
      <c r="G961" s="83" t="b">
        <v>0</v>
      </c>
    </row>
    <row r="962" spans="1:7" ht="15">
      <c r="A962" s="84" t="s">
        <v>3078</v>
      </c>
      <c r="B962" s="83">
        <v>2</v>
      </c>
      <c r="C962" s="110">
        <v>0.0007042718569142821</v>
      </c>
      <c r="D962" s="83" t="s">
        <v>3175</v>
      </c>
      <c r="E962" s="83" t="b">
        <v>0</v>
      </c>
      <c r="F962" s="83" t="b">
        <v>0</v>
      </c>
      <c r="G962" s="83" t="b">
        <v>0</v>
      </c>
    </row>
    <row r="963" spans="1:7" ht="15">
      <c r="A963" s="84" t="s">
        <v>3079</v>
      </c>
      <c r="B963" s="83">
        <v>2</v>
      </c>
      <c r="C963" s="110">
        <v>0.0007042718569142821</v>
      </c>
      <c r="D963" s="83" t="s">
        <v>3175</v>
      </c>
      <c r="E963" s="83" t="b">
        <v>0</v>
      </c>
      <c r="F963" s="83" t="b">
        <v>0</v>
      </c>
      <c r="G963" s="83" t="b">
        <v>0</v>
      </c>
    </row>
    <row r="964" spans="1:7" ht="15">
      <c r="A964" s="84" t="s">
        <v>3080</v>
      </c>
      <c r="B964" s="83">
        <v>2</v>
      </c>
      <c r="C964" s="110">
        <v>0.0007042718569142821</v>
      </c>
      <c r="D964" s="83" t="s">
        <v>3175</v>
      </c>
      <c r="E964" s="83" t="b">
        <v>0</v>
      </c>
      <c r="F964" s="83" t="b">
        <v>0</v>
      </c>
      <c r="G964" s="83" t="b">
        <v>0</v>
      </c>
    </row>
    <row r="965" spans="1:7" ht="15">
      <c r="A965" s="84" t="s">
        <v>3081</v>
      </c>
      <c r="B965" s="83">
        <v>2</v>
      </c>
      <c r="C965" s="110">
        <v>0.0007042718569142821</v>
      </c>
      <c r="D965" s="83" t="s">
        <v>3175</v>
      </c>
      <c r="E965" s="83" t="b">
        <v>0</v>
      </c>
      <c r="F965" s="83" t="b">
        <v>0</v>
      </c>
      <c r="G965" s="83" t="b">
        <v>0</v>
      </c>
    </row>
    <row r="966" spans="1:7" ht="15">
      <c r="A966" s="84" t="s">
        <v>3082</v>
      </c>
      <c r="B966" s="83">
        <v>2</v>
      </c>
      <c r="C966" s="110">
        <v>0.0007042718569142821</v>
      </c>
      <c r="D966" s="83" t="s">
        <v>3175</v>
      </c>
      <c r="E966" s="83" t="b">
        <v>1</v>
      </c>
      <c r="F966" s="83" t="b">
        <v>0</v>
      </c>
      <c r="G966" s="83" t="b">
        <v>0</v>
      </c>
    </row>
    <row r="967" spans="1:7" ht="15">
      <c r="A967" s="84" t="s">
        <v>3083</v>
      </c>
      <c r="B967" s="83">
        <v>2</v>
      </c>
      <c r="C967" s="110">
        <v>0.0007042718569142821</v>
      </c>
      <c r="D967" s="83" t="s">
        <v>3175</v>
      </c>
      <c r="E967" s="83" t="b">
        <v>0</v>
      </c>
      <c r="F967" s="83" t="b">
        <v>0</v>
      </c>
      <c r="G967" s="83" t="b">
        <v>0</v>
      </c>
    </row>
    <row r="968" spans="1:7" ht="15">
      <c r="A968" s="84" t="s">
        <v>3084</v>
      </c>
      <c r="B968" s="83">
        <v>2</v>
      </c>
      <c r="C968" s="110">
        <v>0.0007042718569142821</v>
      </c>
      <c r="D968" s="83" t="s">
        <v>3175</v>
      </c>
      <c r="E968" s="83" t="b">
        <v>1</v>
      </c>
      <c r="F968" s="83" t="b">
        <v>0</v>
      </c>
      <c r="G968" s="83" t="b">
        <v>0</v>
      </c>
    </row>
    <row r="969" spans="1:7" ht="15">
      <c r="A969" s="84" t="s">
        <v>3085</v>
      </c>
      <c r="B969" s="83">
        <v>2</v>
      </c>
      <c r="C969" s="110">
        <v>0.0007042718569142821</v>
      </c>
      <c r="D969" s="83" t="s">
        <v>3175</v>
      </c>
      <c r="E969" s="83" t="b">
        <v>0</v>
      </c>
      <c r="F969" s="83" t="b">
        <v>0</v>
      </c>
      <c r="G969" s="83" t="b">
        <v>0</v>
      </c>
    </row>
    <row r="970" spans="1:7" ht="15">
      <c r="A970" s="84" t="s">
        <v>3086</v>
      </c>
      <c r="B970" s="83">
        <v>2</v>
      </c>
      <c r="C970" s="110">
        <v>0.0007893686754765382</v>
      </c>
      <c r="D970" s="83" t="s">
        <v>3175</v>
      </c>
      <c r="E970" s="83" t="b">
        <v>0</v>
      </c>
      <c r="F970" s="83" t="b">
        <v>0</v>
      </c>
      <c r="G970" s="83" t="b">
        <v>0</v>
      </c>
    </row>
    <row r="971" spans="1:7" ht="15">
      <c r="A971" s="84" t="s">
        <v>3087</v>
      </c>
      <c r="B971" s="83">
        <v>2</v>
      </c>
      <c r="C971" s="110">
        <v>0.0007893686754765382</v>
      </c>
      <c r="D971" s="83" t="s">
        <v>3175</v>
      </c>
      <c r="E971" s="83" t="b">
        <v>0</v>
      </c>
      <c r="F971" s="83" t="b">
        <v>0</v>
      </c>
      <c r="G971" s="83" t="b">
        <v>0</v>
      </c>
    </row>
    <row r="972" spans="1:7" ht="15">
      <c r="A972" s="84" t="s">
        <v>3088</v>
      </c>
      <c r="B972" s="83">
        <v>2</v>
      </c>
      <c r="C972" s="110">
        <v>0.0007042718569142821</v>
      </c>
      <c r="D972" s="83" t="s">
        <v>3175</v>
      </c>
      <c r="E972" s="83" t="b">
        <v>0</v>
      </c>
      <c r="F972" s="83" t="b">
        <v>0</v>
      </c>
      <c r="G972" s="83" t="b">
        <v>0</v>
      </c>
    </row>
    <row r="973" spans="1:7" ht="15">
      <c r="A973" s="84" t="s">
        <v>3089</v>
      </c>
      <c r="B973" s="83">
        <v>2</v>
      </c>
      <c r="C973" s="110">
        <v>0.0007042718569142821</v>
      </c>
      <c r="D973" s="83" t="s">
        <v>3175</v>
      </c>
      <c r="E973" s="83" t="b">
        <v>0</v>
      </c>
      <c r="F973" s="83" t="b">
        <v>0</v>
      </c>
      <c r="G973" s="83" t="b">
        <v>0</v>
      </c>
    </row>
    <row r="974" spans="1:7" ht="15">
      <c r="A974" s="84" t="s">
        <v>3090</v>
      </c>
      <c r="B974" s="83">
        <v>2</v>
      </c>
      <c r="C974" s="110">
        <v>0.0007042718569142821</v>
      </c>
      <c r="D974" s="83" t="s">
        <v>3175</v>
      </c>
      <c r="E974" s="83" t="b">
        <v>0</v>
      </c>
      <c r="F974" s="83" t="b">
        <v>0</v>
      </c>
      <c r="G974" s="83" t="b">
        <v>0</v>
      </c>
    </row>
    <row r="975" spans="1:7" ht="15">
      <c r="A975" s="84" t="s">
        <v>3091</v>
      </c>
      <c r="B975" s="83">
        <v>2</v>
      </c>
      <c r="C975" s="110">
        <v>0.0007893686754765382</v>
      </c>
      <c r="D975" s="83" t="s">
        <v>3175</v>
      </c>
      <c r="E975" s="83" t="b">
        <v>0</v>
      </c>
      <c r="F975" s="83" t="b">
        <v>0</v>
      </c>
      <c r="G975" s="83" t="b">
        <v>0</v>
      </c>
    </row>
    <row r="976" spans="1:7" ht="15">
      <c r="A976" s="84" t="s">
        <v>3092</v>
      </c>
      <c r="B976" s="83">
        <v>2</v>
      </c>
      <c r="C976" s="110">
        <v>0.0007042718569142821</v>
      </c>
      <c r="D976" s="83" t="s">
        <v>3175</v>
      </c>
      <c r="E976" s="83" t="b">
        <v>1</v>
      </c>
      <c r="F976" s="83" t="b">
        <v>0</v>
      </c>
      <c r="G976" s="83" t="b">
        <v>0</v>
      </c>
    </row>
    <row r="977" spans="1:7" ht="15">
      <c r="A977" s="84" t="s">
        <v>3093</v>
      </c>
      <c r="B977" s="83">
        <v>2</v>
      </c>
      <c r="C977" s="110">
        <v>0.0007042718569142821</v>
      </c>
      <c r="D977" s="83" t="s">
        <v>3175</v>
      </c>
      <c r="E977" s="83" t="b">
        <v>0</v>
      </c>
      <c r="F977" s="83" t="b">
        <v>0</v>
      </c>
      <c r="G977" s="83" t="b">
        <v>0</v>
      </c>
    </row>
    <row r="978" spans="1:7" ht="15">
      <c r="A978" s="84" t="s">
        <v>3094</v>
      </c>
      <c r="B978" s="83">
        <v>2</v>
      </c>
      <c r="C978" s="110">
        <v>0.0007042718569142821</v>
      </c>
      <c r="D978" s="83" t="s">
        <v>3175</v>
      </c>
      <c r="E978" s="83" t="b">
        <v>0</v>
      </c>
      <c r="F978" s="83" t="b">
        <v>0</v>
      </c>
      <c r="G978" s="83" t="b">
        <v>0</v>
      </c>
    </row>
    <row r="979" spans="1:7" ht="15">
      <c r="A979" s="84" t="s">
        <v>3095</v>
      </c>
      <c r="B979" s="83">
        <v>2</v>
      </c>
      <c r="C979" s="110">
        <v>0.0007042718569142821</v>
      </c>
      <c r="D979" s="83" t="s">
        <v>3175</v>
      </c>
      <c r="E979" s="83" t="b">
        <v>0</v>
      </c>
      <c r="F979" s="83" t="b">
        <v>0</v>
      </c>
      <c r="G979" s="83" t="b">
        <v>0</v>
      </c>
    </row>
    <row r="980" spans="1:7" ht="15">
      <c r="A980" s="84" t="s">
        <v>3096</v>
      </c>
      <c r="B980" s="83">
        <v>2</v>
      </c>
      <c r="C980" s="110">
        <v>0.0007042718569142821</v>
      </c>
      <c r="D980" s="83" t="s">
        <v>3175</v>
      </c>
      <c r="E980" s="83" t="b">
        <v>0</v>
      </c>
      <c r="F980" s="83" t="b">
        <v>0</v>
      </c>
      <c r="G980" s="83" t="b">
        <v>0</v>
      </c>
    </row>
    <row r="981" spans="1:7" ht="15">
      <c r="A981" s="84" t="s">
        <v>3097</v>
      </c>
      <c r="B981" s="83">
        <v>2</v>
      </c>
      <c r="C981" s="110">
        <v>0.0007893686754765382</v>
      </c>
      <c r="D981" s="83" t="s">
        <v>3175</v>
      </c>
      <c r="E981" s="83" t="b">
        <v>0</v>
      </c>
      <c r="F981" s="83" t="b">
        <v>0</v>
      </c>
      <c r="G981" s="83" t="b">
        <v>0</v>
      </c>
    </row>
    <row r="982" spans="1:7" ht="15">
      <c r="A982" s="84" t="s">
        <v>3098</v>
      </c>
      <c r="B982" s="83">
        <v>2</v>
      </c>
      <c r="C982" s="110">
        <v>0.0007042718569142821</v>
      </c>
      <c r="D982" s="83" t="s">
        <v>3175</v>
      </c>
      <c r="E982" s="83" t="b">
        <v>0</v>
      </c>
      <c r="F982" s="83" t="b">
        <v>0</v>
      </c>
      <c r="G982" s="83" t="b">
        <v>0</v>
      </c>
    </row>
    <row r="983" spans="1:7" ht="15">
      <c r="A983" s="84" t="s">
        <v>3099</v>
      </c>
      <c r="B983" s="83">
        <v>2</v>
      </c>
      <c r="C983" s="110">
        <v>0.0007042718569142821</v>
      </c>
      <c r="D983" s="83" t="s">
        <v>3175</v>
      </c>
      <c r="E983" s="83" t="b">
        <v>0</v>
      </c>
      <c r="F983" s="83" t="b">
        <v>0</v>
      </c>
      <c r="G983" s="83" t="b">
        <v>0</v>
      </c>
    </row>
    <row r="984" spans="1:7" ht="15">
      <c r="A984" s="84" t="s">
        <v>3100</v>
      </c>
      <c r="B984" s="83">
        <v>2</v>
      </c>
      <c r="C984" s="110">
        <v>0.0007042718569142821</v>
      </c>
      <c r="D984" s="83" t="s">
        <v>3175</v>
      </c>
      <c r="E984" s="83" t="b">
        <v>0</v>
      </c>
      <c r="F984" s="83" t="b">
        <v>0</v>
      </c>
      <c r="G984" s="83" t="b">
        <v>0</v>
      </c>
    </row>
    <row r="985" spans="1:7" ht="15">
      <c r="A985" s="84" t="s">
        <v>3101</v>
      </c>
      <c r="B985" s="83">
        <v>2</v>
      </c>
      <c r="C985" s="110">
        <v>0.0007042718569142821</v>
      </c>
      <c r="D985" s="83" t="s">
        <v>3175</v>
      </c>
      <c r="E985" s="83" t="b">
        <v>0</v>
      </c>
      <c r="F985" s="83" t="b">
        <v>0</v>
      </c>
      <c r="G985" s="83" t="b">
        <v>0</v>
      </c>
    </row>
    <row r="986" spans="1:7" ht="15">
      <c r="A986" s="84" t="s">
        <v>3102</v>
      </c>
      <c r="B986" s="83">
        <v>2</v>
      </c>
      <c r="C986" s="110">
        <v>0.0007042718569142821</v>
      </c>
      <c r="D986" s="83" t="s">
        <v>3175</v>
      </c>
      <c r="E986" s="83" t="b">
        <v>0</v>
      </c>
      <c r="F986" s="83" t="b">
        <v>0</v>
      </c>
      <c r="G986" s="83" t="b">
        <v>0</v>
      </c>
    </row>
    <row r="987" spans="1:7" ht="15">
      <c r="A987" s="84" t="s">
        <v>3103</v>
      </c>
      <c r="B987" s="83">
        <v>2</v>
      </c>
      <c r="C987" s="110">
        <v>0.0007042718569142821</v>
      </c>
      <c r="D987" s="83" t="s">
        <v>3175</v>
      </c>
      <c r="E987" s="83" t="b">
        <v>0</v>
      </c>
      <c r="F987" s="83" t="b">
        <v>0</v>
      </c>
      <c r="G987" s="83" t="b">
        <v>0</v>
      </c>
    </row>
    <row r="988" spans="1:7" ht="15">
      <c r="A988" s="84" t="s">
        <v>3104</v>
      </c>
      <c r="B988" s="83">
        <v>2</v>
      </c>
      <c r="C988" s="110">
        <v>0.0007042718569142821</v>
      </c>
      <c r="D988" s="83" t="s">
        <v>3175</v>
      </c>
      <c r="E988" s="83" t="b">
        <v>0</v>
      </c>
      <c r="F988" s="83" t="b">
        <v>0</v>
      </c>
      <c r="G988" s="83" t="b">
        <v>0</v>
      </c>
    </row>
    <row r="989" spans="1:7" ht="15">
      <c r="A989" s="84" t="s">
        <v>3105</v>
      </c>
      <c r="B989" s="83">
        <v>2</v>
      </c>
      <c r="C989" s="110">
        <v>0.0007042718569142821</v>
      </c>
      <c r="D989" s="83" t="s">
        <v>3175</v>
      </c>
      <c r="E989" s="83" t="b">
        <v>0</v>
      </c>
      <c r="F989" s="83" t="b">
        <v>0</v>
      </c>
      <c r="G989" s="83" t="b">
        <v>0</v>
      </c>
    </row>
    <row r="990" spans="1:7" ht="15">
      <c r="A990" s="84" t="s">
        <v>3106</v>
      </c>
      <c r="B990" s="83">
        <v>2</v>
      </c>
      <c r="C990" s="110">
        <v>0.0007042718569142821</v>
      </c>
      <c r="D990" s="83" t="s">
        <v>3175</v>
      </c>
      <c r="E990" s="83" t="b">
        <v>0</v>
      </c>
      <c r="F990" s="83" t="b">
        <v>0</v>
      </c>
      <c r="G990" s="83" t="b">
        <v>0</v>
      </c>
    </row>
    <row r="991" spans="1:7" ht="15">
      <c r="A991" s="84" t="s">
        <v>3107</v>
      </c>
      <c r="B991" s="83">
        <v>2</v>
      </c>
      <c r="C991" s="110">
        <v>0.0007042718569142821</v>
      </c>
      <c r="D991" s="83" t="s">
        <v>3175</v>
      </c>
      <c r="E991" s="83" t="b">
        <v>1</v>
      </c>
      <c r="F991" s="83" t="b">
        <v>0</v>
      </c>
      <c r="G991" s="83" t="b">
        <v>0</v>
      </c>
    </row>
    <row r="992" spans="1:7" ht="15">
      <c r="A992" s="84" t="s">
        <v>3108</v>
      </c>
      <c r="B992" s="83">
        <v>2</v>
      </c>
      <c r="C992" s="110">
        <v>0.0007893686754765382</v>
      </c>
      <c r="D992" s="83" t="s">
        <v>3175</v>
      </c>
      <c r="E992" s="83" t="b">
        <v>0</v>
      </c>
      <c r="F992" s="83" t="b">
        <v>0</v>
      </c>
      <c r="G992" s="83" t="b">
        <v>0</v>
      </c>
    </row>
    <row r="993" spans="1:7" ht="15">
      <c r="A993" s="84" t="s">
        <v>3109</v>
      </c>
      <c r="B993" s="83">
        <v>2</v>
      </c>
      <c r="C993" s="110">
        <v>0.0007042718569142821</v>
      </c>
      <c r="D993" s="83" t="s">
        <v>3175</v>
      </c>
      <c r="E993" s="83" t="b">
        <v>0</v>
      </c>
      <c r="F993" s="83" t="b">
        <v>0</v>
      </c>
      <c r="G993" s="83" t="b">
        <v>0</v>
      </c>
    </row>
    <row r="994" spans="1:7" ht="15">
      <c r="A994" s="84" t="s">
        <v>3110</v>
      </c>
      <c r="B994" s="83">
        <v>2</v>
      </c>
      <c r="C994" s="110">
        <v>0.0007042718569142821</v>
      </c>
      <c r="D994" s="83" t="s">
        <v>3175</v>
      </c>
      <c r="E994" s="83" t="b">
        <v>0</v>
      </c>
      <c r="F994" s="83" t="b">
        <v>0</v>
      </c>
      <c r="G994" s="83" t="b">
        <v>0</v>
      </c>
    </row>
    <row r="995" spans="1:7" ht="15">
      <c r="A995" s="84" t="s">
        <v>3111</v>
      </c>
      <c r="B995" s="83">
        <v>2</v>
      </c>
      <c r="C995" s="110">
        <v>0.0007893686754765382</v>
      </c>
      <c r="D995" s="83" t="s">
        <v>3175</v>
      </c>
      <c r="E995" s="83" t="b">
        <v>0</v>
      </c>
      <c r="F995" s="83" t="b">
        <v>0</v>
      </c>
      <c r="G995" s="83" t="b">
        <v>0</v>
      </c>
    </row>
    <row r="996" spans="1:7" ht="15">
      <c r="A996" s="84" t="s">
        <v>3112</v>
      </c>
      <c r="B996" s="83">
        <v>2</v>
      </c>
      <c r="C996" s="110">
        <v>0.0007893686754765382</v>
      </c>
      <c r="D996" s="83" t="s">
        <v>3175</v>
      </c>
      <c r="E996" s="83" t="b">
        <v>0</v>
      </c>
      <c r="F996" s="83" t="b">
        <v>0</v>
      </c>
      <c r="G996" s="83" t="b">
        <v>0</v>
      </c>
    </row>
    <row r="997" spans="1:7" ht="15">
      <c r="A997" s="84" t="s">
        <v>3113</v>
      </c>
      <c r="B997" s="83">
        <v>2</v>
      </c>
      <c r="C997" s="110">
        <v>0.0007042718569142821</v>
      </c>
      <c r="D997" s="83" t="s">
        <v>3175</v>
      </c>
      <c r="E997" s="83" t="b">
        <v>1</v>
      </c>
      <c r="F997" s="83" t="b">
        <v>0</v>
      </c>
      <c r="G997" s="83" t="b">
        <v>0</v>
      </c>
    </row>
    <row r="998" spans="1:7" ht="15">
      <c r="A998" s="84" t="s">
        <v>3114</v>
      </c>
      <c r="B998" s="83">
        <v>2</v>
      </c>
      <c r="C998" s="110">
        <v>0.0007042718569142821</v>
      </c>
      <c r="D998" s="83" t="s">
        <v>3175</v>
      </c>
      <c r="E998" s="83" t="b">
        <v>1</v>
      </c>
      <c r="F998" s="83" t="b">
        <v>0</v>
      </c>
      <c r="G998" s="83" t="b">
        <v>0</v>
      </c>
    </row>
    <row r="999" spans="1:7" ht="15">
      <c r="A999" s="84" t="s">
        <v>3115</v>
      </c>
      <c r="B999" s="83">
        <v>2</v>
      </c>
      <c r="C999" s="110">
        <v>0.0007042718569142821</v>
      </c>
      <c r="D999" s="83" t="s">
        <v>3175</v>
      </c>
      <c r="E999" s="83" t="b">
        <v>0</v>
      </c>
      <c r="F999" s="83" t="b">
        <v>0</v>
      </c>
      <c r="G999" s="83" t="b">
        <v>0</v>
      </c>
    </row>
    <row r="1000" spans="1:7" ht="15">
      <c r="A1000" s="84" t="s">
        <v>3116</v>
      </c>
      <c r="B1000" s="83">
        <v>2</v>
      </c>
      <c r="C1000" s="110">
        <v>0.0007893686754765382</v>
      </c>
      <c r="D1000" s="83" t="s">
        <v>3175</v>
      </c>
      <c r="E1000" s="83" t="b">
        <v>0</v>
      </c>
      <c r="F1000" s="83" t="b">
        <v>0</v>
      </c>
      <c r="G1000" s="83" t="b">
        <v>0</v>
      </c>
    </row>
    <row r="1001" spans="1:7" ht="15">
      <c r="A1001" s="84" t="s">
        <v>3117</v>
      </c>
      <c r="B1001" s="83">
        <v>2</v>
      </c>
      <c r="C1001" s="110">
        <v>0.0007042718569142821</v>
      </c>
      <c r="D1001" s="83" t="s">
        <v>3175</v>
      </c>
      <c r="E1001" s="83" t="b">
        <v>0</v>
      </c>
      <c r="F1001" s="83" t="b">
        <v>0</v>
      </c>
      <c r="G1001" s="83" t="b">
        <v>0</v>
      </c>
    </row>
    <row r="1002" spans="1:7" ht="15">
      <c r="A1002" s="84" t="s">
        <v>3118</v>
      </c>
      <c r="B1002" s="83">
        <v>2</v>
      </c>
      <c r="C1002" s="110">
        <v>0.0007042718569142821</v>
      </c>
      <c r="D1002" s="83" t="s">
        <v>3175</v>
      </c>
      <c r="E1002" s="83" t="b">
        <v>0</v>
      </c>
      <c r="F1002" s="83" t="b">
        <v>0</v>
      </c>
      <c r="G1002" s="83" t="b">
        <v>0</v>
      </c>
    </row>
    <row r="1003" spans="1:7" ht="15">
      <c r="A1003" s="84" t="s">
        <v>3119</v>
      </c>
      <c r="B1003" s="83">
        <v>2</v>
      </c>
      <c r="C1003" s="110">
        <v>0.0007893686754765382</v>
      </c>
      <c r="D1003" s="83" t="s">
        <v>3175</v>
      </c>
      <c r="E1003" s="83" t="b">
        <v>0</v>
      </c>
      <c r="F1003" s="83" t="b">
        <v>0</v>
      </c>
      <c r="G1003" s="83" t="b">
        <v>0</v>
      </c>
    </row>
    <row r="1004" spans="1:7" ht="15">
      <c r="A1004" s="84" t="s">
        <v>3120</v>
      </c>
      <c r="B1004" s="83">
        <v>2</v>
      </c>
      <c r="C1004" s="110">
        <v>0.0007042718569142821</v>
      </c>
      <c r="D1004" s="83" t="s">
        <v>3175</v>
      </c>
      <c r="E1004" s="83" t="b">
        <v>0</v>
      </c>
      <c r="F1004" s="83" t="b">
        <v>0</v>
      </c>
      <c r="G1004" s="83" t="b">
        <v>0</v>
      </c>
    </row>
    <row r="1005" spans="1:7" ht="15">
      <c r="A1005" s="84" t="s">
        <v>3121</v>
      </c>
      <c r="B1005" s="83">
        <v>2</v>
      </c>
      <c r="C1005" s="110">
        <v>0.0007042718569142821</v>
      </c>
      <c r="D1005" s="83" t="s">
        <v>3175</v>
      </c>
      <c r="E1005" s="83" t="b">
        <v>0</v>
      </c>
      <c r="F1005" s="83" t="b">
        <v>0</v>
      </c>
      <c r="G1005" s="83" t="b">
        <v>0</v>
      </c>
    </row>
    <row r="1006" spans="1:7" ht="15">
      <c r="A1006" s="84" t="s">
        <v>3122</v>
      </c>
      <c r="B1006" s="83">
        <v>2</v>
      </c>
      <c r="C1006" s="110">
        <v>0.0007042718569142821</v>
      </c>
      <c r="D1006" s="83" t="s">
        <v>3175</v>
      </c>
      <c r="E1006" s="83" t="b">
        <v>0</v>
      </c>
      <c r="F1006" s="83" t="b">
        <v>0</v>
      </c>
      <c r="G1006" s="83" t="b">
        <v>0</v>
      </c>
    </row>
    <row r="1007" spans="1:7" ht="15">
      <c r="A1007" s="84" t="s">
        <v>3123</v>
      </c>
      <c r="B1007" s="83">
        <v>2</v>
      </c>
      <c r="C1007" s="110">
        <v>0.0007042718569142821</v>
      </c>
      <c r="D1007" s="83" t="s">
        <v>3175</v>
      </c>
      <c r="E1007" s="83" t="b">
        <v>0</v>
      </c>
      <c r="F1007" s="83" t="b">
        <v>0</v>
      </c>
      <c r="G1007" s="83" t="b">
        <v>0</v>
      </c>
    </row>
    <row r="1008" spans="1:7" ht="15">
      <c r="A1008" s="84" t="s">
        <v>3124</v>
      </c>
      <c r="B1008" s="83">
        <v>2</v>
      </c>
      <c r="C1008" s="110">
        <v>0.0007893686754765382</v>
      </c>
      <c r="D1008" s="83" t="s">
        <v>3175</v>
      </c>
      <c r="E1008" s="83" t="b">
        <v>0</v>
      </c>
      <c r="F1008" s="83" t="b">
        <v>0</v>
      </c>
      <c r="G1008" s="83" t="b">
        <v>0</v>
      </c>
    </row>
    <row r="1009" spans="1:7" ht="15">
      <c r="A1009" s="84" t="s">
        <v>3125</v>
      </c>
      <c r="B1009" s="83">
        <v>2</v>
      </c>
      <c r="C1009" s="110">
        <v>0.0007042718569142821</v>
      </c>
      <c r="D1009" s="83" t="s">
        <v>3175</v>
      </c>
      <c r="E1009" s="83" t="b">
        <v>0</v>
      </c>
      <c r="F1009" s="83" t="b">
        <v>0</v>
      </c>
      <c r="G1009" s="83" t="b">
        <v>0</v>
      </c>
    </row>
    <row r="1010" spans="1:7" ht="15">
      <c r="A1010" s="84" t="s">
        <v>3126</v>
      </c>
      <c r="B1010" s="83">
        <v>2</v>
      </c>
      <c r="C1010" s="110">
        <v>0.0007042718569142821</v>
      </c>
      <c r="D1010" s="83" t="s">
        <v>3175</v>
      </c>
      <c r="E1010" s="83" t="b">
        <v>0</v>
      </c>
      <c r="F1010" s="83" t="b">
        <v>0</v>
      </c>
      <c r="G1010" s="83" t="b">
        <v>0</v>
      </c>
    </row>
    <row r="1011" spans="1:7" ht="15">
      <c r="A1011" s="84" t="s">
        <v>3127</v>
      </c>
      <c r="B1011" s="83">
        <v>2</v>
      </c>
      <c r="C1011" s="110">
        <v>0.0007042718569142821</v>
      </c>
      <c r="D1011" s="83" t="s">
        <v>3175</v>
      </c>
      <c r="E1011" s="83" t="b">
        <v>0</v>
      </c>
      <c r="F1011" s="83" t="b">
        <v>0</v>
      </c>
      <c r="G1011" s="83" t="b">
        <v>0</v>
      </c>
    </row>
    <row r="1012" spans="1:7" ht="15">
      <c r="A1012" s="84" t="s">
        <v>3128</v>
      </c>
      <c r="B1012" s="83">
        <v>2</v>
      </c>
      <c r="C1012" s="110">
        <v>0.0007042718569142821</v>
      </c>
      <c r="D1012" s="83" t="s">
        <v>3175</v>
      </c>
      <c r="E1012" s="83" t="b">
        <v>0</v>
      </c>
      <c r="F1012" s="83" t="b">
        <v>0</v>
      </c>
      <c r="G1012" s="83" t="b">
        <v>0</v>
      </c>
    </row>
    <row r="1013" spans="1:7" ht="15">
      <c r="A1013" s="84" t="s">
        <v>3129</v>
      </c>
      <c r="B1013" s="83">
        <v>2</v>
      </c>
      <c r="C1013" s="110">
        <v>0.0007042718569142821</v>
      </c>
      <c r="D1013" s="83" t="s">
        <v>3175</v>
      </c>
      <c r="E1013" s="83" t="b">
        <v>0</v>
      </c>
      <c r="F1013" s="83" t="b">
        <v>0</v>
      </c>
      <c r="G1013" s="83" t="b">
        <v>0</v>
      </c>
    </row>
    <row r="1014" spans="1:7" ht="15">
      <c r="A1014" s="84" t="s">
        <v>3130</v>
      </c>
      <c r="B1014" s="83">
        <v>2</v>
      </c>
      <c r="C1014" s="110">
        <v>0.0007042718569142821</v>
      </c>
      <c r="D1014" s="83" t="s">
        <v>3175</v>
      </c>
      <c r="E1014" s="83" t="b">
        <v>0</v>
      </c>
      <c r="F1014" s="83" t="b">
        <v>0</v>
      </c>
      <c r="G1014" s="83" t="b">
        <v>0</v>
      </c>
    </row>
    <row r="1015" spans="1:7" ht="15">
      <c r="A1015" s="84" t="s">
        <v>3131</v>
      </c>
      <c r="B1015" s="83">
        <v>2</v>
      </c>
      <c r="C1015" s="110">
        <v>0.0007893686754765382</v>
      </c>
      <c r="D1015" s="83" t="s">
        <v>3175</v>
      </c>
      <c r="E1015" s="83" t="b">
        <v>0</v>
      </c>
      <c r="F1015" s="83" t="b">
        <v>0</v>
      </c>
      <c r="G1015" s="83" t="b">
        <v>0</v>
      </c>
    </row>
    <row r="1016" spans="1:7" ht="15">
      <c r="A1016" s="84" t="s">
        <v>3132</v>
      </c>
      <c r="B1016" s="83">
        <v>2</v>
      </c>
      <c r="C1016" s="110">
        <v>0.0007893686754765382</v>
      </c>
      <c r="D1016" s="83" t="s">
        <v>3175</v>
      </c>
      <c r="E1016" s="83" t="b">
        <v>0</v>
      </c>
      <c r="F1016" s="83" t="b">
        <v>0</v>
      </c>
      <c r="G1016" s="83" t="b">
        <v>0</v>
      </c>
    </row>
    <row r="1017" spans="1:7" ht="15">
      <c r="A1017" s="84" t="s">
        <v>3133</v>
      </c>
      <c r="B1017" s="83">
        <v>2</v>
      </c>
      <c r="C1017" s="110">
        <v>0.0007893686754765382</v>
      </c>
      <c r="D1017" s="83" t="s">
        <v>3175</v>
      </c>
      <c r="E1017" s="83" t="b">
        <v>0</v>
      </c>
      <c r="F1017" s="83" t="b">
        <v>0</v>
      </c>
      <c r="G1017" s="83" t="b">
        <v>0</v>
      </c>
    </row>
    <row r="1018" spans="1:7" ht="15">
      <c r="A1018" s="84" t="s">
        <v>3134</v>
      </c>
      <c r="B1018" s="83">
        <v>2</v>
      </c>
      <c r="C1018" s="110">
        <v>0.0007893686754765382</v>
      </c>
      <c r="D1018" s="83" t="s">
        <v>3175</v>
      </c>
      <c r="E1018" s="83" t="b">
        <v>0</v>
      </c>
      <c r="F1018" s="83" t="b">
        <v>0</v>
      </c>
      <c r="G1018" s="83" t="b">
        <v>0</v>
      </c>
    </row>
    <row r="1019" spans="1:7" ht="15">
      <c r="A1019" s="84" t="s">
        <v>3135</v>
      </c>
      <c r="B1019" s="83">
        <v>2</v>
      </c>
      <c r="C1019" s="110">
        <v>0.0007042718569142821</v>
      </c>
      <c r="D1019" s="83" t="s">
        <v>3175</v>
      </c>
      <c r="E1019" s="83" t="b">
        <v>0</v>
      </c>
      <c r="F1019" s="83" t="b">
        <v>0</v>
      </c>
      <c r="G1019" s="83" t="b">
        <v>0</v>
      </c>
    </row>
    <row r="1020" spans="1:7" ht="15">
      <c r="A1020" s="84" t="s">
        <v>3136</v>
      </c>
      <c r="B1020" s="83">
        <v>2</v>
      </c>
      <c r="C1020" s="110">
        <v>0.0007893686754765382</v>
      </c>
      <c r="D1020" s="83" t="s">
        <v>3175</v>
      </c>
      <c r="E1020" s="83" t="b">
        <v>0</v>
      </c>
      <c r="F1020" s="83" t="b">
        <v>0</v>
      </c>
      <c r="G1020" s="83" t="b">
        <v>0</v>
      </c>
    </row>
    <row r="1021" spans="1:7" ht="15">
      <c r="A1021" s="84" t="s">
        <v>3137</v>
      </c>
      <c r="B1021" s="83">
        <v>2</v>
      </c>
      <c r="C1021" s="110">
        <v>0.0007042718569142821</v>
      </c>
      <c r="D1021" s="83" t="s">
        <v>3175</v>
      </c>
      <c r="E1021" s="83" t="b">
        <v>1</v>
      </c>
      <c r="F1021" s="83" t="b">
        <v>0</v>
      </c>
      <c r="G1021" s="83" t="b">
        <v>0</v>
      </c>
    </row>
    <row r="1022" spans="1:7" ht="15">
      <c r="A1022" s="84" t="s">
        <v>3138</v>
      </c>
      <c r="B1022" s="83">
        <v>2</v>
      </c>
      <c r="C1022" s="110">
        <v>0.0007042718569142821</v>
      </c>
      <c r="D1022" s="83" t="s">
        <v>3175</v>
      </c>
      <c r="E1022" s="83" t="b">
        <v>0</v>
      </c>
      <c r="F1022" s="83" t="b">
        <v>0</v>
      </c>
      <c r="G1022" s="83" t="b">
        <v>0</v>
      </c>
    </row>
    <row r="1023" spans="1:7" ht="15">
      <c r="A1023" s="84" t="s">
        <v>3139</v>
      </c>
      <c r="B1023" s="83">
        <v>2</v>
      </c>
      <c r="C1023" s="110">
        <v>0.0007893686754765382</v>
      </c>
      <c r="D1023" s="83" t="s">
        <v>3175</v>
      </c>
      <c r="E1023" s="83" t="b">
        <v>0</v>
      </c>
      <c r="F1023" s="83" t="b">
        <v>0</v>
      </c>
      <c r="G1023" s="83" t="b">
        <v>0</v>
      </c>
    </row>
    <row r="1024" spans="1:7" ht="15">
      <c r="A1024" s="84" t="s">
        <v>3140</v>
      </c>
      <c r="B1024" s="83">
        <v>2</v>
      </c>
      <c r="C1024" s="110">
        <v>0.0007042718569142821</v>
      </c>
      <c r="D1024" s="83" t="s">
        <v>3175</v>
      </c>
      <c r="E1024" s="83" t="b">
        <v>0</v>
      </c>
      <c r="F1024" s="83" t="b">
        <v>0</v>
      </c>
      <c r="G1024" s="83" t="b">
        <v>0</v>
      </c>
    </row>
    <row r="1025" spans="1:7" ht="15">
      <c r="A1025" s="84" t="s">
        <v>3141</v>
      </c>
      <c r="B1025" s="83">
        <v>2</v>
      </c>
      <c r="C1025" s="110">
        <v>0.0007893686754765382</v>
      </c>
      <c r="D1025" s="83" t="s">
        <v>3175</v>
      </c>
      <c r="E1025" s="83" t="b">
        <v>0</v>
      </c>
      <c r="F1025" s="83" t="b">
        <v>0</v>
      </c>
      <c r="G1025" s="83" t="b">
        <v>0</v>
      </c>
    </row>
    <row r="1026" spans="1:7" ht="15">
      <c r="A1026" s="84" t="s">
        <v>3142</v>
      </c>
      <c r="B1026" s="83">
        <v>2</v>
      </c>
      <c r="C1026" s="110">
        <v>0.0007042718569142821</v>
      </c>
      <c r="D1026" s="83" t="s">
        <v>3175</v>
      </c>
      <c r="E1026" s="83" t="b">
        <v>0</v>
      </c>
      <c r="F1026" s="83" t="b">
        <v>0</v>
      </c>
      <c r="G1026" s="83" t="b">
        <v>0</v>
      </c>
    </row>
    <row r="1027" spans="1:7" ht="15">
      <c r="A1027" s="84" t="s">
        <v>3143</v>
      </c>
      <c r="B1027" s="83">
        <v>2</v>
      </c>
      <c r="C1027" s="110">
        <v>0.0007042718569142821</v>
      </c>
      <c r="D1027" s="83" t="s">
        <v>3175</v>
      </c>
      <c r="E1027" s="83" t="b">
        <v>1</v>
      </c>
      <c r="F1027" s="83" t="b">
        <v>0</v>
      </c>
      <c r="G1027" s="83" t="b">
        <v>0</v>
      </c>
    </row>
    <row r="1028" spans="1:7" ht="15">
      <c r="A1028" s="84" t="s">
        <v>3144</v>
      </c>
      <c r="B1028" s="83">
        <v>2</v>
      </c>
      <c r="C1028" s="110">
        <v>0.0007042718569142821</v>
      </c>
      <c r="D1028" s="83" t="s">
        <v>3175</v>
      </c>
      <c r="E1028" s="83" t="b">
        <v>0</v>
      </c>
      <c r="F1028" s="83" t="b">
        <v>0</v>
      </c>
      <c r="G1028" s="83" t="b">
        <v>0</v>
      </c>
    </row>
    <row r="1029" spans="1:7" ht="15">
      <c r="A1029" s="84" t="s">
        <v>3145</v>
      </c>
      <c r="B1029" s="83">
        <v>2</v>
      </c>
      <c r="C1029" s="110">
        <v>0.0007042718569142821</v>
      </c>
      <c r="D1029" s="83" t="s">
        <v>3175</v>
      </c>
      <c r="E1029" s="83" t="b">
        <v>0</v>
      </c>
      <c r="F1029" s="83" t="b">
        <v>0</v>
      </c>
      <c r="G1029" s="83" t="b">
        <v>0</v>
      </c>
    </row>
    <row r="1030" spans="1:7" ht="15">
      <c r="A1030" s="84" t="s">
        <v>3146</v>
      </c>
      <c r="B1030" s="83">
        <v>2</v>
      </c>
      <c r="C1030" s="110">
        <v>0.0007893686754765382</v>
      </c>
      <c r="D1030" s="83" t="s">
        <v>3175</v>
      </c>
      <c r="E1030" s="83" t="b">
        <v>0</v>
      </c>
      <c r="F1030" s="83" t="b">
        <v>1</v>
      </c>
      <c r="G1030" s="83" t="b">
        <v>0</v>
      </c>
    </row>
    <row r="1031" spans="1:7" ht="15">
      <c r="A1031" s="84" t="s">
        <v>3147</v>
      </c>
      <c r="B1031" s="83">
        <v>2</v>
      </c>
      <c r="C1031" s="110">
        <v>0.0007042718569142821</v>
      </c>
      <c r="D1031" s="83" t="s">
        <v>3175</v>
      </c>
      <c r="E1031" s="83" t="b">
        <v>0</v>
      </c>
      <c r="F1031" s="83" t="b">
        <v>0</v>
      </c>
      <c r="G1031" s="83" t="b">
        <v>0</v>
      </c>
    </row>
    <row r="1032" spans="1:7" ht="15">
      <c r="A1032" s="84" t="s">
        <v>3148</v>
      </c>
      <c r="B1032" s="83">
        <v>2</v>
      </c>
      <c r="C1032" s="110">
        <v>0.0007042718569142821</v>
      </c>
      <c r="D1032" s="83" t="s">
        <v>3175</v>
      </c>
      <c r="E1032" s="83" t="b">
        <v>0</v>
      </c>
      <c r="F1032" s="83" t="b">
        <v>1</v>
      </c>
      <c r="G1032" s="83" t="b">
        <v>0</v>
      </c>
    </row>
    <row r="1033" spans="1:7" ht="15">
      <c r="A1033" s="84" t="s">
        <v>3149</v>
      </c>
      <c r="B1033" s="83">
        <v>2</v>
      </c>
      <c r="C1033" s="110">
        <v>0.0007042718569142821</v>
      </c>
      <c r="D1033" s="83" t="s">
        <v>3175</v>
      </c>
      <c r="E1033" s="83" t="b">
        <v>0</v>
      </c>
      <c r="F1033" s="83" t="b">
        <v>1</v>
      </c>
      <c r="G1033" s="83" t="b">
        <v>0</v>
      </c>
    </row>
    <row r="1034" spans="1:7" ht="15">
      <c r="A1034" s="84" t="s">
        <v>3150</v>
      </c>
      <c r="B1034" s="83">
        <v>2</v>
      </c>
      <c r="C1034" s="110">
        <v>0.0007042718569142821</v>
      </c>
      <c r="D1034" s="83" t="s">
        <v>3175</v>
      </c>
      <c r="E1034" s="83" t="b">
        <v>0</v>
      </c>
      <c r="F1034" s="83" t="b">
        <v>0</v>
      </c>
      <c r="G1034" s="83" t="b">
        <v>0</v>
      </c>
    </row>
    <row r="1035" spans="1:7" ht="15">
      <c r="A1035" s="84" t="s">
        <v>3151</v>
      </c>
      <c r="B1035" s="83">
        <v>2</v>
      </c>
      <c r="C1035" s="110">
        <v>0.0007042718569142821</v>
      </c>
      <c r="D1035" s="83" t="s">
        <v>3175</v>
      </c>
      <c r="E1035" s="83" t="b">
        <v>0</v>
      </c>
      <c r="F1035" s="83" t="b">
        <v>0</v>
      </c>
      <c r="G1035" s="83" t="b">
        <v>0</v>
      </c>
    </row>
    <row r="1036" spans="1:7" ht="15">
      <c r="A1036" s="84" t="s">
        <v>3152</v>
      </c>
      <c r="B1036" s="83">
        <v>2</v>
      </c>
      <c r="C1036" s="110">
        <v>0.0007893686754765382</v>
      </c>
      <c r="D1036" s="83" t="s">
        <v>3175</v>
      </c>
      <c r="E1036" s="83" t="b">
        <v>0</v>
      </c>
      <c r="F1036" s="83" t="b">
        <v>0</v>
      </c>
      <c r="G1036" s="83" t="b">
        <v>0</v>
      </c>
    </row>
    <row r="1037" spans="1:7" ht="15">
      <c r="A1037" s="84" t="s">
        <v>3153</v>
      </c>
      <c r="B1037" s="83">
        <v>2</v>
      </c>
      <c r="C1037" s="110">
        <v>0.0007042718569142821</v>
      </c>
      <c r="D1037" s="83" t="s">
        <v>3175</v>
      </c>
      <c r="E1037" s="83" t="b">
        <v>0</v>
      </c>
      <c r="F1037" s="83" t="b">
        <v>0</v>
      </c>
      <c r="G1037" s="83" t="b">
        <v>0</v>
      </c>
    </row>
    <row r="1038" spans="1:7" ht="15">
      <c r="A1038" s="84" t="s">
        <v>3154</v>
      </c>
      <c r="B1038" s="83">
        <v>2</v>
      </c>
      <c r="C1038" s="110">
        <v>0.0007893686754765382</v>
      </c>
      <c r="D1038" s="83" t="s">
        <v>3175</v>
      </c>
      <c r="E1038" s="83" t="b">
        <v>0</v>
      </c>
      <c r="F1038" s="83" t="b">
        <v>0</v>
      </c>
      <c r="G1038" s="83" t="b">
        <v>0</v>
      </c>
    </row>
    <row r="1039" spans="1:7" ht="15">
      <c r="A1039" s="84" t="s">
        <v>3155</v>
      </c>
      <c r="B1039" s="83">
        <v>2</v>
      </c>
      <c r="C1039" s="110">
        <v>0.0007042718569142821</v>
      </c>
      <c r="D1039" s="83" t="s">
        <v>3175</v>
      </c>
      <c r="E1039" s="83" t="b">
        <v>0</v>
      </c>
      <c r="F1039" s="83" t="b">
        <v>0</v>
      </c>
      <c r="G1039" s="83" t="b">
        <v>0</v>
      </c>
    </row>
    <row r="1040" spans="1:7" ht="15">
      <c r="A1040" s="84" t="s">
        <v>3156</v>
      </c>
      <c r="B1040" s="83">
        <v>2</v>
      </c>
      <c r="C1040" s="110">
        <v>0.0007893686754765382</v>
      </c>
      <c r="D1040" s="83" t="s">
        <v>3175</v>
      </c>
      <c r="E1040" s="83" t="b">
        <v>0</v>
      </c>
      <c r="F1040" s="83" t="b">
        <v>1</v>
      </c>
      <c r="G1040" s="83" t="b">
        <v>0</v>
      </c>
    </row>
    <row r="1041" spans="1:7" ht="15">
      <c r="A1041" s="84" t="s">
        <v>3157</v>
      </c>
      <c r="B1041" s="83">
        <v>2</v>
      </c>
      <c r="C1041" s="110">
        <v>0.0007893686754765382</v>
      </c>
      <c r="D1041" s="83" t="s">
        <v>3175</v>
      </c>
      <c r="E1041" s="83" t="b">
        <v>1</v>
      </c>
      <c r="F1041" s="83" t="b">
        <v>0</v>
      </c>
      <c r="G1041" s="83" t="b">
        <v>0</v>
      </c>
    </row>
    <row r="1042" spans="1:7" ht="15">
      <c r="A1042" s="84" t="s">
        <v>3158</v>
      </c>
      <c r="B1042" s="83">
        <v>2</v>
      </c>
      <c r="C1042" s="110">
        <v>0.0007893686754765382</v>
      </c>
      <c r="D1042" s="83" t="s">
        <v>3175</v>
      </c>
      <c r="E1042" s="83" t="b">
        <v>0</v>
      </c>
      <c r="F1042" s="83" t="b">
        <v>0</v>
      </c>
      <c r="G1042" s="83" t="b">
        <v>0</v>
      </c>
    </row>
    <row r="1043" spans="1:7" ht="15">
      <c r="A1043" s="84" t="s">
        <v>3159</v>
      </c>
      <c r="B1043" s="83">
        <v>2</v>
      </c>
      <c r="C1043" s="110">
        <v>0.0007893686754765382</v>
      </c>
      <c r="D1043" s="83" t="s">
        <v>3175</v>
      </c>
      <c r="E1043" s="83" t="b">
        <v>0</v>
      </c>
      <c r="F1043" s="83" t="b">
        <v>0</v>
      </c>
      <c r="G1043" s="83" t="b">
        <v>0</v>
      </c>
    </row>
    <row r="1044" spans="1:7" ht="15">
      <c r="A1044" s="84" t="s">
        <v>3160</v>
      </c>
      <c r="B1044" s="83">
        <v>2</v>
      </c>
      <c r="C1044" s="110">
        <v>0.0007042718569142821</v>
      </c>
      <c r="D1044" s="83" t="s">
        <v>3175</v>
      </c>
      <c r="E1044" s="83" t="b">
        <v>0</v>
      </c>
      <c r="F1044" s="83" t="b">
        <v>1</v>
      </c>
      <c r="G1044" s="83" t="b">
        <v>0</v>
      </c>
    </row>
    <row r="1045" spans="1:7" ht="15">
      <c r="A1045" s="84" t="s">
        <v>3161</v>
      </c>
      <c r="B1045" s="83">
        <v>2</v>
      </c>
      <c r="C1045" s="110">
        <v>0.0007893686754765382</v>
      </c>
      <c r="D1045" s="83" t="s">
        <v>3175</v>
      </c>
      <c r="E1045" s="83" t="b">
        <v>0</v>
      </c>
      <c r="F1045" s="83" t="b">
        <v>0</v>
      </c>
      <c r="G1045" s="83" t="b">
        <v>0</v>
      </c>
    </row>
    <row r="1046" spans="1:7" ht="15">
      <c r="A1046" s="84" t="s">
        <v>3162</v>
      </c>
      <c r="B1046" s="83">
        <v>2</v>
      </c>
      <c r="C1046" s="110">
        <v>0.0007042718569142821</v>
      </c>
      <c r="D1046" s="83" t="s">
        <v>3175</v>
      </c>
      <c r="E1046" s="83" t="b">
        <v>0</v>
      </c>
      <c r="F1046" s="83" t="b">
        <v>0</v>
      </c>
      <c r="G1046" s="83" t="b">
        <v>0</v>
      </c>
    </row>
    <row r="1047" spans="1:7" ht="15">
      <c r="A1047" s="84" t="s">
        <v>3163</v>
      </c>
      <c r="B1047" s="83">
        <v>2</v>
      </c>
      <c r="C1047" s="110">
        <v>0.0007893686754765382</v>
      </c>
      <c r="D1047" s="83" t="s">
        <v>3175</v>
      </c>
      <c r="E1047" s="83" t="b">
        <v>0</v>
      </c>
      <c r="F1047" s="83" t="b">
        <v>1</v>
      </c>
      <c r="G1047" s="83" t="b">
        <v>0</v>
      </c>
    </row>
    <row r="1048" spans="1:7" ht="15">
      <c r="A1048" s="84" t="s">
        <v>3164</v>
      </c>
      <c r="B1048" s="83">
        <v>2</v>
      </c>
      <c r="C1048" s="110">
        <v>0.0007042718569142821</v>
      </c>
      <c r="D1048" s="83" t="s">
        <v>3175</v>
      </c>
      <c r="E1048" s="83" t="b">
        <v>0</v>
      </c>
      <c r="F1048" s="83" t="b">
        <v>0</v>
      </c>
      <c r="G1048" s="83" t="b">
        <v>0</v>
      </c>
    </row>
    <row r="1049" spans="1:7" ht="15">
      <c r="A1049" s="84" t="s">
        <v>3165</v>
      </c>
      <c r="B1049" s="83">
        <v>2</v>
      </c>
      <c r="C1049" s="110">
        <v>0.0007893686754765382</v>
      </c>
      <c r="D1049" s="83" t="s">
        <v>3175</v>
      </c>
      <c r="E1049" s="83" t="b">
        <v>0</v>
      </c>
      <c r="F1049" s="83" t="b">
        <v>0</v>
      </c>
      <c r="G1049" s="83" t="b">
        <v>0</v>
      </c>
    </row>
    <row r="1050" spans="1:7" ht="15">
      <c r="A1050" s="84" t="s">
        <v>3166</v>
      </c>
      <c r="B1050" s="83">
        <v>2</v>
      </c>
      <c r="C1050" s="110">
        <v>0.0007042718569142821</v>
      </c>
      <c r="D1050" s="83" t="s">
        <v>3175</v>
      </c>
      <c r="E1050" s="83" t="b">
        <v>0</v>
      </c>
      <c r="F1050" s="83" t="b">
        <v>1</v>
      </c>
      <c r="G1050" s="83" t="b">
        <v>0</v>
      </c>
    </row>
    <row r="1051" spans="1:7" ht="15">
      <c r="A1051" s="84" t="s">
        <v>3167</v>
      </c>
      <c r="B1051" s="83">
        <v>2</v>
      </c>
      <c r="C1051" s="110">
        <v>0.0007893686754765382</v>
      </c>
      <c r="D1051" s="83" t="s">
        <v>3175</v>
      </c>
      <c r="E1051" s="83" t="b">
        <v>0</v>
      </c>
      <c r="F1051" s="83" t="b">
        <v>0</v>
      </c>
      <c r="G1051" s="83" t="b">
        <v>0</v>
      </c>
    </row>
    <row r="1052" spans="1:7" ht="15">
      <c r="A1052" s="84" t="s">
        <v>3168</v>
      </c>
      <c r="B1052" s="83">
        <v>2</v>
      </c>
      <c r="C1052" s="110">
        <v>0.0007893686754765382</v>
      </c>
      <c r="D1052" s="83" t="s">
        <v>3175</v>
      </c>
      <c r="E1052" s="83" t="b">
        <v>0</v>
      </c>
      <c r="F1052" s="83" t="b">
        <v>0</v>
      </c>
      <c r="G1052" s="83" t="b">
        <v>0</v>
      </c>
    </row>
    <row r="1053" spans="1:7" ht="15">
      <c r="A1053" s="84" t="s">
        <v>3169</v>
      </c>
      <c r="B1053" s="83">
        <v>2</v>
      </c>
      <c r="C1053" s="110">
        <v>0.0007893686754765382</v>
      </c>
      <c r="D1053" s="83" t="s">
        <v>3175</v>
      </c>
      <c r="E1053" s="83" t="b">
        <v>0</v>
      </c>
      <c r="F1053" s="83" t="b">
        <v>0</v>
      </c>
      <c r="G1053" s="83" t="b">
        <v>0</v>
      </c>
    </row>
    <row r="1054" spans="1:7" ht="15">
      <c r="A1054" s="84" t="s">
        <v>2129</v>
      </c>
      <c r="B1054" s="83">
        <v>89</v>
      </c>
      <c r="C1054" s="110">
        <v>0.015326693819631037</v>
      </c>
      <c r="D1054" s="83" t="s">
        <v>2087</v>
      </c>
      <c r="E1054" s="83" t="b">
        <v>0</v>
      </c>
      <c r="F1054" s="83" t="b">
        <v>0</v>
      </c>
      <c r="G1054" s="83" t="b">
        <v>0</v>
      </c>
    </row>
    <row r="1055" spans="1:7" ht="15">
      <c r="A1055" s="84" t="s">
        <v>2130</v>
      </c>
      <c r="B1055" s="83">
        <v>57</v>
      </c>
      <c r="C1055" s="110">
        <v>0.010319549414903841</v>
      </c>
      <c r="D1055" s="83" t="s">
        <v>2087</v>
      </c>
      <c r="E1055" s="83" t="b">
        <v>0</v>
      </c>
      <c r="F1055" s="83" t="b">
        <v>0</v>
      </c>
      <c r="G1055" s="83" t="b">
        <v>0</v>
      </c>
    </row>
    <row r="1056" spans="1:7" ht="15">
      <c r="A1056" s="84" t="s">
        <v>2131</v>
      </c>
      <c r="B1056" s="83">
        <v>55</v>
      </c>
      <c r="C1056" s="110">
        <v>0.010409203271897793</v>
      </c>
      <c r="D1056" s="83" t="s">
        <v>2087</v>
      </c>
      <c r="E1056" s="83" t="b">
        <v>1</v>
      </c>
      <c r="F1056" s="83" t="b">
        <v>0</v>
      </c>
      <c r="G1056" s="83" t="b">
        <v>0</v>
      </c>
    </row>
    <row r="1057" spans="1:7" ht="15">
      <c r="A1057" s="84" t="s">
        <v>2132</v>
      </c>
      <c r="B1057" s="83">
        <v>51</v>
      </c>
      <c r="C1057" s="110">
        <v>0.010120448648944297</v>
      </c>
      <c r="D1057" s="83" t="s">
        <v>2087</v>
      </c>
      <c r="E1057" s="83" t="b">
        <v>0</v>
      </c>
      <c r="F1057" s="83" t="b">
        <v>0</v>
      </c>
      <c r="G1057" s="83" t="b">
        <v>0</v>
      </c>
    </row>
    <row r="1058" spans="1:7" ht="15">
      <c r="A1058" s="84" t="s">
        <v>2135</v>
      </c>
      <c r="B1058" s="83">
        <v>38</v>
      </c>
      <c r="C1058" s="110">
        <v>0.008392938253881602</v>
      </c>
      <c r="D1058" s="83" t="s">
        <v>2087</v>
      </c>
      <c r="E1058" s="83" t="b">
        <v>1</v>
      </c>
      <c r="F1058" s="83" t="b">
        <v>0</v>
      </c>
      <c r="G1058" s="83" t="b">
        <v>0</v>
      </c>
    </row>
    <row r="1059" spans="1:7" ht="15">
      <c r="A1059" s="84" t="s">
        <v>2136</v>
      </c>
      <c r="B1059" s="83">
        <v>38</v>
      </c>
      <c r="C1059" s="110">
        <v>0.009180041091914028</v>
      </c>
      <c r="D1059" s="83" t="s">
        <v>2087</v>
      </c>
      <c r="E1059" s="83" t="b">
        <v>0</v>
      </c>
      <c r="F1059" s="83" t="b">
        <v>1</v>
      </c>
      <c r="G1059" s="83" t="b">
        <v>0</v>
      </c>
    </row>
    <row r="1060" spans="1:7" ht="15">
      <c r="A1060" s="84" t="s">
        <v>2138</v>
      </c>
      <c r="B1060" s="83">
        <v>37</v>
      </c>
      <c r="C1060" s="110">
        <v>0.011065978668958773</v>
      </c>
      <c r="D1060" s="83" t="s">
        <v>2087</v>
      </c>
      <c r="E1060" s="83" t="b">
        <v>0</v>
      </c>
      <c r="F1060" s="83" t="b">
        <v>0</v>
      </c>
      <c r="G1060" s="83" t="b">
        <v>0</v>
      </c>
    </row>
    <row r="1061" spans="1:7" ht="15">
      <c r="A1061" s="84" t="s">
        <v>2134</v>
      </c>
      <c r="B1061" s="83">
        <v>36</v>
      </c>
      <c r="C1061" s="110">
        <v>0.008577440609927822</v>
      </c>
      <c r="D1061" s="83" t="s">
        <v>2087</v>
      </c>
      <c r="E1061" s="83" t="b">
        <v>0</v>
      </c>
      <c r="F1061" s="83" t="b">
        <v>0</v>
      </c>
      <c r="G1061" s="83" t="b">
        <v>0</v>
      </c>
    </row>
    <row r="1062" spans="1:7" ht="15">
      <c r="A1062" s="84" t="s">
        <v>2139</v>
      </c>
      <c r="B1062" s="83">
        <v>31</v>
      </c>
      <c r="C1062" s="110">
        <v>0.006928798693981042</v>
      </c>
      <c r="D1062" s="83" t="s">
        <v>2087</v>
      </c>
      <c r="E1062" s="83" t="b">
        <v>0</v>
      </c>
      <c r="F1062" s="83" t="b">
        <v>0</v>
      </c>
      <c r="G1062" s="83" t="b">
        <v>0</v>
      </c>
    </row>
    <row r="1063" spans="1:7" ht="15">
      <c r="A1063" s="84" t="s">
        <v>2137</v>
      </c>
      <c r="B1063" s="83">
        <v>27</v>
      </c>
      <c r="C1063" s="110">
        <v>0.006714139974300567</v>
      </c>
      <c r="D1063" s="83" t="s">
        <v>2087</v>
      </c>
      <c r="E1063" s="83" t="b">
        <v>0</v>
      </c>
      <c r="F1063" s="83" t="b">
        <v>0</v>
      </c>
      <c r="G1063" s="83" t="b">
        <v>0</v>
      </c>
    </row>
    <row r="1064" spans="1:7" ht="15">
      <c r="A1064" s="84" t="s">
        <v>2140</v>
      </c>
      <c r="B1064" s="83">
        <v>26</v>
      </c>
      <c r="C1064" s="110">
        <v>0.0062810807470990715</v>
      </c>
      <c r="D1064" s="83" t="s">
        <v>2087</v>
      </c>
      <c r="E1064" s="83" t="b">
        <v>1</v>
      </c>
      <c r="F1064" s="83" t="b">
        <v>0</v>
      </c>
      <c r="G1064" s="83" t="b">
        <v>0</v>
      </c>
    </row>
    <row r="1065" spans="1:7" ht="15">
      <c r="A1065" s="84" t="s">
        <v>2133</v>
      </c>
      <c r="B1065" s="83">
        <v>26</v>
      </c>
      <c r="C1065" s="110">
        <v>0.006465468123400546</v>
      </c>
      <c r="D1065" s="83" t="s">
        <v>2087</v>
      </c>
      <c r="E1065" s="83" t="b">
        <v>0</v>
      </c>
      <c r="F1065" s="83" t="b">
        <v>0</v>
      </c>
      <c r="G1065" s="83" t="b">
        <v>0</v>
      </c>
    </row>
    <row r="1066" spans="1:7" ht="15">
      <c r="A1066" s="84" t="s">
        <v>2142</v>
      </c>
      <c r="B1066" s="83">
        <v>21</v>
      </c>
      <c r="C1066" s="110">
        <v>0.005474466180378251</v>
      </c>
      <c r="D1066" s="83" t="s">
        <v>2087</v>
      </c>
      <c r="E1066" s="83" t="b">
        <v>0</v>
      </c>
      <c r="F1066" s="83" t="b">
        <v>0</v>
      </c>
      <c r="G1066" s="83" t="b">
        <v>0</v>
      </c>
    </row>
    <row r="1067" spans="1:7" ht="15">
      <c r="A1067" s="84" t="s">
        <v>2141</v>
      </c>
      <c r="B1067" s="83">
        <v>20</v>
      </c>
      <c r="C1067" s="110">
        <v>0.005397415880244163</v>
      </c>
      <c r="D1067" s="83" t="s">
        <v>2087</v>
      </c>
      <c r="E1067" s="83" t="b">
        <v>1</v>
      </c>
      <c r="F1067" s="83" t="b">
        <v>0</v>
      </c>
      <c r="G1067" s="83" t="b">
        <v>0</v>
      </c>
    </row>
    <row r="1068" spans="1:7" ht="15">
      <c r="A1068" s="84" t="s">
        <v>2155</v>
      </c>
      <c r="B1068" s="83">
        <v>19</v>
      </c>
      <c r="C1068" s="110">
        <v>0.005037749746845017</v>
      </c>
      <c r="D1068" s="83" t="s">
        <v>2087</v>
      </c>
      <c r="E1068" s="83" t="b">
        <v>0</v>
      </c>
      <c r="F1068" s="83" t="b">
        <v>0</v>
      </c>
      <c r="G1068" s="83" t="b">
        <v>0</v>
      </c>
    </row>
    <row r="1069" spans="1:7" ht="15">
      <c r="A1069" s="84" t="s">
        <v>2153</v>
      </c>
      <c r="B1069" s="83">
        <v>19</v>
      </c>
      <c r="C1069" s="110">
        <v>0.00487300573106391</v>
      </c>
      <c r="D1069" s="83" t="s">
        <v>2087</v>
      </c>
      <c r="E1069" s="83" t="b">
        <v>0</v>
      </c>
      <c r="F1069" s="83" t="b">
        <v>0</v>
      </c>
      <c r="G1069" s="83" t="b">
        <v>0</v>
      </c>
    </row>
    <row r="1070" spans="1:7" ht="15">
      <c r="A1070" s="84" t="s">
        <v>2149</v>
      </c>
      <c r="B1070" s="83">
        <v>18</v>
      </c>
      <c r="C1070" s="110">
        <v>0.004772605023326858</v>
      </c>
      <c r="D1070" s="83" t="s">
        <v>2087</v>
      </c>
      <c r="E1070" s="83" t="b">
        <v>0</v>
      </c>
      <c r="F1070" s="83" t="b">
        <v>0</v>
      </c>
      <c r="G1070" s="83" t="b">
        <v>0</v>
      </c>
    </row>
    <row r="1071" spans="1:7" ht="15">
      <c r="A1071" s="84" t="s">
        <v>2144</v>
      </c>
      <c r="B1071" s="83">
        <v>17</v>
      </c>
      <c r="C1071" s="110">
        <v>0.004764766897708647</v>
      </c>
      <c r="D1071" s="83" t="s">
        <v>2087</v>
      </c>
      <c r="E1071" s="83" t="b">
        <v>0</v>
      </c>
      <c r="F1071" s="83" t="b">
        <v>0</v>
      </c>
      <c r="G1071" s="83" t="b">
        <v>0</v>
      </c>
    </row>
    <row r="1072" spans="1:7" ht="15">
      <c r="A1072" s="84" t="s">
        <v>2161</v>
      </c>
      <c r="B1072" s="83">
        <v>17</v>
      </c>
      <c r="C1072" s="110">
        <v>0.004764766897708647</v>
      </c>
      <c r="D1072" s="83" t="s">
        <v>2087</v>
      </c>
      <c r="E1072" s="83" t="b">
        <v>0</v>
      </c>
      <c r="F1072" s="83" t="b">
        <v>0</v>
      </c>
      <c r="G1072" s="83" t="b">
        <v>0</v>
      </c>
    </row>
    <row r="1073" spans="1:7" ht="15">
      <c r="A1073" s="84" t="s">
        <v>2143</v>
      </c>
      <c r="B1073" s="83">
        <v>17</v>
      </c>
      <c r="C1073" s="110">
        <v>0.0046733336186893445</v>
      </c>
      <c r="D1073" s="83" t="s">
        <v>2087</v>
      </c>
      <c r="E1073" s="83" t="b">
        <v>1</v>
      </c>
      <c r="F1073" s="83" t="b">
        <v>0</v>
      </c>
      <c r="G1073" s="83" t="b">
        <v>0</v>
      </c>
    </row>
    <row r="1074" spans="1:7" ht="15">
      <c r="A1074" s="84" t="s">
        <v>2163</v>
      </c>
      <c r="B1074" s="83">
        <v>17</v>
      </c>
      <c r="C1074" s="110">
        <v>0.004507460299808698</v>
      </c>
      <c r="D1074" s="83" t="s">
        <v>2087</v>
      </c>
      <c r="E1074" s="83" t="b">
        <v>0</v>
      </c>
      <c r="F1074" s="83" t="b">
        <v>0</v>
      </c>
      <c r="G1074" s="83" t="b">
        <v>0</v>
      </c>
    </row>
    <row r="1075" spans="1:7" ht="15">
      <c r="A1075" s="84" t="s">
        <v>2156</v>
      </c>
      <c r="B1075" s="83">
        <v>17</v>
      </c>
      <c r="C1075" s="110">
        <v>0.004764766897708647</v>
      </c>
      <c r="D1075" s="83" t="s">
        <v>2087</v>
      </c>
      <c r="E1075" s="83" t="b">
        <v>0</v>
      </c>
      <c r="F1075" s="83" t="b">
        <v>0</v>
      </c>
      <c r="G1075" s="83" t="b">
        <v>0</v>
      </c>
    </row>
    <row r="1076" spans="1:7" ht="15">
      <c r="A1076" s="84" t="s">
        <v>2146</v>
      </c>
      <c r="B1076" s="83">
        <v>17</v>
      </c>
      <c r="C1076" s="110">
        <v>0.004764766897708647</v>
      </c>
      <c r="D1076" s="83" t="s">
        <v>2087</v>
      </c>
      <c r="E1076" s="83" t="b">
        <v>0</v>
      </c>
      <c r="F1076" s="83" t="b">
        <v>1</v>
      </c>
      <c r="G1076" s="83" t="b">
        <v>0</v>
      </c>
    </row>
    <row r="1077" spans="1:7" ht="15">
      <c r="A1077" s="84" t="s">
        <v>2158</v>
      </c>
      <c r="B1077" s="83">
        <v>17</v>
      </c>
      <c r="C1077" s="110">
        <v>0.0046733336186893445</v>
      </c>
      <c r="D1077" s="83" t="s">
        <v>2087</v>
      </c>
      <c r="E1077" s="83" t="b">
        <v>0</v>
      </c>
      <c r="F1077" s="83" t="b">
        <v>0</v>
      </c>
      <c r="G1077" s="83" t="b">
        <v>0</v>
      </c>
    </row>
    <row r="1078" spans="1:7" ht="15">
      <c r="A1078" s="84" t="s">
        <v>2150</v>
      </c>
      <c r="B1078" s="83">
        <v>17</v>
      </c>
      <c r="C1078" s="110">
        <v>0.005084368577629706</v>
      </c>
      <c r="D1078" s="83" t="s">
        <v>2087</v>
      </c>
      <c r="E1078" s="83" t="b">
        <v>0</v>
      </c>
      <c r="F1078" s="83" t="b">
        <v>0</v>
      </c>
      <c r="G1078" s="83" t="b">
        <v>0</v>
      </c>
    </row>
    <row r="1079" spans="1:7" ht="15">
      <c r="A1079" s="84" t="s">
        <v>2169</v>
      </c>
      <c r="B1079" s="83">
        <v>16</v>
      </c>
      <c r="C1079" s="110">
        <v>0.0043179327041953305</v>
      </c>
      <c r="D1079" s="83" t="s">
        <v>2087</v>
      </c>
      <c r="E1079" s="83" t="b">
        <v>0</v>
      </c>
      <c r="F1079" s="83" t="b">
        <v>0</v>
      </c>
      <c r="G1079" s="83" t="b">
        <v>0</v>
      </c>
    </row>
    <row r="1080" spans="1:7" ht="15">
      <c r="A1080" s="84" t="s">
        <v>2145</v>
      </c>
      <c r="B1080" s="83">
        <v>16</v>
      </c>
      <c r="C1080" s="110">
        <v>0.004785288073063253</v>
      </c>
      <c r="D1080" s="83" t="s">
        <v>2087</v>
      </c>
      <c r="E1080" s="83" t="b">
        <v>0</v>
      </c>
      <c r="F1080" s="83" t="b">
        <v>0</v>
      </c>
      <c r="G1080" s="83" t="b">
        <v>0</v>
      </c>
    </row>
    <row r="1081" spans="1:7" ht="15">
      <c r="A1081" s="84" t="s">
        <v>2160</v>
      </c>
      <c r="B1081" s="83">
        <v>16</v>
      </c>
      <c r="C1081" s="110">
        <v>0.004676758729277506</v>
      </c>
      <c r="D1081" s="83" t="s">
        <v>2087</v>
      </c>
      <c r="E1081" s="83" t="b">
        <v>0</v>
      </c>
      <c r="F1081" s="83" t="b">
        <v>0</v>
      </c>
      <c r="G1081" s="83" t="b">
        <v>0</v>
      </c>
    </row>
    <row r="1082" spans="1:7" ht="15">
      <c r="A1082" s="84" t="s">
        <v>2151</v>
      </c>
      <c r="B1082" s="83">
        <v>15</v>
      </c>
      <c r="C1082" s="110">
        <v>0.004486207568496799</v>
      </c>
      <c r="D1082" s="83" t="s">
        <v>2087</v>
      </c>
      <c r="E1082" s="83" t="b">
        <v>0</v>
      </c>
      <c r="F1082" s="83" t="b">
        <v>0</v>
      </c>
      <c r="G1082" s="83" t="b">
        <v>0</v>
      </c>
    </row>
    <row r="1083" spans="1:7" ht="15">
      <c r="A1083" s="84" t="s">
        <v>2162</v>
      </c>
      <c r="B1083" s="83">
        <v>15</v>
      </c>
      <c r="C1083" s="110">
        <v>0.004204206086213511</v>
      </c>
      <c r="D1083" s="83" t="s">
        <v>2087</v>
      </c>
      <c r="E1083" s="83" t="b">
        <v>1</v>
      </c>
      <c r="F1083" s="83" t="b">
        <v>0</v>
      </c>
      <c r="G1083" s="83" t="b">
        <v>0</v>
      </c>
    </row>
    <row r="1084" spans="1:7" ht="15">
      <c r="A1084" s="84" t="s">
        <v>2170</v>
      </c>
      <c r="B1084" s="83">
        <v>15</v>
      </c>
      <c r="C1084" s="110">
        <v>0.004720860707212201</v>
      </c>
      <c r="D1084" s="83" t="s">
        <v>2087</v>
      </c>
      <c r="E1084" s="83" t="b">
        <v>0</v>
      </c>
      <c r="F1084" s="83" t="b">
        <v>0</v>
      </c>
      <c r="G1084" s="83" t="b">
        <v>0</v>
      </c>
    </row>
    <row r="1085" spans="1:7" ht="15">
      <c r="A1085" s="84" t="s">
        <v>2174</v>
      </c>
      <c r="B1085" s="83">
        <v>15</v>
      </c>
      <c r="C1085" s="110">
        <v>0.004204206086213511</v>
      </c>
      <c r="D1085" s="83" t="s">
        <v>2087</v>
      </c>
      <c r="E1085" s="83" t="b">
        <v>0</v>
      </c>
      <c r="F1085" s="83" t="b">
        <v>0</v>
      </c>
      <c r="G1085" s="83" t="b">
        <v>0</v>
      </c>
    </row>
    <row r="1086" spans="1:7" ht="15">
      <c r="A1086" s="84" t="s">
        <v>2175</v>
      </c>
      <c r="B1086" s="83">
        <v>15</v>
      </c>
      <c r="C1086" s="110">
        <v>0.004204206086213511</v>
      </c>
      <c r="D1086" s="83" t="s">
        <v>2087</v>
      </c>
      <c r="E1086" s="83" t="b">
        <v>0</v>
      </c>
      <c r="F1086" s="83" t="b">
        <v>0</v>
      </c>
      <c r="G1086" s="83" t="b">
        <v>0</v>
      </c>
    </row>
    <row r="1087" spans="1:7" ht="15">
      <c r="A1087" s="84" t="s">
        <v>2181</v>
      </c>
      <c r="B1087" s="83">
        <v>15</v>
      </c>
      <c r="C1087" s="110">
        <v>0.005408185707490354</v>
      </c>
      <c r="D1087" s="83" t="s">
        <v>2087</v>
      </c>
      <c r="E1087" s="83" t="b">
        <v>0</v>
      </c>
      <c r="F1087" s="83" t="b">
        <v>0</v>
      </c>
      <c r="G1087" s="83" t="b">
        <v>0</v>
      </c>
    </row>
    <row r="1088" spans="1:7" ht="15">
      <c r="A1088" s="84" t="s">
        <v>2165</v>
      </c>
      <c r="B1088" s="83">
        <v>14</v>
      </c>
      <c r="C1088" s="110">
        <v>0.004004806234621324</v>
      </c>
      <c r="D1088" s="83" t="s">
        <v>2087</v>
      </c>
      <c r="E1088" s="83" t="b">
        <v>0</v>
      </c>
      <c r="F1088" s="83" t="b">
        <v>0</v>
      </c>
      <c r="G1088" s="83" t="b">
        <v>0</v>
      </c>
    </row>
    <row r="1089" spans="1:7" ht="15">
      <c r="A1089" s="84" t="s">
        <v>2154</v>
      </c>
      <c r="B1089" s="83">
        <v>14</v>
      </c>
      <c r="C1089" s="110">
        <v>0.004004806234621324</v>
      </c>
      <c r="D1089" s="83" t="s">
        <v>2087</v>
      </c>
      <c r="E1089" s="83" t="b">
        <v>0</v>
      </c>
      <c r="F1089" s="83" t="b">
        <v>0</v>
      </c>
      <c r="G1089" s="83" t="b">
        <v>0</v>
      </c>
    </row>
    <row r="1090" spans="1:7" ht="15">
      <c r="A1090" s="84" t="s">
        <v>2178</v>
      </c>
      <c r="B1090" s="83">
        <v>14</v>
      </c>
      <c r="C1090" s="110">
        <v>0.004004806234621324</v>
      </c>
      <c r="D1090" s="83" t="s">
        <v>2087</v>
      </c>
      <c r="E1090" s="83" t="b">
        <v>1</v>
      </c>
      <c r="F1090" s="83" t="b">
        <v>0</v>
      </c>
      <c r="G1090" s="83" t="b">
        <v>0</v>
      </c>
    </row>
    <row r="1091" spans="1:7" ht="15">
      <c r="A1091" s="84" t="s">
        <v>2147</v>
      </c>
      <c r="B1091" s="83">
        <v>14</v>
      </c>
      <c r="C1091" s="110">
        <v>0.004092163888117818</v>
      </c>
      <c r="D1091" s="83" t="s">
        <v>2087</v>
      </c>
      <c r="E1091" s="83" t="b">
        <v>0</v>
      </c>
      <c r="F1091" s="83" t="b">
        <v>0</v>
      </c>
      <c r="G1091" s="83" t="b">
        <v>0</v>
      </c>
    </row>
    <row r="1092" spans="1:7" ht="15">
      <c r="A1092" s="84" t="s">
        <v>2171</v>
      </c>
      <c r="B1092" s="83">
        <v>14</v>
      </c>
      <c r="C1092" s="110">
        <v>0.003923925680465945</v>
      </c>
      <c r="D1092" s="83" t="s">
        <v>2087</v>
      </c>
      <c r="E1092" s="83" t="b">
        <v>1</v>
      </c>
      <c r="F1092" s="83" t="b">
        <v>0</v>
      </c>
      <c r="G1092" s="83" t="b">
        <v>0</v>
      </c>
    </row>
    <row r="1093" spans="1:7" ht="15">
      <c r="A1093" s="84" t="s">
        <v>2187</v>
      </c>
      <c r="B1093" s="83">
        <v>14</v>
      </c>
      <c r="C1093" s="110">
        <v>0.0045346836559834675</v>
      </c>
      <c r="D1093" s="83" t="s">
        <v>2087</v>
      </c>
      <c r="E1093" s="83" t="b">
        <v>0</v>
      </c>
      <c r="F1093" s="83" t="b">
        <v>1</v>
      </c>
      <c r="G1093" s="83" t="b">
        <v>0</v>
      </c>
    </row>
    <row r="1094" spans="1:7" ht="15">
      <c r="A1094" s="84" t="s">
        <v>2152</v>
      </c>
      <c r="B1094" s="83">
        <v>13</v>
      </c>
      <c r="C1094" s="110">
        <v>0.003718748646434086</v>
      </c>
      <c r="D1094" s="83" t="s">
        <v>2087</v>
      </c>
      <c r="E1094" s="83" t="b">
        <v>1</v>
      </c>
      <c r="F1094" s="83" t="b">
        <v>0</v>
      </c>
      <c r="G1094" s="83" t="b">
        <v>0</v>
      </c>
    </row>
    <row r="1095" spans="1:7" ht="15">
      <c r="A1095" s="84" t="s">
        <v>2157</v>
      </c>
      <c r="B1095" s="83">
        <v>13</v>
      </c>
      <c r="C1095" s="110">
        <v>0.00409141261291724</v>
      </c>
      <c r="D1095" s="83" t="s">
        <v>2087</v>
      </c>
      <c r="E1095" s="83" t="b">
        <v>1</v>
      </c>
      <c r="F1095" s="83" t="b">
        <v>0</v>
      </c>
      <c r="G1095" s="83" t="b">
        <v>0</v>
      </c>
    </row>
    <row r="1096" spans="1:7" ht="15">
      <c r="A1096" s="84" t="s">
        <v>2177</v>
      </c>
      <c r="B1096" s="83">
        <v>12</v>
      </c>
      <c r="C1096" s="110">
        <v>0.0035075690469581295</v>
      </c>
      <c r="D1096" s="83" t="s">
        <v>2087</v>
      </c>
      <c r="E1096" s="83" t="b">
        <v>0</v>
      </c>
      <c r="F1096" s="83" t="b">
        <v>0</v>
      </c>
      <c r="G1096" s="83" t="b">
        <v>0</v>
      </c>
    </row>
    <row r="1097" spans="1:7" ht="15">
      <c r="A1097" s="84" t="s">
        <v>2148</v>
      </c>
      <c r="B1097" s="83">
        <v>12</v>
      </c>
      <c r="C1097" s="110">
        <v>0.0037766885657697607</v>
      </c>
      <c r="D1097" s="83" t="s">
        <v>2087</v>
      </c>
      <c r="E1097" s="83" t="b">
        <v>0</v>
      </c>
      <c r="F1097" s="83" t="b">
        <v>0</v>
      </c>
      <c r="G1097" s="83" t="b">
        <v>0</v>
      </c>
    </row>
    <row r="1098" spans="1:7" ht="15">
      <c r="A1098" s="84" t="s">
        <v>2197</v>
      </c>
      <c r="B1098" s="83">
        <v>12</v>
      </c>
      <c r="C1098" s="110">
        <v>0.0035889660547974394</v>
      </c>
      <c r="D1098" s="83" t="s">
        <v>2087</v>
      </c>
      <c r="E1098" s="83" t="b">
        <v>0</v>
      </c>
      <c r="F1098" s="83" t="b">
        <v>0</v>
      </c>
      <c r="G1098" s="83" t="b">
        <v>0</v>
      </c>
    </row>
    <row r="1099" spans="1:7" ht="15">
      <c r="A1099" s="84" t="s">
        <v>2199</v>
      </c>
      <c r="B1099" s="83">
        <v>12</v>
      </c>
      <c r="C1099" s="110">
        <v>0.0035075690469581295</v>
      </c>
      <c r="D1099" s="83" t="s">
        <v>2087</v>
      </c>
      <c r="E1099" s="83" t="b">
        <v>0</v>
      </c>
      <c r="F1099" s="83" t="b">
        <v>0</v>
      </c>
      <c r="G1099" s="83" t="b">
        <v>0</v>
      </c>
    </row>
    <row r="1100" spans="1:7" ht="15">
      <c r="A1100" s="84" t="s">
        <v>2180</v>
      </c>
      <c r="B1100" s="83">
        <v>12</v>
      </c>
      <c r="C1100" s="110">
        <v>0.004155991223940318</v>
      </c>
      <c r="D1100" s="83" t="s">
        <v>2087</v>
      </c>
      <c r="E1100" s="83" t="b">
        <v>0</v>
      </c>
      <c r="F1100" s="83" t="b">
        <v>0</v>
      </c>
      <c r="G1100" s="83" t="b">
        <v>0</v>
      </c>
    </row>
    <row r="1101" spans="1:7" ht="15">
      <c r="A1101" s="84" t="s">
        <v>2182</v>
      </c>
      <c r="B1101" s="83">
        <v>12</v>
      </c>
      <c r="C1101" s="110">
        <v>0.0036781263890100944</v>
      </c>
      <c r="D1101" s="83" t="s">
        <v>2087</v>
      </c>
      <c r="E1101" s="83" t="b">
        <v>0</v>
      </c>
      <c r="F1101" s="83" t="b">
        <v>0</v>
      </c>
      <c r="G1101" s="83" t="b">
        <v>0</v>
      </c>
    </row>
    <row r="1102" spans="1:7" ht="15">
      <c r="A1102" s="84" t="s">
        <v>2183</v>
      </c>
      <c r="B1102" s="83">
        <v>12</v>
      </c>
      <c r="C1102" s="110">
        <v>0.0037766885657697607</v>
      </c>
      <c r="D1102" s="83" t="s">
        <v>2087</v>
      </c>
      <c r="E1102" s="83" t="b">
        <v>0</v>
      </c>
      <c r="F1102" s="83" t="b">
        <v>0</v>
      </c>
      <c r="G1102" s="83" t="b">
        <v>0</v>
      </c>
    </row>
    <row r="1103" spans="1:7" ht="15">
      <c r="A1103" s="84" t="s">
        <v>2202</v>
      </c>
      <c r="B1103" s="83">
        <v>11</v>
      </c>
      <c r="C1103" s="110">
        <v>0.003461964518622281</v>
      </c>
      <c r="D1103" s="83" t="s">
        <v>2087</v>
      </c>
      <c r="E1103" s="83" t="b">
        <v>0</v>
      </c>
      <c r="F1103" s="83" t="b">
        <v>1</v>
      </c>
      <c r="G1103" s="83" t="b">
        <v>0</v>
      </c>
    </row>
    <row r="1104" spans="1:7" ht="15">
      <c r="A1104" s="84" t="s">
        <v>2195</v>
      </c>
      <c r="B1104" s="83">
        <v>11</v>
      </c>
      <c r="C1104" s="110">
        <v>0.0032898855502309864</v>
      </c>
      <c r="D1104" s="83" t="s">
        <v>2087</v>
      </c>
      <c r="E1104" s="83" t="b">
        <v>0</v>
      </c>
      <c r="F1104" s="83" t="b">
        <v>0</v>
      </c>
      <c r="G1104" s="83" t="b">
        <v>0</v>
      </c>
    </row>
    <row r="1105" spans="1:7" ht="15">
      <c r="A1105" s="84" t="s">
        <v>2206</v>
      </c>
      <c r="B1105" s="83">
        <v>11</v>
      </c>
      <c r="C1105" s="110">
        <v>0.0032898855502309864</v>
      </c>
      <c r="D1105" s="83" t="s">
        <v>2087</v>
      </c>
      <c r="E1105" s="83" t="b">
        <v>0</v>
      </c>
      <c r="F1105" s="83" t="b">
        <v>0</v>
      </c>
      <c r="G1105" s="83" t="b">
        <v>0</v>
      </c>
    </row>
    <row r="1106" spans="1:7" ht="15">
      <c r="A1106" s="84" t="s">
        <v>2190</v>
      </c>
      <c r="B1106" s="83">
        <v>11</v>
      </c>
      <c r="C1106" s="110">
        <v>0.0032898855502309864</v>
      </c>
      <c r="D1106" s="83" t="s">
        <v>2087</v>
      </c>
      <c r="E1106" s="83" t="b">
        <v>0</v>
      </c>
      <c r="F1106" s="83" t="b">
        <v>0</v>
      </c>
      <c r="G1106" s="83" t="b">
        <v>0</v>
      </c>
    </row>
    <row r="1107" spans="1:7" ht="15">
      <c r="A1107" s="84" t="s">
        <v>2186</v>
      </c>
      <c r="B1107" s="83">
        <v>11</v>
      </c>
      <c r="C1107" s="110">
        <v>0.003461964518622281</v>
      </c>
      <c r="D1107" s="83" t="s">
        <v>2087</v>
      </c>
      <c r="E1107" s="83" t="b">
        <v>0</v>
      </c>
      <c r="F1107" s="83" t="b">
        <v>0</v>
      </c>
      <c r="G1107" s="83" t="b">
        <v>0</v>
      </c>
    </row>
    <row r="1108" spans="1:7" ht="15">
      <c r="A1108" s="84" t="s">
        <v>2191</v>
      </c>
      <c r="B1108" s="83">
        <v>11</v>
      </c>
      <c r="C1108" s="110">
        <v>0.003677471458790249</v>
      </c>
      <c r="D1108" s="83" t="s">
        <v>2087</v>
      </c>
      <c r="E1108" s="83" t="b">
        <v>0</v>
      </c>
      <c r="F1108" s="83" t="b">
        <v>0</v>
      </c>
      <c r="G1108" s="83" t="b">
        <v>0</v>
      </c>
    </row>
    <row r="1109" spans="1:7" ht="15">
      <c r="A1109" s="84" t="s">
        <v>2192</v>
      </c>
      <c r="B1109" s="83">
        <v>11</v>
      </c>
      <c r="C1109" s="110">
        <v>0.0032898855502309864</v>
      </c>
      <c r="D1109" s="83" t="s">
        <v>2087</v>
      </c>
      <c r="E1109" s="83" t="b">
        <v>0</v>
      </c>
      <c r="F1109" s="83" t="b">
        <v>0</v>
      </c>
      <c r="G1109" s="83" t="b">
        <v>0</v>
      </c>
    </row>
    <row r="1110" spans="1:7" ht="15">
      <c r="A1110" s="84" t="s">
        <v>2214</v>
      </c>
      <c r="B1110" s="83">
        <v>11</v>
      </c>
      <c r="C1110" s="110">
        <v>0.003461964518622281</v>
      </c>
      <c r="D1110" s="83" t="s">
        <v>2087</v>
      </c>
      <c r="E1110" s="83" t="b">
        <v>0</v>
      </c>
      <c r="F1110" s="83" t="b">
        <v>1</v>
      </c>
      <c r="G1110" s="83" t="b">
        <v>0</v>
      </c>
    </row>
    <row r="1111" spans="1:7" ht="15">
      <c r="A1111" s="84" t="s">
        <v>2201</v>
      </c>
      <c r="B1111" s="83">
        <v>11</v>
      </c>
      <c r="C1111" s="110">
        <v>0.003461964518622281</v>
      </c>
      <c r="D1111" s="83" t="s">
        <v>2087</v>
      </c>
      <c r="E1111" s="83" t="b">
        <v>0</v>
      </c>
      <c r="F1111" s="83" t="b">
        <v>1</v>
      </c>
      <c r="G1111" s="83" t="b">
        <v>0</v>
      </c>
    </row>
    <row r="1112" spans="1:7" ht="15">
      <c r="A1112" s="84" t="s">
        <v>2200</v>
      </c>
      <c r="B1112" s="83">
        <v>11</v>
      </c>
      <c r="C1112" s="110">
        <v>0.0035629657297012963</v>
      </c>
      <c r="D1112" s="83" t="s">
        <v>2087</v>
      </c>
      <c r="E1112" s="83" t="b">
        <v>0</v>
      </c>
      <c r="F1112" s="83" t="b">
        <v>0</v>
      </c>
      <c r="G1112" s="83" t="b">
        <v>0</v>
      </c>
    </row>
    <row r="1113" spans="1:7" ht="15">
      <c r="A1113" s="84" t="s">
        <v>2204</v>
      </c>
      <c r="B1113" s="83">
        <v>10</v>
      </c>
      <c r="C1113" s="110">
        <v>0.0031472404714748005</v>
      </c>
      <c r="D1113" s="83" t="s">
        <v>2087</v>
      </c>
      <c r="E1113" s="83" t="b">
        <v>0</v>
      </c>
      <c r="F1113" s="83" t="b">
        <v>0</v>
      </c>
      <c r="G1113" s="83" t="b">
        <v>0</v>
      </c>
    </row>
    <row r="1114" spans="1:7" ht="15">
      <c r="A1114" s="84" t="s">
        <v>2166</v>
      </c>
      <c r="B1114" s="83">
        <v>10</v>
      </c>
      <c r="C1114" s="110">
        <v>0.0030651053241750785</v>
      </c>
      <c r="D1114" s="83" t="s">
        <v>2087</v>
      </c>
      <c r="E1114" s="83" t="b">
        <v>0</v>
      </c>
      <c r="F1114" s="83" t="b">
        <v>0</v>
      </c>
      <c r="G1114" s="83" t="b">
        <v>0</v>
      </c>
    </row>
    <row r="1115" spans="1:7" ht="15">
      <c r="A1115" s="84" t="s">
        <v>2205</v>
      </c>
      <c r="B1115" s="83">
        <v>10</v>
      </c>
      <c r="C1115" s="110">
        <v>0.0033431558716274985</v>
      </c>
      <c r="D1115" s="83" t="s">
        <v>2087</v>
      </c>
      <c r="E1115" s="83" t="b">
        <v>0</v>
      </c>
      <c r="F1115" s="83" t="b">
        <v>0</v>
      </c>
      <c r="G1115" s="83" t="b">
        <v>0</v>
      </c>
    </row>
    <row r="1116" spans="1:7" ht="15">
      <c r="A1116" s="84" t="s">
        <v>2207</v>
      </c>
      <c r="B1116" s="83">
        <v>10</v>
      </c>
      <c r="C1116" s="110">
        <v>0.0033431558716274985</v>
      </c>
      <c r="D1116" s="83" t="s">
        <v>2087</v>
      </c>
      <c r="E1116" s="83" t="b">
        <v>0</v>
      </c>
      <c r="F1116" s="83" t="b">
        <v>0</v>
      </c>
      <c r="G1116" s="83" t="b">
        <v>0</v>
      </c>
    </row>
    <row r="1117" spans="1:7" ht="15">
      <c r="A1117" s="84" t="s">
        <v>2167</v>
      </c>
      <c r="B1117" s="83">
        <v>10</v>
      </c>
      <c r="C1117" s="110">
        <v>0.0030651053241750785</v>
      </c>
      <c r="D1117" s="83" t="s">
        <v>2087</v>
      </c>
      <c r="E1117" s="83" t="b">
        <v>0</v>
      </c>
      <c r="F1117" s="83" t="b">
        <v>0</v>
      </c>
      <c r="G1117" s="83" t="b">
        <v>0</v>
      </c>
    </row>
    <row r="1118" spans="1:7" ht="15">
      <c r="A1118" s="84" t="s">
        <v>2188</v>
      </c>
      <c r="B1118" s="83">
        <v>10</v>
      </c>
      <c r="C1118" s="110">
        <v>0.0031472404714748005</v>
      </c>
      <c r="D1118" s="83" t="s">
        <v>2087</v>
      </c>
      <c r="E1118" s="83" t="b">
        <v>1</v>
      </c>
      <c r="F1118" s="83" t="b">
        <v>0</v>
      </c>
      <c r="G1118" s="83" t="b">
        <v>0</v>
      </c>
    </row>
    <row r="1119" spans="1:7" ht="15">
      <c r="A1119" s="84" t="s">
        <v>844</v>
      </c>
      <c r="B1119" s="83">
        <v>10</v>
      </c>
      <c r="C1119" s="110">
        <v>0.0030651053241750785</v>
      </c>
      <c r="D1119" s="83" t="s">
        <v>2087</v>
      </c>
      <c r="E1119" s="83" t="b">
        <v>1</v>
      </c>
      <c r="F1119" s="83" t="b">
        <v>0</v>
      </c>
      <c r="G1119" s="83" t="b">
        <v>0</v>
      </c>
    </row>
    <row r="1120" spans="1:7" ht="15">
      <c r="A1120" s="84" t="s">
        <v>2209</v>
      </c>
      <c r="B1120" s="83">
        <v>10</v>
      </c>
      <c r="C1120" s="110">
        <v>0.0030651053241750785</v>
      </c>
      <c r="D1120" s="83" t="s">
        <v>2087</v>
      </c>
      <c r="E1120" s="83" t="b">
        <v>0</v>
      </c>
      <c r="F1120" s="83" t="b">
        <v>0</v>
      </c>
      <c r="G1120" s="83" t="b">
        <v>0</v>
      </c>
    </row>
    <row r="1121" spans="1:7" ht="15">
      <c r="A1121" s="84" t="s">
        <v>2193</v>
      </c>
      <c r="B1121" s="83">
        <v>10</v>
      </c>
      <c r="C1121" s="110">
        <v>0.0031472404714748005</v>
      </c>
      <c r="D1121" s="83" t="s">
        <v>2087</v>
      </c>
      <c r="E1121" s="83" t="b">
        <v>0</v>
      </c>
      <c r="F1121" s="83" t="b">
        <v>0</v>
      </c>
      <c r="G1121" s="83" t="b">
        <v>0</v>
      </c>
    </row>
    <row r="1122" spans="1:7" ht="15">
      <c r="A1122" s="84" t="s">
        <v>2203</v>
      </c>
      <c r="B1122" s="83">
        <v>9</v>
      </c>
      <c r="C1122" s="110">
        <v>0.0029151537788465152</v>
      </c>
      <c r="D1122" s="83" t="s">
        <v>2087</v>
      </c>
      <c r="E1122" s="83" t="b">
        <v>0</v>
      </c>
      <c r="F1122" s="83" t="b">
        <v>0</v>
      </c>
      <c r="G1122" s="83" t="b">
        <v>0</v>
      </c>
    </row>
    <row r="1123" spans="1:7" ht="15">
      <c r="A1123" s="84" t="s">
        <v>2215</v>
      </c>
      <c r="B1123" s="83">
        <v>9</v>
      </c>
      <c r="C1123" s="110">
        <v>0.002832516424327321</v>
      </c>
      <c r="D1123" s="83" t="s">
        <v>2087</v>
      </c>
      <c r="E1123" s="83" t="b">
        <v>0</v>
      </c>
      <c r="F1123" s="83" t="b">
        <v>0</v>
      </c>
      <c r="G1123" s="83" t="b">
        <v>0</v>
      </c>
    </row>
    <row r="1124" spans="1:7" ht="15">
      <c r="A1124" s="84" t="s">
        <v>2231</v>
      </c>
      <c r="B1124" s="83">
        <v>9</v>
      </c>
      <c r="C1124" s="110">
        <v>0.0031169934179552388</v>
      </c>
      <c r="D1124" s="83" t="s">
        <v>2087</v>
      </c>
      <c r="E1124" s="83" t="b">
        <v>0</v>
      </c>
      <c r="F1124" s="83" t="b">
        <v>1</v>
      </c>
      <c r="G1124" s="83" t="b">
        <v>0</v>
      </c>
    </row>
    <row r="1125" spans="1:7" ht="15">
      <c r="A1125" s="84" t="s">
        <v>2216</v>
      </c>
      <c r="B1125" s="83">
        <v>9</v>
      </c>
      <c r="C1125" s="110">
        <v>0.0029151537788465152</v>
      </c>
      <c r="D1125" s="83" t="s">
        <v>2087</v>
      </c>
      <c r="E1125" s="83" t="b">
        <v>0</v>
      </c>
      <c r="F1125" s="83" t="b">
        <v>0</v>
      </c>
      <c r="G1125" s="83" t="b">
        <v>0</v>
      </c>
    </row>
    <row r="1126" spans="1:7" ht="15">
      <c r="A1126" s="84" t="s">
        <v>2164</v>
      </c>
      <c r="B1126" s="83">
        <v>9</v>
      </c>
      <c r="C1126" s="110">
        <v>0.0029151537788465152</v>
      </c>
      <c r="D1126" s="83" t="s">
        <v>2087</v>
      </c>
      <c r="E1126" s="83" t="b">
        <v>0</v>
      </c>
      <c r="F1126" s="83" t="b">
        <v>0</v>
      </c>
      <c r="G1126" s="83" t="b">
        <v>0</v>
      </c>
    </row>
    <row r="1127" spans="1:7" ht="15">
      <c r="A1127" s="84" t="s">
        <v>2208</v>
      </c>
      <c r="B1127" s="83">
        <v>9</v>
      </c>
      <c r="C1127" s="110">
        <v>0.003008840284464749</v>
      </c>
      <c r="D1127" s="83" t="s">
        <v>2087</v>
      </c>
      <c r="E1127" s="83" t="b">
        <v>0</v>
      </c>
      <c r="F1127" s="83" t="b">
        <v>0</v>
      </c>
      <c r="G1127" s="83" t="b">
        <v>0</v>
      </c>
    </row>
    <row r="1128" spans="1:7" ht="15">
      <c r="A1128" s="84" t="s">
        <v>2176</v>
      </c>
      <c r="B1128" s="83">
        <v>9</v>
      </c>
      <c r="C1128" s="110">
        <v>0.0029151537788465152</v>
      </c>
      <c r="D1128" s="83" t="s">
        <v>2087</v>
      </c>
      <c r="E1128" s="83" t="b">
        <v>0</v>
      </c>
      <c r="F1128" s="83" t="b">
        <v>0</v>
      </c>
      <c r="G1128" s="83" t="b">
        <v>0</v>
      </c>
    </row>
    <row r="1129" spans="1:7" ht="15">
      <c r="A1129" s="84" t="s">
        <v>2235</v>
      </c>
      <c r="B1129" s="83">
        <v>9</v>
      </c>
      <c r="C1129" s="110">
        <v>0.0031169934179552388</v>
      </c>
      <c r="D1129" s="83" t="s">
        <v>2087</v>
      </c>
      <c r="E1129" s="83" t="b">
        <v>0</v>
      </c>
      <c r="F1129" s="83" t="b">
        <v>0</v>
      </c>
      <c r="G1129" s="83" t="b">
        <v>0</v>
      </c>
    </row>
    <row r="1130" spans="1:7" ht="15">
      <c r="A1130" s="84" t="s">
        <v>2236</v>
      </c>
      <c r="B1130" s="83">
        <v>9</v>
      </c>
      <c r="C1130" s="110">
        <v>0.003008840284464749</v>
      </c>
      <c r="D1130" s="83" t="s">
        <v>2087</v>
      </c>
      <c r="E1130" s="83" t="b">
        <v>0</v>
      </c>
      <c r="F1130" s="83" t="b">
        <v>1</v>
      </c>
      <c r="G1130" s="83" t="b">
        <v>0</v>
      </c>
    </row>
    <row r="1131" spans="1:7" ht="15">
      <c r="A1131" s="84" t="s">
        <v>2224</v>
      </c>
      <c r="B1131" s="83">
        <v>9</v>
      </c>
      <c r="C1131" s="110">
        <v>0.003008840284464749</v>
      </c>
      <c r="D1131" s="83" t="s">
        <v>2087</v>
      </c>
      <c r="E1131" s="83" t="b">
        <v>0</v>
      </c>
      <c r="F1131" s="83" t="b">
        <v>0</v>
      </c>
      <c r="G1131" s="83" t="b">
        <v>0</v>
      </c>
    </row>
    <row r="1132" spans="1:7" ht="15">
      <c r="A1132" s="84" t="s">
        <v>2225</v>
      </c>
      <c r="B1132" s="83">
        <v>9</v>
      </c>
      <c r="C1132" s="110">
        <v>0.0029151537788465152</v>
      </c>
      <c r="D1132" s="83" t="s">
        <v>2087</v>
      </c>
      <c r="E1132" s="83" t="b">
        <v>0</v>
      </c>
      <c r="F1132" s="83" t="b">
        <v>0</v>
      </c>
      <c r="G1132" s="83" t="b">
        <v>0</v>
      </c>
    </row>
    <row r="1133" spans="1:7" ht="15">
      <c r="A1133" s="84" t="s">
        <v>2212</v>
      </c>
      <c r="B1133" s="83">
        <v>9</v>
      </c>
      <c r="C1133" s="110">
        <v>0.0031169934179552388</v>
      </c>
      <c r="D1133" s="83" t="s">
        <v>2087</v>
      </c>
      <c r="E1133" s="83" t="b">
        <v>0</v>
      </c>
      <c r="F1133" s="83" t="b">
        <v>0</v>
      </c>
      <c r="G1133" s="83" t="b">
        <v>0</v>
      </c>
    </row>
    <row r="1134" spans="1:7" ht="15">
      <c r="A1134" s="84" t="s">
        <v>2185</v>
      </c>
      <c r="B1134" s="83">
        <v>9</v>
      </c>
      <c r="C1134" s="110">
        <v>0.0029151537788465152</v>
      </c>
      <c r="D1134" s="83" t="s">
        <v>2087</v>
      </c>
      <c r="E1134" s="83" t="b">
        <v>0</v>
      </c>
      <c r="F1134" s="83" t="b">
        <v>0</v>
      </c>
      <c r="G1134" s="83" t="b">
        <v>0</v>
      </c>
    </row>
    <row r="1135" spans="1:7" ht="15">
      <c r="A1135" s="84" t="s">
        <v>2242</v>
      </c>
      <c r="B1135" s="83">
        <v>9</v>
      </c>
      <c r="C1135" s="110">
        <v>0.003244911424494213</v>
      </c>
      <c r="D1135" s="83" t="s">
        <v>2087</v>
      </c>
      <c r="E1135" s="83" t="b">
        <v>0</v>
      </c>
      <c r="F1135" s="83" t="b">
        <v>0</v>
      </c>
      <c r="G1135" s="83" t="b">
        <v>0</v>
      </c>
    </row>
    <row r="1136" spans="1:7" ht="15">
      <c r="A1136" s="84" t="s">
        <v>2189</v>
      </c>
      <c r="B1136" s="83">
        <v>8</v>
      </c>
      <c r="C1136" s="110">
        <v>0.0025912478034191243</v>
      </c>
      <c r="D1136" s="83" t="s">
        <v>2087</v>
      </c>
      <c r="E1136" s="83" t="b">
        <v>0</v>
      </c>
      <c r="F1136" s="83" t="b">
        <v>0</v>
      </c>
      <c r="G1136" s="83" t="b">
        <v>0</v>
      </c>
    </row>
    <row r="1137" spans="1:7" ht="15">
      <c r="A1137" s="84" t="s">
        <v>2229</v>
      </c>
      <c r="B1137" s="83">
        <v>8</v>
      </c>
      <c r="C1137" s="110">
        <v>0.0025912478034191243</v>
      </c>
      <c r="D1137" s="83" t="s">
        <v>2087</v>
      </c>
      <c r="E1137" s="83" t="b">
        <v>0</v>
      </c>
      <c r="F1137" s="83" t="b">
        <v>0</v>
      </c>
      <c r="G1137" s="83" t="b">
        <v>0</v>
      </c>
    </row>
    <row r="1138" spans="1:7" ht="15">
      <c r="A1138" s="84" t="s">
        <v>2196</v>
      </c>
      <c r="B1138" s="83">
        <v>8</v>
      </c>
      <c r="C1138" s="110">
        <v>0.0025912478034191243</v>
      </c>
      <c r="D1138" s="83" t="s">
        <v>2087</v>
      </c>
      <c r="E1138" s="83" t="b">
        <v>0</v>
      </c>
      <c r="F1138" s="83" t="b">
        <v>0</v>
      </c>
      <c r="G1138" s="83" t="b">
        <v>0</v>
      </c>
    </row>
    <row r="1139" spans="1:7" ht="15">
      <c r="A1139" s="84" t="s">
        <v>2173</v>
      </c>
      <c r="B1139" s="83">
        <v>8</v>
      </c>
      <c r="C1139" s="110">
        <v>0.0025912478034191243</v>
      </c>
      <c r="D1139" s="83" t="s">
        <v>2087</v>
      </c>
      <c r="E1139" s="83" t="b">
        <v>0</v>
      </c>
      <c r="F1139" s="83" t="b">
        <v>0</v>
      </c>
      <c r="G1139" s="83" t="b">
        <v>0</v>
      </c>
    </row>
    <row r="1140" spans="1:7" ht="15">
      <c r="A1140" s="84" t="s">
        <v>2251</v>
      </c>
      <c r="B1140" s="83">
        <v>8</v>
      </c>
      <c r="C1140" s="110">
        <v>0.002770660815960212</v>
      </c>
      <c r="D1140" s="83" t="s">
        <v>2087</v>
      </c>
      <c r="E1140" s="83" t="b">
        <v>0</v>
      </c>
      <c r="F1140" s="83" t="b">
        <v>0</v>
      </c>
      <c r="G1140" s="83" t="b">
        <v>0</v>
      </c>
    </row>
    <row r="1141" spans="1:7" ht="15">
      <c r="A1141" s="84" t="s">
        <v>2252</v>
      </c>
      <c r="B1141" s="83">
        <v>8</v>
      </c>
      <c r="C1141" s="110">
        <v>0.0026745246973019993</v>
      </c>
      <c r="D1141" s="83" t="s">
        <v>2087</v>
      </c>
      <c r="E1141" s="83" t="b">
        <v>0</v>
      </c>
      <c r="F1141" s="83" t="b">
        <v>0</v>
      </c>
      <c r="G1141" s="83" t="b">
        <v>0</v>
      </c>
    </row>
    <row r="1142" spans="1:7" ht="15">
      <c r="A1142" s="84" t="s">
        <v>2223</v>
      </c>
      <c r="B1142" s="83">
        <v>8</v>
      </c>
      <c r="C1142" s="110">
        <v>0.0025912478034191243</v>
      </c>
      <c r="D1142" s="83" t="s">
        <v>2087</v>
      </c>
      <c r="E1142" s="83" t="b">
        <v>1</v>
      </c>
      <c r="F1142" s="83" t="b">
        <v>0</v>
      </c>
      <c r="G1142" s="83" t="b">
        <v>0</v>
      </c>
    </row>
    <row r="1143" spans="1:7" ht="15">
      <c r="A1143" s="84" t="s">
        <v>2256</v>
      </c>
      <c r="B1143" s="83">
        <v>8</v>
      </c>
      <c r="C1143" s="110">
        <v>0.0025912478034191243</v>
      </c>
      <c r="D1143" s="83" t="s">
        <v>2087</v>
      </c>
      <c r="E1143" s="83" t="b">
        <v>0</v>
      </c>
      <c r="F1143" s="83" t="b">
        <v>0</v>
      </c>
      <c r="G1143" s="83" t="b">
        <v>0</v>
      </c>
    </row>
    <row r="1144" spans="1:7" ht="15">
      <c r="A1144" s="84" t="s">
        <v>2210</v>
      </c>
      <c r="B1144" s="83">
        <v>8</v>
      </c>
      <c r="C1144" s="110">
        <v>0.002770660815960212</v>
      </c>
      <c r="D1144" s="83" t="s">
        <v>2087</v>
      </c>
      <c r="E1144" s="83" t="b">
        <v>0</v>
      </c>
      <c r="F1144" s="83" t="b">
        <v>1</v>
      </c>
      <c r="G1144" s="83" t="b">
        <v>0</v>
      </c>
    </row>
    <row r="1145" spans="1:7" ht="15">
      <c r="A1145" s="84" t="s">
        <v>2259</v>
      </c>
      <c r="B1145" s="83">
        <v>8</v>
      </c>
      <c r="C1145" s="110">
        <v>0.0025912478034191243</v>
      </c>
      <c r="D1145" s="83" t="s">
        <v>2087</v>
      </c>
      <c r="E1145" s="83" t="b">
        <v>0</v>
      </c>
      <c r="F1145" s="83" t="b">
        <v>0</v>
      </c>
      <c r="G1145" s="83" t="b">
        <v>0</v>
      </c>
    </row>
    <row r="1146" spans="1:7" ht="15">
      <c r="A1146" s="84" t="s">
        <v>2211</v>
      </c>
      <c r="B1146" s="83">
        <v>8</v>
      </c>
      <c r="C1146" s="110">
        <v>0.002770660815960212</v>
      </c>
      <c r="D1146" s="83" t="s">
        <v>2087</v>
      </c>
      <c r="E1146" s="83" t="b">
        <v>0</v>
      </c>
      <c r="F1146" s="83" t="b">
        <v>0</v>
      </c>
      <c r="G1146" s="83" t="b">
        <v>0</v>
      </c>
    </row>
    <row r="1147" spans="1:7" ht="15">
      <c r="A1147" s="84" t="s">
        <v>2241</v>
      </c>
      <c r="B1147" s="83">
        <v>8</v>
      </c>
      <c r="C1147" s="110">
        <v>0.002770660815960212</v>
      </c>
      <c r="D1147" s="83" t="s">
        <v>2087</v>
      </c>
      <c r="E1147" s="83" t="b">
        <v>0</v>
      </c>
      <c r="F1147" s="83" t="b">
        <v>0</v>
      </c>
      <c r="G1147" s="83" t="b">
        <v>0</v>
      </c>
    </row>
    <row r="1148" spans="1:7" ht="15">
      <c r="A1148" s="84" t="s">
        <v>2239</v>
      </c>
      <c r="B1148" s="83">
        <v>8</v>
      </c>
      <c r="C1148" s="110">
        <v>0.002770660815960212</v>
      </c>
      <c r="D1148" s="83" t="s">
        <v>2087</v>
      </c>
      <c r="E1148" s="83" t="b">
        <v>0</v>
      </c>
      <c r="F1148" s="83" t="b">
        <v>0</v>
      </c>
      <c r="G1148" s="83" t="b">
        <v>0</v>
      </c>
    </row>
    <row r="1149" spans="1:7" ht="15">
      <c r="A1149" s="84" t="s">
        <v>2243</v>
      </c>
      <c r="B1149" s="83">
        <v>7</v>
      </c>
      <c r="C1149" s="110">
        <v>0.002340209110139249</v>
      </c>
      <c r="D1149" s="83" t="s">
        <v>2087</v>
      </c>
      <c r="E1149" s="83" t="b">
        <v>0</v>
      </c>
      <c r="F1149" s="83" t="b">
        <v>1</v>
      </c>
      <c r="G1149" s="83" t="b">
        <v>0</v>
      </c>
    </row>
    <row r="1150" spans="1:7" ht="15">
      <c r="A1150" s="84" t="s">
        <v>2244</v>
      </c>
      <c r="B1150" s="83">
        <v>7</v>
      </c>
      <c r="C1150" s="110">
        <v>0.0024243282139651857</v>
      </c>
      <c r="D1150" s="83" t="s">
        <v>2087</v>
      </c>
      <c r="E1150" s="83" t="b">
        <v>0</v>
      </c>
      <c r="F1150" s="83" t="b">
        <v>0</v>
      </c>
      <c r="G1150" s="83" t="b">
        <v>0</v>
      </c>
    </row>
    <row r="1151" spans="1:7" ht="15">
      <c r="A1151" s="84" t="s">
        <v>2266</v>
      </c>
      <c r="B1151" s="83">
        <v>7</v>
      </c>
      <c r="C1151" s="110">
        <v>0.0024243282139651857</v>
      </c>
      <c r="D1151" s="83" t="s">
        <v>2087</v>
      </c>
      <c r="E1151" s="83" t="b">
        <v>0</v>
      </c>
      <c r="F1151" s="83" t="b">
        <v>0</v>
      </c>
      <c r="G1151" s="83" t="b">
        <v>0</v>
      </c>
    </row>
    <row r="1152" spans="1:7" ht="15">
      <c r="A1152" s="84" t="s">
        <v>2267</v>
      </c>
      <c r="B1152" s="83">
        <v>7</v>
      </c>
      <c r="C1152" s="110">
        <v>0.0024243282139651857</v>
      </c>
      <c r="D1152" s="83" t="s">
        <v>2087</v>
      </c>
      <c r="E1152" s="83" t="b">
        <v>0</v>
      </c>
      <c r="F1152" s="83" t="b">
        <v>0</v>
      </c>
      <c r="G1152" s="83" t="b">
        <v>0</v>
      </c>
    </row>
    <row r="1153" spans="1:7" ht="15">
      <c r="A1153" s="84" t="s">
        <v>2272</v>
      </c>
      <c r="B1153" s="83">
        <v>7</v>
      </c>
      <c r="C1153" s="110">
        <v>0.002340209110139249</v>
      </c>
      <c r="D1153" s="83" t="s">
        <v>2087</v>
      </c>
      <c r="E1153" s="83" t="b">
        <v>0</v>
      </c>
      <c r="F1153" s="83" t="b">
        <v>0</v>
      </c>
      <c r="G1153" s="83" t="b">
        <v>0</v>
      </c>
    </row>
    <row r="1154" spans="1:7" ht="15">
      <c r="A1154" s="84" t="s">
        <v>2273</v>
      </c>
      <c r="B1154" s="83">
        <v>7</v>
      </c>
      <c r="C1154" s="110">
        <v>0.0025238199968288318</v>
      </c>
      <c r="D1154" s="83" t="s">
        <v>2087</v>
      </c>
      <c r="E1154" s="83" t="b">
        <v>0</v>
      </c>
      <c r="F1154" s="83" t="b">
        <v>1</v>
      </c>
      <c r="G1154" s="83" t="b">
        <v>0</v>
      </c>
    </row>
    <row r="1155" spans="1:7" ht="15">
      <c r="A1155" s="84" t="s">
        <v>2217</v>
      </c>
      <c r="B1155" s="83">
        <v>7</v>
      </c>
      <c r="C1155" s="110">
        <v>0.002340209110139249</v>
      </c>
      <c r="D1155" s="83" t="s">
        <v>2087</v>
      </c>
      <c r="E1155" s="83" t="b">
        <v>0</v>
      </c>
      <c r="F1155" s="83" t="b">
        <v>0</v>
      </c>
      <c r="G1155" s="83" t="b">
        <v>0</v>
      </c>
    </row>
    <row r="1156" spans="1:7" ht="15">
      <c r="A1156" s="84" t="s">
        <v>2275</v>
      </c>
      <c r="B1156" s="83">
        <v>7</v>
      </c>
      <c r="C1156" s="110">
        <v>0.0025238199968288318</v>
      </c>
      <c r="D1156" s="83" t="s">
        <v>2087</v>
      </c>
      <c r="E1156" s="83" t="b">
        <v>0</v>
      </c>
      <c r="F1156" s="83" t="b">
        <v>0</v>
      </c>
      <c r="G1156" s="83" t="b">
        <v>0</v>
      </c>
    </row>
    <row r="1157" spans="1:7" ht="15">
      <c r="A1157" s="84" t="s">
        <v>2276</v>
      </c>
      <c r="B1157" s="83">
        <v>7</v>
      </c>
      <c r="C1157" s="110">
        <v>0.002340209110139249</v>
      </c>
      <c r="D1157" s="83" t="s">
        <v>2087</v>
      </c>
      <c r="E1157" s="83" t="b">
        <v>0</v>
      </c>
      <c r="F1157" s="83" t="b">
        <v>0</v>
      </c>
      <c r="G1157" s="83" t="b">
        <v>0</v>
      </c>
    </row>
    <row r="1158" spans="1:7" ht="15">
      <c r="A1158" s="84" t="s">
        <v>2249</v>
      </c>
      <c r="B1158" s="83">
        <v>7</v>
      </c>
      <c r="C1158" s="110">
        <v>0.002340209110139249</v>
      </c>
      <c r="D1158" s="83" t="s">
        <v>2087</v>
      </c>
      <c r="E1158" s="83" t="b">
        <v>1</v>
      </c>
      <c r="F1158" s="83" t="b">
        <v>0</v>
      </c>
      <c r="G1158" s="83" t="b">
        <v>0</v>
      </c>
    </row>
    <row r="1159" spans="1:7" ht="15">
      <c r="A1159" s="84" t="s">
        <v>2247</v>
      </c>
      <c r="B1159" s="83">
        <v>7</v>
      </c>
      <c r="C1159" s="110">
        <v>0.0026455880978980104</v>
      </c>
      <c r="D1159" s="83" t="s">
        <v>2087</v>
      </c>
      <c r="E1159" s="83" t="b">
        <v>0</v>
      </c>
      <c r="F1159" s="83" t="b">
        <v>0</v>
      </c>
      <c r="G1159" s="83" t="b">
        <v>0</v>
      </c>
    </row>
    <row r="1160" spans="1:7" ht="15">
      <c r="A1160" s="84" t="s">
        <v>2279</v>
      </c>
      <c r="B1160" s="83">
        <v>7</v>
      </c>
      <c r="C1160" s="110">
        <v>0.0025238199968288318</v>
      </c>
      <c r="D1160" s="83" t="s">
        <v>2087</v>
      </c>
      <c r="E1160" s="83" t="b">
        <v>0</v>
      </c>
      <c r="F1160" s="83" t="b">
        <v>0</v>
      </c>
      <c r="G1160" s="83" t="b">
        <v>0</v>
      </c>
    </row>
    <row r="1161" spans="1:7" ht="15">
      <c r="A1161" s="84" t="s">
        <v>2232</v>
      </c>
      <c r="B1161" s="83">
        <v>7</v>
      </c>
      <c r="C1161" s="110">
        <v>0.002340209110139249</v>
      </c>
      <c r="D1161" s="83" t="s">
        <v>2087</v>
      </c>
      <c r="E1161" s="83" t="b">
        <v>0</v>
      </c>
      <c r="F1161" s="83" t="b">
        <v>0</v>
      </c>
      <c r="G1161" s="83" t="b">
        <v>0</v>
      </c>
    </row>
    <row r="1162" spans="1:7" ht="15">
      <c r="A1162" s="84" t="s">
        <v>796</v>
      </c>
      <c r="B1162" s="83">
        <v>7</v>
      </c>
      <c r="C1162" s="110">
        <v>0.0024243282139651857</v>
      </c>
      <c r="D1162" s="83" t="s">
        <v>2087</v>
      </c>
      <c r="E1162" s="83" t="b">
        <v>1</v>
      </c>
      <c r="F1162" s="83" t="b">
        <v>0</v>
      </c>
      <c r="G1162" s="83" t="b">
        <v>0</v>
      </c>
    </row>
    <row r="1163" spans="1:7" ht="15">
      <c r="A1163" s="84" t="s">
        <v>2253</v>
      </c>
      <c r="B1163" s="83">
        <v>7</v>
      </c>
      <c r="C1163" s="110">
        <v>0.002340209110139249</v>
      </c>
      <c r="D1163" s="83" t="s">
        <v>2087</v>
      </c>
      <c r="E1163" s="83" t="b">
        <v>0</v>
      </c>
      <c r="F1163" s="83" t="b">
        <v>0</v>
      </c>
      <c r="G1163" s="83" t="b">
        <v>0</v>
      </c>
    </row>
    <row r="1164" spans="1:7" ht="15">
      <c r="A1164" s="84" t="s">
        <v>2254</v>
      </c>
      <c r="B1164" s="83">
        <v>7</v>
      </c>
      <c r="C1164" s="110">
        <v>0.002340209110139249</v>
      </c>
      <c r="D1164" s="83" t="s">
        <v>2087</v>
      </c>
      <c r="E1164" s="83" t="b">
        <v>0</v>
      </c>
      <c r="F1164" s="83" t="b">
        <v>0</v>
      </c>
      <c r="G1164" s="83" t="b">
        <v>0</v>
      </c>
    </row>
    <row r="1165" spans="1:7" ht="15">
      <c r="A1165" s="84" t="s">
        <v>2233</v>
      </c>
      <c r="B1165" s="83">
        <v>7</v>
      </c>
      <c r="C1165" s="110">
        <v>0.0024243282139651857</v>
      </c>
      <c r="D1165" s="83" t="s">
        <v>2087</v>
      </c>
      <c r="E1165" s="83" t="b">
        <v>0</v>
      </c>
      <c r="F1165" s="83" t="b">
        <v>0</v>
      </c>
      <c r="G1165" s="83" t="b">
        <v>0</v>
      </c>
    </row>
    <row r="1166" spans="1:7" ht="15">
      <c r="A1166" s="84" t="s">
        <v>2220</v>
      </c>
      <c r="B1166" s="83">
        <v>7</v>
      </c>
      <c r="C1166" s="110">
        <v>0.002340209110139249</v>
      </c>
      <c r="D1166" s="83" t="s">
        <v>2087</v>
      </c>
      <c r="E1166" s="83" t="b">
        <v>0</v>
      </c>
      <c r="F1166" s="83" t="b">
        <v>0</v>
      </c>
      <c r="G1166" s="83" t="b">
        <v>0</v>
      </c>
    </row>
    <row r="1167" spans="1:7" ht="15">
      <c r="A1167" s="84" t="s">
        <v>2221</v>
      </c>
      <c r="B1167" s="83">
        <v>7</v>
      </c>
      <c r="C1167" s="110">
        <v>0.0024243282139651857</v>
      </c>
      <c r="D1167" s="83" t="s">
        <v>2087</v>
      </c>
      <c r="E1167" s="83" t="b">
        <v>0</v>
      </c>
      <c r="F1167" s="83" t="b">
        <v>0</v>
      </c>
      <c r="G1167" s="83" t="b">
        <v>0</v>
      </c>
    </row>
    <row r="1168" spans="1:7" ht="15">
      <c r="A1168" s="84" t="s">
        <v>2222</v>
      </c>
      <c r="B1168" s="83">
        <v>7</v>
      </c>
      <c r="C1168" s="110">
        <v>0.0024243282139651857</v>
      </c>
      <c r="D1168" s="83" t="s">
        <v>2087</v>
      </c>
      <c r="E1168" s="83" t="b">
        <v>0</v>
      </c>
      <c r="F1168" s="83" t="b">
        <v>0</v>
      </c>
      <c r="G1168" s="83" t="b">
        <v>0</v>
      </c>
    </row>
    <row r="1169" spans="1:7" ht="15">
      <c r="A1169" s="84" t="s">
        <v>2238</v>
      </c>
      <c r="B1169" s="83">
        <v>7</v>
      </c>
      <c r="C1169" s="110">
        <v>0.0024243282139651857</v>
      </c>
      <c r="D1169" s="83" t="s">
        <v>2087</v>
      </c>
      <c r="E1169" s="83" t="b">
        <v>0</v>
      </c>
      <c r="F1169" s="83" t="b">
        <v>0</v>
      </c>
      <c r="G1169" s="83" t="b">
        <v>0</v>
      </c>
    </row>
    <row r="1170" spans="1:7" ht="15">
      <c r="A1170" s="84" t="s">
        <v>2172</v>
      </c>
      <c r="B1170" s="83">
        <v>7</v>
      </c>
      <c r="C1170" s="110">
        <v>0.0024243282139651857</v>
      </c>
      <c r="D1170" s="83" t="s">
        <v>2087</v>
      </c>
      <c r="E1170" s="83" t="b">
        <v>0</v>
      </c>
      <c r="F1170" s="83" t="b">
        <v>0</v>
      </c>
      <c r="G1170" s="83" t="b">
        <v>0</v>
      </c>
    </row>
    <row r="1171" spans="1:7" ht="15">
      <c r="A1171" s="84" t="s">
        <v>2283</v>
      </c>
      <c r="B1171" s="83">
        <v>7</v>
      </c>
      <c r="C1171" s="110">
        <v>0.0025238199968288318</v>
      </c>
      <c r="D1171" s="83" t="s">
        <v>2087</v>
      </c>
      <c r="E1171" s="83" t="b">
        <v>0</v>
      </c>
      <c r="F1171" s="83" t="b">
        <v>1</v>
      </c>
      <c r="G1171" s="83" t="b">
        <v>0</v>
      </c>
    </row>
    <row r="1172" spans="1:7" ht="15">
      <c r="A1172" s="84" t="s">
        <v>2226</v>
      </c>
      <c r="B1172" s="83">
        <v>7</v>
      </c>
      <c r="C1172" s="110">
        <v>0.002340209110139249</v>
      </c>
      <c r="D1172" s="83" t="s">
        <v>2087</v>
      </c>
      <c r="E1172" s="83" t="b">
        <v>0</v>
      </c>
      <c r="F1172" s="83" t="b">
        <v>0</v>
      </c>
      <c r="G1172" s="83" t="b">
        <v>0</v>
      </c>
    </row>
    <row r="1173" spans="1:7" ht="15">
      <c r="A1173" s="84" t="s">
        <v>2227</v>
      </c>
      <c r="B1173" s="83">
        <v>7</v>
      </c>
      <c r="C1173" s="110">
        <v>0.0024243282139651857</v>
      </c>
      <c r="D1173" s="83" t="s">
        <v>2087</v>
      </c>
      <c r="E1173" s="83" t="b">
        <v>0</v>
      </c>
      <c r="F1173" s="83" t="b">
        <v>0</v>
      </c>
      <c r="G1173" s="83" t="b">
        <v>0</v>
      </c>
    </row>
    <row r="1174" spans="1:7" ht="15">
      <c r="A1174" s="84" t="s">
        <v>2291</v>
      </c>
      <c r="B1174" s="83">
        <v>7</v>
      </c>
      <c r="C1174" s="110">
        <v>0.0026455880978980104</v>
      </c>
      <c r="D1174" s="83" t="s">
        <v>2087</v>
      </c>
      <c r="E1174" s="83" t="b">
        <v>0</v>
      </c>
      <c r="F1174" s="83" t="b">
        <v>0</v>
      </c>
      <c r="G1174" s="83" t="b">
        <v>0</v>
      </c>
    </row>
    <row r="1175" spans="1:7" ht="15">
      <c r="A1175" s="84" t="s">
        <v>2292</v>
      </c>
      <c r="B1175" s="83">
        <v>7</v>
      </c>
      <c r="C1175" s="110">
        <v>0.0034020806377105645</v>
      </c>
      <c r="D1175" s="83" t="s">
        <v>2087</v>
      </c>
      <c r="E1175" s="83" t="b">
        <v>0</v>
      </c>
      <c r="F1175" s="83" t="b">
        <v>0</v>
      </c>
      <c r="G1175" s="83" t="b">
        <v>0</v>
      </c>
    </row>
    <row r="1176" spans="1:7" ht="15">
      <c r="A1176" s="84" t="s">
        <v>2213</v>
      </c>
      <c r="B1176" s="83">
        <v>7</v>
      </c>
      <c r="C1176" s="110">
        <v>0.0025238199968288318</v>
      </c>
      <c r="D1176" s="83" t="s">
        <v>2087</v>
      </c>
      <c r="E1176" s="83" t="b">
        <v>0</v>
      </c>
      <c r="F1176" s="83" t="b">
        <v>0</v>
      </c>
      <c r="G1176" s="83" t="b">
        <v>0</v>
      </c>
    </row>
    <row r="1177" spans="1:7" ht="15">
      <c r="A1177" s="84" t="s">
        <v>2052</v>
      </c>
      <c r="B1177" s="83">
        <v>7</v>
      </c>
      <c r="C1177" s="110">
        <v>0.002340209110139249</v>
      </c>
      <c r="D1177" s="83" t="s">
        <v>2087</v>
      </c>
      <c r="E1177" s="83" t="b">
        <v>0</v>
      </c>
      <c r="F1177" s="83" t="b">
        <v>0</v>
      </c>
      <c r="G1177" s="83" t="b">
        <v>0</v>
      </c>
    </row>
    <row r="1178" spans="1:7" ht="15">
      <c r="A1178" s="84" t="s">
        <v>2295</v>
      </c>
      <c r="B1178" s="83">
        <v>7</v>
      </c>
      <c r="C1178" s="110">
        <v>0.0024243282139651857</v>
      </c>
      <c r="D1178" s="83" t="s">
        <v>2087</v>
      </c>
      <c r="E1178" s="83" t="b">
        <v>0</v>
      </c>
      <c r="F1178" s="83" t="b">
        <v>0</v>
      </c>
      <c r="G1178" s="83" t="b">
        <v>0</v>
      </c>
    </row>
    <row r="1179" spans="1:7" ht="15">
      <c r="A1179" s="84" t="s">
        <v>2293</v>
      </c>
      <c r="B1179" s="83">
        <v>7</v>
      </c>
      <c r="C1179" s="110">
        <v>0.0026455880978980104</v>
      </c>
      <c r="D1179" s="83" t="s">
        <v>2087</v>
      </c>
      <c r="E1179" s="83" t="b">
        <v>0</v>
      </c>
      <c r="F1179" s="83" t="b">
        <v>0</v>
      </c>
      <c r="G1179" s="83" t="b">
        <v>0</v>
      </c>
    </row>
    <row r="1180" spans="1:7" ht="15">
      <c r="A1180" s="84" t="s">
        <v>2294</v>
      </c>
      <c r="B1180" s="83">
        <v>7</v>
      </c>
      <c r="C1180" s="110">
        <v>0.0025238199968288318</v>
      </c>
      <c r="D1180" s="83" t="s">
        <v>2087</v>
      </c>
      <c r="E1180" s="83" t="b">
        <v>0</v>
      </c>
      <c r="F1180" s="83" t="b">
        <v>0</v>
      </c>
      <c r="G1180" s="83" t="b">
        <v>0</v>
      </c>
    </row>
    <row r="1181" spans="1:7" ht="15">
      <c r="A1181" s="84" t="s">
        <v>2228</v>
      </c>
      <c r="B1181" s="83">
        <v>6</v>
      </c>
      <c r="C1181" s="110">
        <v>0.0022676469410554375</v>
      </c>
      <c r="D1181" s="83" t="s">
        <v>2087</v>
      </c>
      <c r="E1181" s="83" t="b">
        <v>0</v>
      </c>
      <c r="F1181" s="83" t="b">
        <v>0</v>
      </c>
      <c r="G1181" s="83" t="b">
        <v>0</v>
      </c>
    </row>
    <row r="1182" spans="1:7" ht="15">
      <c r="A1182" s="84" t="s">
        <v>2184</v>
      </c>
      <c r="B1182" s="83">
        <v>6</v>
      </c>
      <c r="C1182" s="110">
        <v>0.002077995611970159</v>
      </c>
      <c r="D1182" s="83" t="s">
        <v>2087</v>
      </c>
      <c r="E1182" s="83" t="b">
        <v>0</v>
      </c>
      <c r="F1182" s="83" t="b">
        <v>0</v>
      </c>
      <c r="G1182" s="83" t="b">
        <v>0</v>
      </c>
    </row>
    <row r="1183" spans="1:7" ht="15">
      <c r="A1183" s="84" t="s">
        <v>2300</v>
      </c>
      <c r="B1183" s="83">
        <v>6</v>
      </c>
      <c r="C1183" s="110">
        <v>0.002077995611970159</v>
      </c>
      <c r="D1183" s="83" t="s">
        <v>2087</v>
      </c>
      <c r="E1183" s="83" t="b">
        <v>0</v>
      </c>
      <c r="F1183" s="83" t="b">
        <v>0</v>
      </c>
      <c r="G1183" s="83" t="b">
        <v>0</v>
      </c>
    </row>
    <row r="1184" spans="1:7" ht="15">
      <c r="A1184" s="84" t="s">
        <v>2245</v>
      </c>
      <c r="B1184" s="83">
        <v>6</v>
      </c>
      <c r="C1184" s="110">
        <v>0.002077995611970159</v>
      </c>
      <c r="D1184" s="83" t="s">
        <v>2087</v>
      </c>
      <c r="E1184" s="83" t="b">
        <v>0</v>
      </c>
      <c r="F1184" s="83" t="b">
        <v>0</v>
      </c>
      <c r="G1184" s="83" t="b">
        <v>0</v>
      </c>
    </row>
    <row r="1185" spans="1:7" ht="15">
      <c r="A1185" s="84" t="s">
        <v>2230</v>
      </c>
      <c r="B1185" s="83">
        <v>6</v>
      </c>
      <c r="C1185" s="110">
        <v>0.0021632742829961415</v>
      </c>
      <c r="D1185" s="83" t="s">
        <v>2087</v>
      </c>
      <c r="E1185" s="83" t="b">
        <v>0</v>
      </c>
      <c r="F1185" s="83" t="b">
        <v>0</v>
      </c>
      <c r="G1185" s="83" t="b">
        <v>0</v>
      </c>
    </row>
    <row r="1186" spans="1:7" ht="15">
      <c r="A1186" s="84" t="s">
        <v>2303</v>
      </c>
      <c r="B1186" s="83">
        <v>6</v>
      </c>
      <c r="C1186" s="110">
        <v>0.0022676469410554375</v>
      </c>
      <c r="D1186" s="83" t="s">
        <v>2087</v>
      </c>
      <c r="E1186" s="83" t="b">
        <v>0</v>
      </c>
      <c r="F1186" s="83" t="b">
        <v>1</v>
      </c>
      <c r="G1186" s="83" t="b">
        <v>0</v>
      </c>
    </row>
    <row r="1187" spans="1:7" ht="15">
      <c r="A1187" s="84" t="s">
        <v>2306</v>
      </c>
      <c r="B1187" s="83">
        <v>6</v>
      </c>
      <c r="C1187" s="110">
        <v>0.002077995611970159</v>
      </c>
      <c r="D1187" s="83" t="s">
        <v>2087</v>
      </c>
      <c r="E1187" s="83" t="b">
        <v>0</v>
      </c>
      <c r="F1187" s="83" t="b">
        <v>0</v>
      </c>
      <c r="G1187" s="83" t="b">
        <v>0</v>
      </c>
    </row>
    <row r="1188" spans="1:7" ht="15">
      <c r="A1188" s="84" t="s">
        <v>2309</v>
      </c>
      <c r="B1188" s="83">
        <v>6</v>
      </c>
      <c r="C1188" s="110">
        <v>0.0021632742829961415</v>
      </c>
      <c r="D1188" s="83" t="s">
        <v>2087</v>
      </c>
      <c r="E1188" s="83" t="b">
        <v>0</v>
      </c>
      <c r="F1188" s="83" t="b">
        <v>0</v>
      </c>
      <c r="G1188" s="83" t="b">
        <v>0</v>
      </c>
    </row>
    <row r="1189" spans="1:7" ht="15">
      <c r="A1189" s="84" t="s">
        <v>2274</v>
      </c>
      <c r="B1189" s="83">
        <v>6</v>
      </c>
      <c r="C1189" s="110">
        <v>0.0021632742829961415</v>
      </c>
      <c r="D1189" s="83" t="s">
        <v>2087</v>
      </c>
      <c r="E1189" s="83" t="b">
        <v>0</v>
      </c>
      <c r="F1189" s="83" t="b">
        <v>0</v>
      </c>
      <c r="G1189" s="83" t="b">
        <v>0</v>
      </c>
    </row>
    <row r="1190" spans="1:7" ht="15">
      <c r="A1190" s="84" t="s">
        <v>2311</v>
      </c>
      <c r="B1190" s="83">
        <v>6</v>
      </c>
      <c r="C1190" s="110">
        <v>0.002077995611970159</v>
      </c>
      <c r="D1190" s="83" t="s">
        <v>2087</v>
      </c>
      <c r="E1190" s="83" t="b">
        <v>0</v>
      </c>
      <c r="F1190" s="83" t="b">
        <v>0</v>
      </c>
      <c r="G1190" s="83" t="b">
        <v>0</v>
      </c>
    </row>
    <row r="1191" spans="1:7" ht="15">
      <c r="A1191" s="84" t="s">
        <v>2313</v>
      </c>
      <c r="B1191" s="83">
        <v>6</v>
      </c>
      <c r="C1191" s="110">
        <v>0.002077995611970159</v>
      </c>
      <c r="D1191" s="83" t="s">
        <v>2087</v>
      </c>
      <c r="E1191" s="83" t="b">
        <v>0</v>
      </c>
      <c r="F1191" s="83" t="b">
        <v>0</v>
      </c>
      <c r="G1191" s="83" t="b">
        <v>0</v>
      </c>
    </row>
    <row r="1192" spans="1:7" ht="15">
      <c r="A1192" s="84" t="s">
        <v>2277</v>
      </c>
      <c r="B1192" s="83">
        <v>6</v>
      </c>
      <c r="C1192" s="110">
        <v>0.002077995611970159</v>
      </c>
      <c r="D1192" s="83" t="s">
        <v>2087</v>
      </c>
      <c r="E1192" s="83" t="b">
        <v>0</v>
      </c>
      <c r="F1192" s="83" t="b">
        <v>0</v>
      </c>
      <c r="G1192" s="83" t="b">
        <v>0</v>
      </c>
    </row>
    <row r="1193" spans="1:7" ht="15">
      <c r="A1193" s="84" t="s">
        <v>2198</v>
      </c>
      <c r="B1193" s="83">
        <v>6</v>
      </c>
      <c r="C1193" s="110">
        <v>0.002077995611970159</v>
      </c>
      <c r="D1193" s="83" t="s">
        <v>2087</v>
      </c>
      <c r="E1193" s="83" t="b">
        <v>0</v>
      </c>
      <c r="F1193" s="83" t="b">
        <v>0</v>
      </c>
      <c r="G1193" s="83" t="b">
        <v>0</v>
      </c>
    </row>
    <row r="1194" spans="1:7" ht="15">
      <c r="A1194" s="84" t="s">
        <v>2314</v>
      </c>
      <c r="B1194" s="83">
        <v>6</v>
      </c>
      <c r="C1194" s="110">
        <v>0.0021632742829961415</v>
      </c>
      <c r="D1194" s="83" t="s">
        <v>2087</v>
      </c>
      <c r="E1194" s="83" t="b">
        <v>0</v>
      </c>
      <c r="F1194" s="83" t="b">
        <v>0</v>
      </c>
      <c r="G1194" s="83" t="b">
        <v>0</v>
      </c>
    </row>
    <row r="1195" spans="1:7" ht="15">
      <c r="A1195" s="84" t="s">
        <v>2179</v>
      </c>
      <c r="B1195" s="83">
        <v>6</v>
      </c>
      <c r="C1195" s="110">
        <v>0.0021632742829961415</v>
      </c>
      <c r="D1195" s="83" t="s">
        <v>2087</v>
      </c>
      <c r="E1195" s="83" t="b">
        <v>0</v>
      </c>
      <c r="F1195" s="83" t="b">
        <v>0</v>
      </c>
      <c r="G1195" s="83" t="b">
        <v>0</v>
      </c>
    </row>
    <row r="1196" spans="1:7" ht="15">
      <c r="A1196" s="84" t="s">
        <v>2255</v>
      </c>
      <c r="B1196" s="83">
        <v>6</v>
      </c>
      <c r="C1196" s="110">
        <v>0.002077995611970159</v>
      </c>
      <c r="D1196" s="83" t="s">
        <v>2087</v>
      </c>
      <c r="E1196" s="83" t="b">
        <v>0</v>
      </c>
      <c r="F1196" s="83" t="b">
        <v>0</v>
      </c>
      <c r="G1196" s="83" t="b">
        <v>0</v>
      </c>
    </row>
    <row r="1197" spans="1:7" ht="15">
      <c r="A1197" s="84" t="s">
        <v>2317</v>
      </c>
      <c r="B1197" s="83">
        <v>6</v>
      </c>
      <c r="C1197" s="110">
        <v>0.0021632742829961415</v>
      </c>
      <c r="D1197" s="83" t="s">
        <v>2087</v>
      </c>
      <c r="E1197" s="83" t="b">
        <v>0</v>
      </c>
      <c r="F1197" s="83" t="b">
        <v>0</v>
      </c>
      <c r="G1197" s="83" t="b">
        <v>0</v>
      </c>
    </row>
    <row r="1198" spans="1:7" ht="15">
      <c r="A1198" s="84" t="s">
        <v>2219</v>
      </c>
      <c r="B1198" s="83">
        <v>6</v>
      </c>
      <c r="C1198" s="110">
        <v>0.002077995611970159</v>
      </c>
      <c r="D1198" s="83" t="s">
        <v>2087</v>
      </c>
      <c r="E1198" s="83" t="b">
        <v>0</v>
      </c>
      <c r="F1198" s="83" t="b">
        <v>0</v>
      </c>
      <c r="G1198" s="83" t="b">
        <v>0</v>
      </c>
    </row>
    <row r="1199" spans="1:7" ht="15">
      <c r="A1199" s="84" t="s">
        <v>2319</v>
      </c>
      <c r="B1199" s="83">
        <v>6</v>
      </c>
      <c r="C1199" s="110">
        <v>0.002077995611970159</v>
      </c>
      <c r="D1199" s="83" t="s">
        <v>2087</v>
      </c>
      <c r="E1199" s="83" t="b">
        <v>0</v>
      </c>
      <c r="F1199" s="83" t="b">
        <v>0</v>
      </c>
      <c r="G1199" s="83" t="b">
        <v>0</v>
      </c>
    </row>
    <row r="1200" spans="1:7" ht="15">
      <c r="A1200" s="84" t="s">
        <v>2282</v>
      </c>
      <c r="B1200" s="83">
        <v>6</v>
      </c>
      <c r="C1200" s="110">
        <v>0.0022676469410554375</v>
      </c>
      <c r="D1200" s="83" t="s">
        <v>2087</v>
      </c>
      <c r="E1200" s="83" t="b">
        <v>0</v>
      </c>
      <c r="F1200" s="83" t="b">
        <v>1</v>
      </c>
      <c r="G1200" s="83" t="b">
        <v>0</v>
      </c>
    </row>
    <row r="1201" spans="1:7" ht="15">
      <c r="A1201" s="84" t="s">
        <v>2323</v>
      </c>
      <c r="B1201" s="83">
        <v>6</v>
      </c>
      <c r="C1201" s="110">
        <v>0.0021632742829961415</v>
      </c>
      <c r="D1201" s="83" t="s">
        <v>2087</v>
      </c>
      <c r="E1201" s="83" t="b">
        <v>0</v>
      </c>
      <c r="F1201" s="83" t="b">
        <v>0</v>
      </c>
      <c r="G1201" s="83" t="b">
        <v>0</v>
      </c>
    </row>
    <row r="1202" spans="1:7" ht="15">
      <c r="A1202" s="84" t="s">
        <v>2324</v>
      </c>
      <c r="B1202" s="83">
        <v>6</v>
      </c>
      <c r="C1202" s="110">
        <v>0.0021632742829961415</v>
      </c>
      <c r="D1202" s="83" t="s">
        <v>2087</v>
      </c>
      <c r="E1202" s="83" t="b">
        <v>0</v>
      </c>
      <c r="F1202" s="83" t="b">
        <v>0</v>
      </c>
      <c r="G1202" s="83" t="b">
        <v>0</v>
      </c>
    </row>
    <row r="1203" spans="1:7" ht="15">
      <c r="A1203" s="84" t="s">
        <v>2257</v>
      </c>
      <c r="B1203" s="83">
        <v>6</v>
      </c>
      <c r="C1203" s="110">
        <v>0.0021632742829961415</v>
      </c>
      <c r="D1203" s="83" t="s">
        <v>2087</v>
      </c>
      <c r="E1203" s="83" t="b">
        <v>0</v>
      </c>
      <c r="F1203" s="83" t="b">
        <v>0</v>
      </c>
      <c r="G1203" s="83" t="b">
        <v>0</v>
      </c>
    </row>
    <row r="1204" spans="1:7" ht="15">
      <c r="A1204" s="84" t="s">
        <v>2331</v>
      </c>
      <c r="B1204" s="83">
        <v>6</v>
      </c>
      <c r="C1204" s="110">
        <v>0.0021632742829961415</v>
      </c>
      <c r="D1204" s="83" t="s">
        <v>2087</v>
      </c>
      <c r="E1204" s="83" t="b">
        <v>0</v>
      </c>
      <c r="F1204" s="83" t="b">
        <v>0</v>
      </c>
      <c r="G1204" s="83" t="b">
        <v>0</v>
      </c>
    </row>
    <row r="1205" spans="1:7" ht="15">
      <c r="A1205" s="84" t="s">
        <v>2288</v>
      </c>
      <c r="B1205" s="83">
        <v>6</v>
      </c>
      <c r="C1205" s="110">
        <v>0.002077995611970159</v>
      </c>
      <c r="D1205" s="83" t="s">
        <v>2087</v>
      </c>
      <c r="E1205" s="83" t="b">
        <v>0</v>
      </c>
      <c r="F1205" s="83" t="b">
        <v>0</v>
      </c>
      <c r="G1205" s="83" t="b">
        <v>0</v>
      </c>
    </row>
    <row r="1206" spans="1:7" ht="15">
      <c r="A1206" s="84" t="s">
        <v>2334</v>
      </c>
      <c r="B1206" s="83">
        <v>6</v>
      </c>
      <c r="C1206" s="110">
        <v>0.002077995611970159</v>
      </c>
      <c r="D1206" s="83" t="s">
        <v>2087</v>
      </c>
      <c r="E1206" s="83" t="b">
        <v>0</v>
      </c>
      <c r="F1206" s="83" t="b">
        <v>0</v>
      </c>
      <c r="G1206" s="83" t="b">
        <v>0</v>
      </c>
    </row>
    <row r="1207" spans="1:7" ht="15">
      <c r="A1207" s="84" t="s">
        <v>2263</v>
      </c>
      <c r="B1207" s="83">
        <v>6</v>
      </c>
      <c r="C1207" s="110">
        <v>0.002077995611970159</v>
      </c>
      <c r="D1207" s="83" t="s">
        <v>2087</v>
      </c>
      <c r="E1207" s="83" t="b">
        <v>0</v>
      </c>
      <c r="F1207" s="83" t="b">
        <v>0</v>
      </c>
      <c r="G1207" s="83" t="b">
        <v>0</v>
      </c>
    </row>
    <row r="1208" spans="1:7" ht="15">
      <c r="A1208" s="84" t="s">
        <v>2346</v>
      </c>
      <c r="B1208" s="83">
        <v>6</v>
      </c>
      <c r="C1208" s="110">
        <v>0.0021632742829961415</v>
      </c>
      <c r="D1208" s="83" t="s">
        <v>2087</v>
      </c>
      <c r="E1208" s="83" t="b">
        <v>0</v>
      </c>
      <c r="F1208" s="83" t="b">
        <v>0</v>
      </c>
      <c r="G1208" s="83" t="b">
        <v>0</v>
      </c>
    </row>
    <row r="1209" spans="1:7" ht="15">
      <c r="A1209" s="84" t="s">
        <v>2159</v>
      </c>
      <c r="B1209" s="83">
        <v>6</v>
      </c>
      <c r="C1209" s="110">
        <v>0.0021632742829961415</v>
      </c>
      <c r="D1209" s="83" t="s">
        <v>2087</v>
      </c>
      <c r="E1209" s="83" t="b">
        <v>0</v>
      </c>
      <c r="F1209" s="83" t="b">
        <v>0</v>
      </c>
      <c r="G1209" s="83" t="b">
        <v>0</v>
      </c>
    </row>
    <row r="1210" spans="1:7" ht="15">
      <c r="A1210" s="84" t="s">
        <v>2348</v>
      </c>
      <c r="B1210" s="83">
        <v>6</v>
      </c>
      <c r="C1210" s="110">
        <v>0.0022676469410554375</v>
      </c>
      <c r="D1210" s="83" t="s">
        <v>2087</v>
      </c>
      <c r="E1210" s="83" t="b">
        <v>1</v>
      </c>
      <c r="F1210" s="83" t="b">
        <v>0</v>
      </c>
      <c r="G1210" s="83" t="b">
        <v>0</v>
      </c>
    </row>
    <row r="1211" spans="1:7" ht="15">
      <c r="A1211" s="84" t="s">
        <v>2258</v>
      </c>
      <c r="B1211" s="83">
        <v>6</v>
      </c>
      <c r="C1211" s="110">
        <v>0.002077995611970159</v>
      </c>
      <c r="D1211" s="83" t="s">
        <v>2087</v>
      </c>
      <c r="E1211" s="83" t="b">
        <v>1</v>
      </c>
      <c r="F1211" s="83" t="b">
        <v>0</v>
      </c>
      <c r="G1211" s="83" t="b">
        <v>0</v>
      </c>
    </row>
    <row r="1212" spans="1:7" ht="15">
      <c r="A1212" s="84" t="s">
        <v>2287</v>
      </c>
      <c r="B1212" s="83">
        <v>6</v>
      </c>
      <c r="C1212" s="110">
        <v>0.0021632742829961415</v>
      </c>
      <c r="D1212" s="83" t="s">
        <v>2087</v>
      </c>
      <c r="E1212" s="83" t="b">
        <v>0</v>
      </c>
      <c r="F1212" s="83" t="b">
        <v>0</v>
      </c>
      <c r="G1212" s="83" t="b">
        <v>0</v>
      </c>
    </row>
    <row r="1213" spans="1:7" ht="15">
      <c r="A1213" s="84" t="s">
        <v>2350</v>
      </c>
      <c r="B1213" s="83">
        <v>6</v>
      </c>
      <c r="C1213" s="110">
        <v>0.002077995611970159</v>
      </c>
      <c r="D1213" s="83" t="s">
        <v>2087</v>
      </c>
      <c r="E1213" s="83" t="b">
        <v>0</v>
      </c>
      <c r="F1213" s="83" t="b">
        <v>0</v>
      </c>
      <c r="G1213" s="83" t="b">
        <v>0</v>
      </c>
    </row>
    <row r="1214" spans="1:7" ht="15">
      <c r="A1214" s="84" t="s">
        <v>2352</v>
      </c>
      <c r="B1214" s="83">
        <v>5</v>
      </c>
      <c r="C1214" s="110">
        <v>0.0018897057842128646</v>
      </c>
      <c r="D1214" s="83" t="s">
        <v>2087</v>
      </c>
      <c r="E1214" s="83" t="b">
        <v>0</v>
      </c>
      <c r="F1214" s="83" t="b">
        <v>0</v>
      </c>
      <c r="G1214" s="83" t="b">
        <v>0</v>
      </c>
    </row>
    <row r="1215" spans="1:7" ht="15">
      <c r="A1215" s="84" t="s">
        <v>2296</v>
      </c>
      <c r="B1215" s="83">
        <v>5</v>
      </c>
      <c r="C1215" s="110">
        <v>0.0020018389170510446</v>
      </c>
      <c r="D1215" s="83" t="s">
        <v>2087</v>
      </c>
      <c r="E1215" s="83" t="b">
        <v>0</v>
      </c>
      <c r="F1215" s="83" t="b">
        <v>0</v>
      </c>
      <c r="G1215" s="83" t="b">
        <v>0</v>
      </c>
    </row>
    <row r="1216" spans="1:7" ht="15">
      <c r="A1216" s="84" t="s">
        <v>2422</v>
      </c>
      <c r="B1216" s="83">
        <v>5</v>
      </c>
      <c r="C1216" s="110">
        <v>0.0018027285691634514</v>
      </c>
      <c r="D1216" s="83" t="s">
        <v>2087</v>
      </c>
      <c r="E1216" s="83" t="b">
        <v>1</v>
      </c>
      <c r="F1216" s="83" t="b">
        <v>0</v>
      </c>
      <c r="G1216" s="83" t="b">
        <v>0</v>
      </c>
    </row>
    <row r="1217" spans="1:7" ht="15">
      <c r="A1217" s="84" t="s">
        <v>2354</v>
      </c>
      <c r="B1217" s="83">
        <v>5</v>
      </c>
      <c r="C1217" s="110">
        <v>0.0018897057842128646</v>
      </c>
      <c r="D1217" s="83" t="s">
        <v>2087</v>
      </c>
      <c r="E1217" s="83" t="b">
        <v>1</v>
      </c>
      <c r="F1217" s="83" t="b">
        <v>0</v>
      </c>
      <c r="G1217" s="83" t="b">
        <v>0</v>
      </c>
    </row>
    <row r="1218" spans="1:7" ht="15">
      <c r="A1218" s="84" t="s">
        <v>2357</v>
      </c>
      <c r="B1218" s="83">
        <v>5</v>
      </c>
      <c r="C1218" s="110">
        <v>0.0018897057842128646</v>
      </c>
      <c r="D1218" s="83" t="s">
        <v>2087</v>
      </c>
      <c r="E1218" s="83" t="b">
        <v>0</v>
      </c>
      <c r="F1218" s="83" t="b">
        <v>0</v>
      </c>
      <c r="G1218" s="83" t="b">
        <v>0</v>
      </c>
    </row>
    <row r="1219" spans="1:7" ht="15">
      <c r="A1219" s="84" t="s">
        <v>2358</v>
      </c>
      <c r="B1219" s="83">
        <v>5</v>
      </c>
      <c r="C1219" s="110">
        <v>0.0018027285691634514</v>
      </c>
      <c r="D1219" s="83" t="s">
        <v>2087</v>
      </c>
      <c r="E1219" s="83" t="b">
        <v>0</v>
      </c>
      <c r="F1219" s="83" t="b">
        <v>0</v>
      </c>
      <c r="G1219" s="83" t="b">
        <v>0</v>
      </c>
    </row>
    <row r="1220" spans="1:7" ht="15">
      <c r="A1220" s="84" t="s">
        <v>2359</v>
      </c>
      <c r="B1220" s="83">
        <v>5</v>
      </c>
      <c r="C1220" s="110">
        <v>0.0018027285691634514</v>
      </c>
      <c r="D1220" s="83" t="s">
        <v>2087</v>
      </c>
      <c r="E1220" s="83" t="b">
        <v>1</v>
      </c>
      <c r="F1220" s="83" t="b">
        <v>0</v>
      </c>
      <c r="G1220" s="83" t="b">
        <v>0</v>
      </c>
    </row>
    <row r="1221" spans="1:7" ht="15">
      <c r="A1221" s="84" t="s">
        <v>2360</v>
      </c>
      <c r="B1221" s="83">
        <v>5</v>
      </c>
      <c r="C1221" s="110">
        <v>0.0018027285691634514</v>
      </c>
      <c r="D1221" s="83" t="s">
        <v>2087</v>
      </c>
      <c r="E1221" s="83" t="b">
        <v>1</v>
      </c>
      <c r="F1221" s="83" t="b">
        <v>0</v>
      </c>
      <c r="G1221" s="83" t="b">
        <v>0</v>
      </c>
    </row>
    <row r="1222" spans="1:7" ht="15">
      <c r="A1222" s="84" t="s">
        <v>2361</v>
      </c>
      <c r="B1222" s="83">
        <v>5</v>
      </c>
      <c r="C1222" s="110">
        <v>0.0020018389170510446</v>
      </c>
      <c r="D1222" s="83" t="s">
        <v>2087</v>
      </c>
      <c r="E1222" s="83" t="b">
        <v>0</v>
      </c>
      <c r="F1222" s="83" t="b">
        <v>1</v>
      </c>
      <c r="G1222" s="83" t="b">
        <v>0</v>
      </c>
    </row>
    <row r="1223" spans="1:7" ht="15">
      <c r="A1223" s="84" t="s">
        <v>2265</v>
      </c>
      <c r="B1223" s="83">
        <v>5</v>
      </c>
      <c r="C1223" s="110">
        <v>0.0018897057842128646</v>
      </c>
      <c r="D1223" s="83" t="s">
        <v>2087</v>
      </c>
      <c r="E1223" s="83" t="b">
        <v>0</v>
      </c>
      <c r="F1223" s="83" t="b">
        <v>0</v>
      </c>
      <c r="G1223" s="83" t="b">
        <v>0</v>
      </c>
    </row>
    <row r="1224" spans="1:7" ht="15">
      <c r="A1224" s="84" t="s">
        <v>2362</v>
      </c>
      <c r="B1224" s="83">
        <v>5</v>
      </c>
      <c r="C1224" s="110">
        <v>0.0018897057842128646</v>
      </c>
      <c r="D1224" s="83" t="s">
        <v>2087</v>
      </c>
      <c r="E1224" s="83" t="b">
        <v>0</v>
      </c>
      <c r="F1224" s="83" t="b">
        <v>0</v>
      </c>
      <c r="G1224" s="83" t="b">
        <v>0</v>
      </c>
    </row>
    <row r="1225" spans="1:7" ht="15">
      <c r="A1225" s="84" t="s">
        <v>2304</v>
      </c>
      <c r="B1225" s="83">
        <v>5</v>
      </c>
      <c r="C1225" s="110">
        <v>0.0018027285691634514</v>
      </c>
      <c r="D1225" s="83" t="s">
        <v>2087</v>
      </c>
      <c r="E1225" s="83" t="b">
        <v>1</v>
      </c>
      <c r="F1225" s="83" t="b">
        <v>0</v>
      </c>
      <c r="G1225" s="83" t="b">
        <v>0</v>
      </c>
    </row>
    <row r="1226" spans="1:7" ht="15">
      <c r="A1226" s="84" t="s">
        <v>2368</v>
      </c>
      <c r="B1226" s="83">
        <v>5</v>
      </c>
      <c r="C1226" s="110">
        <v>0.0018897057842128646</v>
      </c>
      <c r="D1226" s="83" t="s">
        <v>2087</v>
      </c>
      <c r="E1226" s="83" t="b">
        <v>0</v>
      </c>
      <c r="F1226" s="83" t="b">
        <v>1</v>
      </c>
      <c r="G1226" s="83" t="b">
        <v>0</v>
      </c>
    </row>
    <row r="1227" spans="1:7" ht="15">
      <c r="A1227" s="84" t="s">
        <v>2370</v>
      </c>
      <c r="B1227" s="83">
        <v>5</v>
      </c>
      <c r="C1227" s="110">
        <v>0.0018027285691634514</v>
      </c>
      <c r="D1227" s="83" t="s">
        <v>2087</v>
      </c>
      <c r="E1227" s="83" t="b">
        <v>0</v>
      </c>
      <c r="F1227" s="83" t="b">
        <v>0</v>
      </c>
      <c r="G1227" s="83" t="b">
        <v>0</v>
      </c>
    </row>
    <row r="1228" spans="1:7" ht="15">
      <c r="A1228" s="84" t="s">
        <v>2278</v>
      </c>
      <c r="B1228" s="83">
        <v>5</v>
      </c>
      <c r="C1228" s="110">
        <v>0.0018027285691634514</v>
      </c>
      <c r="D1228" s="83" t="s">
        <v>2087</v>
      </c>
      <c r="E1228" s="83" t="b">
        <v>0</v>
      </c>
      <c r="F1228" s="83" t="b">
        <v>0</v>
      </c>
      <c r="G1228" s="83" t="b">
        <v>0</v>
      </c>
    </row>
    <row r="1229" spans="1:7" ht="15">
      <c r="A1229" s="84" t="s">
        <v>2372</v>
      </c>
      <c r="B1229" s="83">
        <v>5</v>
      </c>
      <c r="C1229" s="110">
        <v>0.0018897057842128646</v>
      </c>
      <c r="D1229" s="83" t="s">
        <v>2087</v>
      </c>
      <c r="E1229" s="83" t="b">
        <v>0</v>
      </c>
      <c r="F1229" s="83" t="b">
        <v>1</v>
      </c>
      <c r="G1229" s="83" t="b">
        <v>0</v>
      </c>
    </row>
    <row r="1230" spans="1:7" ht="15">
      <c r="A1230" s="84" t="s">
        <v>2373</v>
      </c>
      <c r="B1230" s="83">
        <v>5</v>
      </c>
      <c r="C1230" s="110">
        <v>0.0018027285691634514</v>
      </c>
      <c r="D1230" s="83" t="s">
        <v>2087</v>
      </c>
      <c r="E1230" s="83" t="b">
        <v>0</v>
      </c>
      <c r="F1230" s="83" t="b">
        <v>0</v>
      </c>
      <c r="G1230" s="83" t="b">
        <v>0</v>
      </c>
    </row>
    <row r="1231" spans="1:7" ht="15">
      <c r="A1231" s="84" t="s">
        <v>2375</v>
      </c>
      <c r="B1231" s="83">
        <v>5</v>
      </c>
      <c r="C1231" s="110">
        <v>0.0018027285691634514</v>
      </c>
      <c r="D1231" s="83" t="s">
        <v>2087</v>
      </c>
      <c r="E1231" s="83" t="b">
        <v>0</v>
      </c>
      <c r="F1231" s="83" t="b">
        <v>0</v>
      </c>
      <c r="G1231" s="83" t="b">
        <v>0</v>
      </c>
    </row>
    <row r="1232" spans="1:7" ht="15">
      <c r="A1232" s="84" t="s">
        <v>2376</v>
      </c>
      <c r="B1232" s="83">
        <v>5</v>
      </c>
      <c r="C1232" s="110">
        <v>0.0018027285691634514</v>
      </c>
      <c r="D1232" s="83" t="s">
        <v>2087</v>
      </c>
      <c r="E1232" s="83" t="b">
        <v>0</v>
      </c>
      <c r="F1232" s="83" t="b">
        <v>0</v>
      </c>
      <c r="G1232" s="83" t="b">
        <v>0</v>
      </c>
    </row>
    <row r="1233" spans="1:7" ht="15">
      <c r="A1233" s="84" t="s">
        <v>2377</v>
      </c>
      <c r="B1233" s="83">
        <v>5</v>
      </c>
      <c r="C1233" s="110">
        <v>0.0018027285691634514</v>
      </c>
      <c r="D1233" s="83" t="s">
        <v>2087</v>
      </c>
      <c r="E1233" s="83" t="b">
        <v>0</v>
      </c>
      <c r="F1233" s="83" t="b">
        <v>0</v>
      </c>
      <c r="G1233" s="83" t="b">
        <v>0</v>
      </c>
    </row>
    <row r="1234" spans="1:7" ht="15">
      <c r="A1234" s="84" t="s">
        <v>2280</v>
      </c>
      <c r="B1234" s="83">
        <v>5</v>
      </c>
      <c r="C1234" s="110">
        <v>0.0018027285691634514</v>
      </c>
      <c r="D1234" s="83" t="s">
        <v>2087</v>
      </c>
      <c r="E1234" s="83" t="b">
        <v>0</v>
      </c>
      <c r="F1234" s="83" t="b">
        <v>0</v>
      </c>
      <c r="G1234" s="83" t="b">
        <v>0</v>
      </c>
    </row>
    <row r="1235" spans="1:7" ht="15">
      <c r="A1235" s="84" t="s">
        <v>2378</v>
      </c>
      <c r="B1235" s="83">
        <v>5</v>
      </c>
      <c r="C1235" s="110">
        <v>0.0018897057842128646</v>
      </c>
      <c r="D1235" s="83" t="s">
        <v>2087</v>
      </c>
      <c r="E1235" s="83" t="b">
        <v>0</v>
      </c>
      <c r="F1235" s="83" t="b">
        <v>0</v>
      </c>
      <c r="G1235" s="83" t="b">
        <v>0</v>
      </c>
    </row>
    <row r="1236" spans="1:7" ht="15">
      <c r="A1236" s="84" t="s">
        <v>2234</v>
      </c>
      <c r="B1236" s="83">
        <v>5</v>
      </c>
      <c r="C1236" s="110">
        <v>0.0018027285691634514</v>
      </c>
      <c r="D1236" s="83" t="s">
        <v>2087</v>
      </c>
      <c r="E1236" s="83" t="b">
        <v>0</v>
      </c>
      <c r="F1236" s="83" t="b">
        <v>0</v>
      </c>
      <c r="G1236" s="83" t="b">
        <v>0</v>
      </c>
    </row>
    <row r="1237" spans="1:7" ht="15">
      <c r="A1237" s="84" t="s">
        <v>2383</v>
      </c>
      <c r="B1237" s="83">
        <v>5</v>
      </c>
      <c r="C1237" s="110">
        <v>0.0021598816912887764</v>
      </c>
      <c r="D1237" s="83" t="s">
        <v>2087</v>
      </c>
      <c r="E1237" s="83" t="b">
        <v>0</v>
      </c>
      <c r="F1237" s="83" t="b">
        <v>1</v>
      </c>
      <c r="G1237" s="83" t="b">
        <v>0</v>
      </c>
    </row>
    <row r="1238" spans="1:7" ht="15">
      <c r="A1238" s="84" t="s">
        <v>2237</v>
      </c>
      <c r="B1238" s="83">
        <v>5</v>
      </c>
      <c r="C1238" s="110">
        <v>0.0018027285691634514</v>
      </c>
      <c r="D1238" s="83" t="s">
        <v>2087</v>
      </c>
      <c r="E1238" s="83" t="b">
        <v>0</v>
      </c>
      <c r="F1238" s="83" t="b">
        <v>0</v>
      </c>
      <c r="G1238" s="83" t="b">
        <v>0</v>
      </c>
    </row>
    <row r="1239" spans="1:7" ht="15">
      <c r="A1239" s="84" t="s">
        <v>2387</v>
      </c>
      <c r="B1239" s="83">
        <v>5</v>
      </c>
      <c r="C1239" s="110">
        <v>0.0018027285691634514</v>
      </c>
      <c r="D1239" s="83" t="s">
        <v>2087</v>
      </c>
      <c r="E1239" s="83" t="b">
        <v>0</v>
      </c>
      <c r="F1239" s="83" t="b">
        <v>0</v>
      </c>
      <c r="G1239" s="83" t="b">
        <v>0</v>
      </c>
    </row>
    <row r="1240" spans="1:7" ht="15">
      <c r="A1240" s="84" t="s">
        <v>2321</v>
      </c>
      <c r="B1240" s="83">
        <v>5</v>
      </c>
      <c r="C1240" s="110">
        <v>0.0018027285691634514</v>
      </c>
      <c r="D1240" s="83" t="s">
        <v>2087</v>
      </c>
      <c r="E1240" s="83" t="b">
        <v>0</v>
      </c>
      <c r="F1240" s="83" t="b">
        <v>0</v>
      </c>
      <c r="G1240" s="83" t="b">
        <v>0</v>
      </c>
    </row>
    <row r="1241" spans="1:7" ht="15">
      <c r="A1241" s="84" t="s">
        <v>2389</v>
      </c>
      <c r="B1241" s="83">
        <v>5</v>
      </c>
      <c r="C1241" s="110">
        <v>0.0018027285691634514</v>
      </c>
      <c r="D1241" s="83" t="s">
        <v>2087</v>
      </c>
      <c r="E1241" s="83" t="b">
        <v>0</v>
      </c>
      <c r="F1241" s="83" t="b">
        <v>0</v>
      </c>
      <c r="G1241" s="83" t="b">
        <v>0</v>
      </c>
    </row>
    <row r="1242" spans="1:7" ht="15">
      <c r="A1242" s="84" t="s">
        <v>2391</v>
      </c>
      <c r="B1242" s="83">
        <v>5</v>
      </c>
      <c r="C1242" s="110">
        <v>0.0018027285691634514</v>
      </c>
      <c r="D1242" s="83" t="s">
        <v>2087</v>
      </c>
      <c r="E1242" s="83" t="b">
        <v>0</v>
      </c>
      <c r="F1242" s="83" t="b">
        <v>0</v>
      </c>
      <c r="G1242" s="83" t="b">
        <v>0</v>
      </c>
    </row>
    <row r="1243" spans="1:7" ht="15">
      <c r="A1243" s="84" t="s">
        <v>2268</v>
      </c>
      <c r="B1243" s="83">
        <v>5</v>
      </c>
      <c r="C1243" s="110">
        <v>0.0018027285691634514</v>
      </c>
      <c r="D1243" s="83" t="s">
        <v>2087</v>
      </c>
      <c r="E1243" s="83" t="b">
        <v>0</v>
      </c>
      <c r="F1243" s="83" t="b">
        <v>0</v>
      </c>
      <c r="G1243" s="83" t="b">
        <v>0</v>
      </c>
    </row>
    <row r="1244" spans="1:7" ht="15">
      <c r="A1244" s="84" t="s">
        <v>2398</v>
      </c>
      <c r="B1244" s="83">
        <v>5</v>
      </c>
      <c r="C1244" s="110">
        <v>0.0018027285691634514</v>
      </c>
      <c r="D1244" s="83" t="s">
        <v>2087</v>
      </c>
      <c r="E1244" s="83" t="b">
        <v>0</v>
      </c>
      <c r="F1244" s="83" t="b">
        <v>0</v>
      </c>
      <c r="G1244" s="83" t="b">
        <v>0</v>
      </c>
    </row>
    <row r="1245" spans="1:7" ht="15">
      <c r="A1245" s="84" t="s">
        <v>2399</v>
      </c>
      <c r="B1245" s="83">
        <v>5</v>
      </c>
      <c r="C1245" s="110">
        <v>0.0018027285691634514</v>
      </c>
      <c r="D1245" s="83" t="s">
        <v>2087</v>
      </c>
      <c r="E1245" s="83" t="b">
        <v>0</v>
      </c>
      <c r="F1245" s="83" t="b">
        <v>0</v>
      </c>
      <c r="G1245" s="83" t="b">
        <v>0</v>
      </c>
    </row>
    <row r="1246" spans="1:7" ht="15">
      <c r="A1246" s="84" t="s">
        <v>2403</v>
      </c>
      <c r="B1246" s="83">
        <v>5</v>
      </c>
      <c r="C1246" s="110">
        <v>0.0018897057842128646</v>
      </c>
      <c r="D1246" s="83" t="s">
        <v>2087</v>
      </c>
      <c r="E1246" s="83" t="b">
        <v>0</v>
      </c>
      <c r="F1246" s="83" t="b">
        <v>0</v>
      </c>
      <c r="G1246" s="83" t="b">
        <v>0</v>
      </c>
    </row>
    <row r="1247" spans="1:7" ht="15">
      <c r="A1247" s="84" t="s">
        <v>2404</v>
      </c>
      <c r="B1247" s="83">
        <v>5</v>
      </c>
      <c r="C1247" s="110">
        <v>0.0018027285691634514</v>
      </c>
      <c r="D1247" s="83" t="s">
        <v>2087</v>
      </c>
      <c r="E1247" s="83" t="b">
        <v>0</v>
      </c>
      <c r="F1247" s="83" t="b">
        <v>0</v>
      </c>
      <c r="G1247" s="83" t="b">
        <v>0</v>
      </c>
    </row>
    <row r="1248" spans="1:7" ht="15">
      <c r="A1248" s="84" t="s">
        <v>2327</v>
      </c>
      <c r="B1248" s="83">
        <v>5</v>
      </c>
      <c r="C1248" s="110">
        <v>0.0018027285691634514</v>
      </c>
      <c r="D1248" s="83" t="s">
        <v>2087</v>
      </c>
      <c r="E1248" s="83" t="b">
        <v>0</v>
      </c>
      <c r="F1248" s="83" t="b">
        <v>0</v>
      </c>
      <c r="G1248" s="83" t="b">
        <v>0</v>
      </c>
    </row>
    <row r="1249" spans="1:7" ht="15">
      <c r="A1249" s="84" t="s">
        <v>2271</v>
      </c>
      <c r="B1249" s="83">
        <v>5</v>
      </c>
      <c r="C1249" s="110">
        <v>0.0018897057842128646</v>
      </c>
      <c r="D1249" s="83" t="s">
        <v>2087</v>
      </c>
      <c r="E1249" s="83" t="b">
        <v>0</v>
      </c>
      <c r="F1249" s="83" t="b">
        <v>0</v>
      </c>
      <c r="G1249" s="83" t="b">
        <v>0</v>
      </c>
    </row>
    <row r="1250" spans="1:7" ht="15">
      <c r="A1250" s="84" t="s">
        <v>2194</v>
      </c>
      <c r="B1250" s="83">
        <v>5</v>
      </c>
      <c r="C1250" s="110">
        <v>0.0018027285691634514</v>
      </c>
      <c r="D1250" s="83" t="s">
        <v>2087</v>
      </c>
      <c r="E1250" s="83" t="b">
        <v>0</v>
      </c>
      <c r="F1250" s="83" t="b">
        <v>0</v>
      </c>
      <c r="G1250" s="83" t="b">
        <v>0</v>
      </c>
    </row>
    <row r="1251" spans="1:7" ht="15">
      <c r="A1251" s="84" t="s">
        <v>2240</v>
      </c>
      <c r="B1251" s="83">
        <v>5</v>
      </c>
      <c r="C1251" s="110">
        <v>0.0018027285691634514</v>
      </c>
      <c r="D1251" s="83" t="s">
        <v>2087</v>
      </c>
      <c r="E1251" s="83" t="b">
        <v>0</v>
      </c>
      <c r="F1251" s="83" t="b">
        <v>0</v>
      </c>
      <c r="G1251" s="83" t="b">
        <v>0</v>
      </c>
    </row>
    <row r="1252" spans="1:7" ht="15">
      <c r="A1252" s="84" t="s">
        <v>2416</v>
      </c>
      <c r="B1252" s="83">
        <v>5</v>
      </c>
      <c r="C1252" s="110">
        <v>0.0024300575983646888</v>
      </c>
      <c r="D1252" s="83" t="s">
        <v>2087</v>
      </c>
      <c r="E1252" s="83" t="b">
        <v>0</v>
      </c>
      <c r="F1252" s="83" t="b">
        <v>0</v>
      </c>
      <c r="G1252" s="83" t="b">
        <v>0</v>
      </c>
    </row>
    <row r="1253" spans="1:7" ht="15">
      <c r="A1253" s="84" t="s">
        <v>2326</v>
      </c>
      <c r="B1253" s="83">
        <v>5</v>
      </c>
      <c r="C1253" s="110">
        <v>0.0018027285691634514</v>
      </c>
      <c r="D1253" s="83" t="s">
        <v>2087</v>
      </c>
      <c r="E1253" s="83" t="b">
        <v>0</v>
      </c>
      <c r="F1253" s="83" t="b">
        <v>0</v>
      </c>
      <c r="G1253" s="83" t="b">
        <v>0</v>
      </c>
    </row>
    <row r="1254" spans="1:7" ht="15">
      <c r="A1254" s="84" t="s">
        <v>2345</v>
      </c>
      <c r="B1254" s="83">
        <v>5</v>
      </c>
      <c r="C1254" s="110">
        <v>0.0018897057842128646</v>
      </c>
      <c r="D1254" s="83" t="s">
        <v>2087</v>
      </c>
      <c r="E1254" s="83" t="b">
        <v>0</v>
      </c>
      <c r="F1254" s="83" t="b">
        <v>0</v>
      </c>
      <c r="G1254" s="83" t="b">
        <v>0</v>
      </c>
    </row>
    <row r="1255" spans="1:7" ht="15">
      <c r="A1255" s="84" t="s">
        <v>2417</v>
      </c>
      <c r="B1255" s="83">
        <v>5</v>
      </c>
      <c r="C1255" s="110">
        <v>0.0024300575983646888</v>
      </c>
      <c r="D1255" s="83" t="s">
        <v>2087</v>
      </c>
      <c r="E1255" s="83" t="b">
        <v>0</v>
      </c>
      <c r="F1255" s="83" t="b">
        <v>0</v>
      </c>
      <c r="G1255" s="83" t="b">
        <v>0</v>
      </c>
    </row>
    <row r="1256" spans="1:7" ht="15">
      <c r="A1256" s="84" t="s">
        <v>2286</v>
      </c>
      <c r="B1256" s="83">
        <v>5</v>
      </c>
      <c r="C1256" s="110">
        <v>0.0018027285691634514</v>
      </c>
      <c r="D1256" s="83" t="s">
        <v>2087</v>
      </c>
      <c r="E1256" s="83" t="b">
        <v>0</v>
      </c>
      <c r="F1256" s="83" t="b">
        <v>0</v>
      </c>
      <c r="G1256" s="83" t="b">
        <v>0</v>
      </c>
    </row>
    <row r="1257" spans="1:7" ht="15">
      <c r="A1257" s="84" t="s">
        <v>2342</v>
      </c>
      <c r="B1257" s="83">
        <v>5</v>
      </c>
      <c r="C1257" s="110">
        <v>0.0018027285691634514</v>
      </c>
      <c r="D1257" s="83" t="s">
        <v>2087</v>
      </c>
      <c r="E1257" s="83" t="b">
        <v>0</v>
      </c>
      <c r="F1257" s="83" t="b">
        <v>0</v>
      </c>
      <c r="G1257" s="83" t="b">
        <v>0</v>
      </c>
    </row>
    <row r="1258" spans="1:7" ht="15">
      <c r="A1258" s="84" t="s">
        <v>2418</v>
      </c>
      <c r="B1258" s="83">
        <v>5</v>
      </c>
      <c r="C1258" s="110">
        <v>0.0018897057842128646</v>
      </c>
      <c r="D1258" s="83" t="s">
        <v>2087</v>
      </c>
      <c r="E1258" s="83" t="b">
        <v>0</v>
      </c>
      <c r="F1258" s="83" t="b">
        <v>0</v>
      </c>
      <c r="G1258" s="83" t="b">
        <v>0</v>
      </c>
    </row>
    <row r="1259" spans="1:7" ht="15">
      <c r="A1259" s="84" t="s">
        <v>2349</v>
      </c>
      <c r="B1259" s="83">
        <v>5</v>
      </c>
      <c r="C1259" s="110">
        <v>0.0018897057842128646</v>
      </c>
      <c r="D1259" s="83" t="s">
        <v>2087</v>
      </c>
      <c r="E1259" s="83" t="b">
        <v>0</v>
      </c>
      <c r="F1259" s="83" t="b">
        <v>0</v>
      </c>
      <c r="G1259" s="83" t="b">
        <v>0</v>
      </c>
    </row>
    <row r="1260" spans="1:7" ht="15">
      <c r="A1260" s="84" t="s">
        <v>2419</v>
      </c>
      <c r="B1260" s="83">
        <v>5</v>
      </c>
      <c r="C1260" s="110">
        <v>0.0018897057842128646</v>
      </c>
      <c r="D1260" s="83" t="s">
        <v>2087</v>
      </c>
      <c r="E1260" s="83" t="b">
        <v>0</v>
      </c>
      <c r="F1260" s="83" t="b">
        <v>0</v>
      </c>
      <c r="G1260" s="83" t="b">
        <v>0</v>
      </c>
    </row>
    <row r="1261" spans="1:7" ht="15">
      <c r="A1261" s="84" t="s">
        <v>2420</v>
      </c>
      <c r="B1261" s="83">
        <v>5</v>
      </c>
      <c r="C1261" s="110">
        <v>0.0020018389170510446</v>
      </c>
      <c r="D1261" s="83" t="s">
        <v>2087</v>
      </c>
      <c r="E1261" s="83" t="b">
        <v>0</v>
      </c>
      <c r="F1261" s="83" t="b">
        <v>0</v>
      </c>
      <c r="G1261" s="83" t="b">
        <v>0</v>
      </c>
    </row>
    <row r="1262" spans="1:7" ht="15">
      <c r="A1262" s="84" t="s">
        <v>2421</v>
      </c>
      <c r="B1262" s="83">
        <v>5</v>
      </c>
      <c r="C1262" s="110">
        <v>0.0020018389170510446</v>
      </c>
      <c r="D1262" s="83" t="s">
        <v>2087</v>
      </c>
      <c r="E1262" s="83" t="b">
        <v>0</v>
      </c>
      <c r="F1262" s="83" t="b">
        <v>1</v>
      </c>
      <c r="G1262" s="83" t="b">
        <v>0</v>
      </c>
    </row>
    <row r="1263" spans="1:7" ht="15">
      <c r="A1263" s="84" t="s">
        <v>2351</v>
      </c>
      <c r="B1263" s="83">
        <v>5</v>
      </c>
      <c r="C1263" s="110">
        <v>0.0021598816912887764</v>
      </c>
      <c r="D1263" s="83" t="s">
        <v>2087</v>
      </c>
      <c r="E1263" s="83" t="b">
        <v>0</v>
      </c>
      <c r="F1263" s="83" t="b">
        <v>0</v>
      </c>
      <c r="G1263" s="83" t="b">
        <v>0</v>
      </c>
    </row>
    <row r="1264" spans="1:7" ht="15">
      <c r="A1264" s="84" t="s">
        <v>2338</v>
      </c>
      <c r="B1264" s="83">
        <v>5</v>
      </c>
      <c r="C1264" s="110">
        <v>0.0018897057842128646</v>
      </c>
      <c r="D1264" s="83" t="s">
        <v>2087</v>
      </c>
      <c r="E1264" s="83" t="b">
        <v>0</v>
      </c>
      <c r="F1264" s="83" t="b">
        <v>0</v>
      </c>
      <c r="G1264" s="83" t="b">
        <v>0</v>
      </c>
    </row>
    <row r="1265" spans="1:7" ht="15">
      <c r="A1265" s="84" t="s">
        <v>2424</v>
      </c>
      <c r="B1265" s="83">
        <v>5</v>
      </c>
      <c r="C1265" s="110">
        <v>0.0018027285691634514</v>
      </c>
      <c r="D1265" s="83" t="s">
        <v>2087</v>
      </c>
      <c r="E1265" s="83" t="b">
        <v>0</v>
      </c>
      <c r="F1265" s="83" t="b">
        <v>0</v>
      </c>
      <c r="G1265" s="83" t="b">
        <v>0</v>
      </c>
    </row>
    <row r="1266" spans="1:7" ht="15">
      <c r="A1266" s="84" t="s">
        <v>2423</v>
      </c>
      <c r="B1266" s="83">
        <v>5</v>
      </c>
      <c r="C1266" s="110">
        <v>0.0018897057842128646</v>
      </c>
      <c r="D1266" s="83" t="s">
        <v>2087</v>
      </c>
      <c r="E1266" s="83" t="b">
        <v>0</v>
      </c>
      <c r="F1266" s="83" t="b">
        <v>0</v>
      </c>
      <c r="G1266" s="83" t="b">
        <v>0</v>
      </c>
    </row>
    <row r="1267" spans="1:7" ht="15">
      <c r="A1267" s="84" t="s">
        <v>2425</v>
      </c>
      <c r="B1267" s="83">
        <v>5</v>
      </c>
      <c r="C1267" s="110">
        <v>0.0020018389170510446</v>
      </c>
      <c r="D1267" s="83" t="s">
        <v>2087</v>
      </c>
      <c r="E1267" s="83" t="b">
        <v>0</v>
      </c>
      <c r="F1267" s="83" t="b">
        <v>0</v>
      </c>
      <c r="G1267" s="83" t="b">
        <v>0</v>
      </c>
    </row>
    <row r="1268" spans="1:7" ht="15">
      <c r="A1268" s="84" t="s">
        <v>2426</v>
      </c>
      <c r="B1268" s="83">
        <v>5</v>
      </c>
      <c r="C1268" s="110">
        <v>0.0024300575983646888</v>
      </c>
      <c r="D1268" s="83" t="s">
        <v>2087</v>
      </c>
      <c r="E1268" s="83" t="b">
        <v>0</v>
      </c>
      <c r="F1268" s="83" t="b">
        <v>0</v>
      </c>
      <c r="G1268" s="83" t="b">
        <v>0</v>
      </c>
    </row>
    <row r="1269" spans="1:7" ht="15">
      <c r="A1269" s="84" t="s">
        <v>2427</v>
      </c>
      <c r="B1269" s="83">
        <v>5</v>
      </c>
      <c r="C1269" s="110">
        <v>0.0024300575983646888</v>
      </c>
      <c r="D1269" s="83" t="s">
        <v>2087</v>
      </c>
      <c r="E1269" s="83" t="b">
        <v>0</v>
      </c>
      <c r="F1269" s="83" t="b">
        <v>0</v>
      </c>
      <c r="G1269" s="83" t="b">
        <v>0</v>
      </c>
    </row>
    <row r="1270" spans="1:7" ht="15">
      <c r="A1270" s="84" t="s">
        <v>2289</v>
      </c>
      <c r="B1270" s="83">
        <v>5</v>
      </c>
      <c r="C1270" s="110">
        <v>0.0018027285691634514</v>
      </c>
      <c r="D1270" s="83" t="s">
        <v>2087</v>
      </c>
      <c r="E1270" s="83" t="b">
        <v>1</v>
      </c>
      <c r="F1270" s="83" t="b">
        <v>0</v>
      </c>
      <c r="G1270" s="83" t="b">
        <v>0</v>
      </c>
    </row>
    <row r="1271" spans="1:7" ht="15">
      <c r="A1271" s="84" t="s">
        <v>2428</v>
      </c>
      <c r="B1271" s="83">
        <v>4</v>
      </c>
      <c r="C1271" s="110">
        <v>0.0015117646273702919</v>
      </c>
      <c r="D1271" s="83" t="s">
        <v>2087</v>
      </c>
      <c r="E1271" s="83" t="b">
        <v>0</v>
      </c>
      <c r="F1271" s="83" t="b">
        <v>0</v>
      </c>
      <c r="G1271" s="83" t="b">
        <v>0</v>
      </c>
    </row>
    <row r="1272" spans="1:7" ht="15">
      <c r="A1272" s="84" t="s">
        <v>2429</v>
      </c>
      <c r="B1272" s="83">
        <v>4</v>
      </c>
      <c r="C1272" s="110">
        <v>0.0015117646273702919</v>
      </c>
      <c r="D1272" s="83" t="s">
        <v>2087</v>
      </c>
      <c r="E1272" s="83" t="b">
        <v>1</v>
      </c>
      <c r="F1272" s="83" t="b">
        <v>0</v>
      </c>
      <c r="G1272" s="83" t="b">
        <v>0</v>
      </c>
    </row>
    <row r="1273" spans="1:7" ht="15">
      <c r="A1273" s="84" t="s">
        <v>2264</v>
      </c>
      <c r="B1273" s="83">
        <v>4</v>
      </c>
      <c r="C1273" s="110">
        <v>0.0015117646273702919</v>
      </c>
      <c r="D1273" s="83" t="s">
        <v>2087</v>
      </c>
      <c r="E1273" s="83" t="b">
        <v>0</v>
      </c>
      <c r="F1273" s="83" t="b">
        <v>0</v>
      </c>
      <c r="G1273" s="83" t="b">
        <v>0</v>
      </c>
    </row>
    <row r="1274" spans="1:7" ht="15">
      <c r="A1274" s="84" t="s">
        <v>2298</v>
      </c>
      <c r="B1274" s="83">
        <v>4</v>
      </c>
      <c r="C1274" s="110">
        <v>0.001601471133640836</v>
      </c>
      <c r="D1274" s="83" t="s">
        <v>2087</v>
      </c>
      <c r="E1274" s="83" t="b">
        <v>0</v>
      </c>
      <c r="F1274" s="83" t="b">
        <v>0</v>
      </c>
      <c r="G1274" s="83" t="b">
        <v>0</v>
      </c>
    </row>
    <row r="1275" spans="1:7" ht="15">
      <c r="A1275" s="84" t="s">
        <v>2432</v>
      </c>
      <c r="B1275" s="83">
        <v>4</v>
      </c>
      <c r="C1275" s="110">
        <v>0.001601471133640836</v>
      </c>
      <c r="D1275" s="83" t="s">
        <v>2087</v>
      </c>
      <c r="E1275" s="83" t="b">
        <v>0</v>
      </c>
      <c r="F1275" s="83" t="b">
        <v>0</v>
      </c>
      <c r="G1275" s="83" t="b">
        <v>0</v>
      </c>
    </row>
    <row r="1276" spans="1:7" ht="15">
      <c r="A1276" s="84" t="s">
        <v>2433</v>
      </c>
      <c r="B1276" s="83">
        <v>4</v>
      </c>
      <c r="C1276" s="110">
        <v>0.001601471133640836</v>
      </c>
      <c r="D1276" s="83" t="s">
        <v>2087</v>
      </c>
      <c r="E1276" s="83" t="b">
        <v>0</v>
      </c>
      <c r="F1276" s="83" t="b">
        <v>0</v>
      </c>
      <c r="G1276" s="83" t="b">
        <v>0</v>
      </c>
    </row>
    <row r="1277" spans="1:7" ht="15">
      <c r="A1277" s="84" t="s">
        <v>2301</v>
      </c>
      <c r="B1277" s="83">
        <v>4</v>
      </c>
      <c r="C1277" s="110">
        <v>0.0015117646273702919</v>
      </c>
      <c r="D1277" s="83" t="s">
        <v>2087</v>
      </c>
      <c r="E1277" s="83" t="b">
        <v>0</v>
      </c>
      <c r="F1277" s="83" t="b">
        <v>0</v>
      </c>
      <c r="G1277" s="83" t="b">
        <v>0</v>
      </c>
    </row>
    <row r="1278" spans="1:7" ht="15">
      <c r="A1278" s="84" t="s">
        <v>2302</v>
      </c>
      <c r="B1278" s="83">
        <v>4</v>
      </c>
      <c r="C1278" s="110">
        <v>0.001601471133640836</v>
      </c>
      <c r="D1278" s="83" t="s">
        <v>2087</v>
      </c>
      <c r="E1278" s="83" t="b">
        <v>0</v>
      </c>
      <c r="F1278" s="83" t="b">
        <v>0</v>
      </c>
      <c r="G1278" s="83" t="b">
        <v>0</v>
      </c>
    </row>
    <row r="1279" spans="1:7" ht="15">
      <c r="A1279" s="84" t="s">
        <v>2246</v>
      </c>
      <c r="B1279" s="83">
        <v>4</v>
      </c>
      <c r="C1279" s="110">
        <v>0.0015117646273702919</v>
      </c>
      <c r="D1279" s="83" t="s">
        <v>2087</v>
      </c>
      <c r="E1279" s="83" t="b">
        <v>0</v>
      </c>
      <c r="F1279" s="83" t="b">
        <v>0</v>
      </c>
      <c r="G1279" s="83" t="b">
        <v>0</v>
      </c>
    </row>
    <row r="1280" spans="1:7" ht="15">
      <c r="A1280" s="84" t="s">
        <v>2435</v>
      </c>
      <c r="B1280" s="83">
        <v>4</v>
      </c>
      <c r="C1280" s="110">
        <v>0.0015117646273702919</v>
      </c>
      <c r="D1280" s="83" t="s">
        <v>2087</v>
      </c>
      <c r="E1280" s="83" t="b">
        <v>0</v>
      </c>
      <c r="F1280" s="83" t="b">
        <v>0</v>
      </c>
      <c r="G1280" s="83" t="b">
        <v>0</v>
      </c>
    </row>
    <row r="1281" spans="1:7" ht="15">
      <c r="A1281" s="84" t="s">
        <v>2436</v>
      </c>
      <c r="B1281" s="83">
        <v>4</v>
      </c>
      <c r="C1281" s="110">
        <v>0.0015117646273702919</v>
      </c>
      <c r="D1281" s="83" t="s">
        <v>2087</v>
      </c>
      <c r="E1281" s="83" t="b">
        <v>0</v>
      </c>
      <c r="F1281" s="83" t="b">
        <v>0</v>
      </c>
      <c r="G1281" s="83" t="b">
        <v>0</v>
      </c>
    </row>
    <row r="1282" spans="1:7" ht="15">
      <c r="A1282" s="84" t="s">
        <v>2310</v>
      </c>
      <c r="B1282" s="83">
        <v>4</v>
      </c>
      <c r="C1282" s="110">
        <v>0.0015117646273702919</v>
      </c>
      <c r="D1282" s="83" t="s">
        <v>2087</v>
      </c>
      <c r="E1282" s="83" t="b">
        <v>0</v>
      </c>
      <c r="F1282" s="83" t="b">
        <v>0</v>
      </c>
      <c r="G1282" s="83" t="b">
        <v>0</v>
      </c>
    </row>
    <row r="1283" spans="1:7" ht="15">
      <c r="A1283" s="84" t="s">
        <v>2443</v>
      </c>
      <c r="B1283" s="83">
        <v>4</v>
      </c>
      <c r="C1283" s="110">
        <v>0.0015117646273702919</v>
      </c>
      <c r="D1283" s="83" t="s">
        <v>2087</v>
      </c>
      <c r="E1283" s="83" t="b">
        <v>0</v>
      </c>
      <c r="F1283" s="83" t="b">
        <v>0</v>
      </c>
      <c r="G1283" s="83" t="b">
        <v>0</v>
      </c>
    </row>
    <row r="1284" spans="1:7" ht="15">
      <c r="A1284" s="84" t="s">
        <v>2367</v>
      </c>
      <c r="B1284" s="83">
        <v>4</v>
      </c>
      <c r="C1284" s="110">
        <v>0.0015117646273702919</v>
      </c>
      <c r="D1284" s="83" t="s">
        <v>2087</v>
      </c>
      <c r="E1284" s="83" t="b">
        <v>0</v>
      </c>
      <c r="F1284" s="83" t="b">
        <v>0</v>
      </c>
      <c r="G1284" s="83" t="b">
        <v>0</v>
      </c>
    </row>
    <row r="1285" spans="1:7" ht="15">
      <c r="A1285" s="84" t="s">
        <v>2445</v>
      </c>
      <c r="B1285" s="83">
        <v>4</v>
      </c>
      <c r="C1285" s="110">
        <v>0.0015117646273702919</v>
      </c>
      <c r="D1285" s="83" t="s">
        <v>2087</v>
      </c>
      <c r="E1285" s="83" t="b">
        <v>0</v>
      </c>
      <c r="F1285" s="83" t="b">
        <v>0</v>
      </c>
      <c r="G1285" s="83" t="b">
        <v>0</v>
      </c>
    </row>
    <row r="1286" spans="1:7" ht="15">
      <c r="A1286" s="84" t="s">
        <v>2369</v>
      </c>
      <c r="B1286" s="83">
        <v>4</v>
      </c>
      <c r="C1286" s="110">
        <v>0.001601471133640836</v>
      </c>
      <c r="D1286" s="83" t="s">
        <v>2087</v>
      </c>
      <c r="E1286" s="83" t="b">
        <v>0</v>
      </c>
      <c r="F1286" s="83" t="b">
        <v>0</v>
      </c>
      <c r="G1286" s="83" t="b">
        <v>0</v>
      </c>
    </row>
    <row r="1287" spans="1:7" ht="15">
      <c r="A1287" s="84" t="s">
        <v>2312</v>
      </c>
      <c r="B1287" s="83">
        <v>4</v>
      </c>
      <c r="C1287" s="110">
        <v>0.0015117646273702919</v>
      </c>
      <c r="D1287" s="83" t="s">
        <v>2087</v>
      </c>
      <c r="E1287" s="83" t="b">
        <v>0</v>
      </c>
      <c r="F1287" s="83" t="b">
        <v>0</v>
      </c>
      <c r="G1287" s="83" t="b">
        <v>0</v>
      </c>
    </row>
    <row r="1288" spans="1:7" ht="15">
      <c r="A1288" s="84" t="s">
        <v>2371</v>
      </c>
      <c r="B1288" s="83">
        <v>4</v>
      </c>
      <c r="C1288" s="110">
        <v>0.0015117646273702919</v>
      </c>
      <c r="D1288" s="83" t="s">
        <v>2087</v>
      </c>
      <c r="E1288" s="83" t="b">
        <v>0</v>
      </c>
      <c r="F1288" s="83" t="b">
        <v>0</v>
      </c>
      <c r="G1288" s="83" t="b">
        <v>0</v>
      </c>
    </row>
    <row r="1289" spans="1:7" ht="15">
      <c r="A1289" s="84" t="s">
        <v>2248</v>
      </c>
      <c r="B1289" s="83">
        <v>4</v>
      </c>
      <c r="C1289" s="110">
        <v>0.0015117646273702919</v>
      </c>
      <c r="D1289" s="83" t="s">
        <v>2087</v>
      </c>
      <c r="E1289" s="83" t="b">
        <v>0</v>
      </c>
      <c r="F1289" s="83" t="b">
        <v>0</v>
      </c>
      <c r="G1289" s="83" t="b">
        <v>0</v>
      </c>
    </row>
    <row r="1290" spans="1:7" ht="15">
      <c r="A1290" s="84" t="s">
        <v>2307</v>
      </c>
      <c r="B1290" s="83">
        <v>4</v>
      </c>
      <c r="C1290" s="110">
        <v>0.001601471133640836</v>
      </c>
      <c r="D1290" s="83" t="s">
        <v>2087</v>
      </c>
      <c r="E1290" s="83" t="b">
        <v>0</v>
      </c>
      <c r="F1290" s="83" t="b">
        <v>0</v>
      </c>
      <c r="G1290" s="83" t="b">
        <v>0</v>
      </c>
    </row>
    <row r="1291" spans="1:7" ht="15">
      <c r="A1291" s="84" t="s">
        <v>2315</v>
      </c>
      <c r="B1291" s="83">
        <v>4</v>
      </c>
      <c r="C1291" s="110">
        <v>0.0015117646273702919</v>
      </c>
      <c r="D1291" s="83" t="s">
        <v>2087</v>
      </c>
      <c r="E1291" s="83" t="b">
        <v>0</v>
      </c>
      <c r="F1291" s="83" t="b">
        <v>0</v>
      </c>
      <c r="G1291" s="83" t="b">
        <v>0</v>
      </c>
    </row>
    <row r="1292" spans="1:7" ht="15">
      <c r="A1292" s="84" t="s">
        <v>2316</v>
      </c>
      <c r="B1292" s="83">
        <v>4</v>
      </c>
      <c r="C1292" s="110">
        <v>0.0015117646273702919</v>
      </c>
      <c r="D1292" s="83" t="s">
        <v>2087</v>
      </c>
      <c r="E1292" s="83" t="b">
        <v>0</v>
      </c>
      <c r="F1292" s="83" t="b">
        <v>0</v>
      </c>
      <c r="G1292" s="83" t="b">
        <v>0</v>
      </c>
    </row>
    <row r="1293" spans="1:7" ht="15">
      <c r="A1293" s="84" t="s">
        <v>2451</v>
      </c>
      <c r="B1293" s="83">
        <v>4</v>
      </c>
      <c r="C1293" s="110">
        <v>0.0015117646273702919</v>
      </c>
      <c r="D1293" s="83" t="s">
        <v>2087</v>
      </c>
      <c r="E1293" s="83" t="b">
        <v>1</v>
      </c>
      <c r="F1293" s="83" t="b">
        <v>0</v>
      </c>
      <c r="G1293" s="83" t="b">
        <v>0</v>
      </c>
    </row>
    <row r="1294" spans="1:7" ht="15">
      <c r="A1294" s="84" t="s">
        <v>2452</v>
      </c>
      <c r="B1294" s="83">
        <v>4</v>
      </c>
      <c r="C1294" s="110">
        <v>0.0015117646273702919</v>
      </c>
      <c r="D1294" s="83" t="s">
        <v>2087</v>
      </c>
      <c r="E1294" s="83" t="b">
        <v>0</v>
      </c>
      <c r="F1294" s="83" t="b">
        <v>1</v>
      </c>
      <c r="G1294" s="83" t="b">
        <v>0</v>
      </c>
    </row>
    <row r="1295" spans="1:7" ht="15">
      <c r="A1295" s="84" t="s">
        <v>2453</v>
      </c>
      <c r="B1295" s="83">
        <v>4</v>
      </c>
      <c r="C1295" s="110">
        <v>0.001601471133640836</v>
      </c>
      <c r="D1295" s="83" t="s">
        <v>2087</v>
      </c>
      <c r="E1295" s="83" t="b">
        <v>0</v>
      </c>
      <c r="F1295" s="83" t="b">
        <v>0</v>
      </c>
      <c r="G1295" s="83" t="b">
        <v>0</v>
      </c>
    </row>
    <row r="1296" spans="1:7" ht="15">
      <c r="A1296" s="84" t="s">
        <v>2454</v>
      </c>
      <c r="B1296" s="83">
        <v>4</v>
      </c>
      <c r="C1296" s="110">
        <v>0.0015117646273702919</v>
      </c>
      <c r="D1296" s="83" t="s">
        <v>2087</v>
      </c>
      <c r="E1296" s="83" t="b">
        <v>0</v>
      </c>
      <c r="F1296" s="83" t="b">
        <v>0</v>
      </c>
      <c r="G1296" s="83" t="b">
        <v>0</v>
      </c>
    </row>
    <row r="1297" spans="1:7" ht="15">
      <c r="A1297" s="84" t="s">
        <v>2379</v>
      </c>
      <c r="B1297" s="83">
        <v>4</v>
      </c>
      <c r="C1297" s="110">
        <v>0.0015117646273702919</v>
      </c>
      <c r="D1297" s="83" t="s">
        <v>2087</v>
      </c>
      <c r="E1297" s="83" t="b">
        <v>0</v>
      </c>
      <c r="F1297" s="83" t="b">
        <v>0</v>
      </c>
      <c r="G1297" s="83" t="b">
        <v>0</v>
      </c>
    </row>
    <row r="1298" spans="1:7" ht="15">
      <c r="A1298" s="84" t="s">
        <v>2380</v>
      </c>
      <c r="B1298" s="83">
        <v>4</v>
      </c>
      <c r="C1298" s="110">
        <v>0.0015117646273702919</v>
      </c>
      <c r="D1298" s="83" t="s">
        <v>2087</v>
      </c>
      <c r="E1298" s="83" t="b">
        <v>0</v>
      </c>
      <c r="F1298" s="83" t="b">
        <v>0</v>
      </c>
      <c r="G1298" s="83" t="b">
        <v>0</v>
      </c>
    </row>
    <row r="1299" spans="1:7" ht="15">
      <c r="A1299" s="84" t="s">
        <v>2456</v>
      </c>
      <c r="B1299" s="83">
        <v>4</v>
      </c>
      <c r="C1299" s="110">
        <v>0.0015117646273702919</v>
      </c>
      <c r="D1299" s="83" t="s">
        <v>2087</v>
      </c>
      <c r="E1299" s="83" t="b">
        <v>1</v>
      </c>
      <c r="F1299" s="83" t="b">
        <v>0</v>
      </c>
      <c r="G1299" s="83" t="b">
        <v>0</v>
      </c>
    </row>
    <row r="1300" spans="1:7" ht="15">
      <c r="A1300" s="84" t="s">
        <v>2458</v>
      </c>
      <c r="B1300" s="83">
        <v>4</v>
      </c>
      <c r="C1300" s="110">
        <v>0.0017279053530310214</v>
      </c>
      <c r="D1300" s="83" t="s">
        <v>2087</v>
      </c>
      <c r="E1300" s="83" t="b">
        <v>1</v>
      </c>
      <c r="F1300" s="83" t="b">
        <v>0</v>
      </c>
      <c r="G1300" s="83" t="b">
        <v>0</v>
      </c>
    </row>
    <row r="1301" spans="1:7" ht="15">
      <c r="A1301" s="84" t="s">
        <v>2281</v>
      </c>
      <c r="B1301" s="83">
        <v>4</v>
      </c>
      <c r="C1301" s="110">
        <v>0.0015117646273702919</v>
      </c>
      <c r="D1301" s="83" t="s">
        <v>2087</v>
      </c>
      <c r="E1301" s="83" t="b">
        <v>0</v>
      </c>
      <c r="F1301" s="83" t="b">
        <v>0</v>
      </c>
      <c r="G1301" s="83" t="b">
        <v>0</v>
      </c>
    </row>
    <row r="1302" spans="1:7" ht="15">
      <c r="A1302" s="84" t="s">
        <v>2460</v>
      </c>
      <c r="B1302" s="83">
        <v>4</v>
      </c>
      <c r="C1302" s="110">
        <v>0.001601471133640836</v>
      </c>
      <c r="D1302" s="83" t="s">
        <v>2087</v>
      </c>
      <c r="E1302" s="83" t="b">
        <v>0</v>
      </c>
      <c r="F1302" s="83" t="b">
        <v>0</v>
      </c>
      <c r="G1302" s="83" t="b">
        <v>0</v>
      </c>
    </row>
    <row r="1303" spans="1:7" ht="15">
      <c r="A1303" s="84" t="s">
        <v>2463</v>
      </c>
      <c r="B1303" s="83">
        <v>4</v>
      </c>
      <c r="C1303" s="110">
        <v>0.0015117646273702919</v>
      </c>
      <c r="D1303" s="83" t="s">
        <v>2087</v>
      </c>
      <c r="E1303" s="83" t="b">
        <v>1</v>
      </c>
      <c r="F1303" s="83" t="b">
        <v>0</v>
      </c>
      <c r="G1303" s="83" t="b">
        <v>0</v>
      </c>
    </row>
    <row r="1304" spans="1:7" ht="15">
      <c r="A1304" s="84" t="s">
        <v>2382</v>
      </c>
      <c r="B1304" s="83">
        <v>4</v>
      </c>
      <c r="C1304" s="110">
        <v>0.0015117646273702919</v>
      </c>
      <c r="D1304" s="83" t="s">
        <v>2087</v>
      </c>
      <c r="E1304" s="83" t="b">
        <v>0</v>
      </c>
      <c r="F1304" s="83" t="b">
        <v>1</v>
      </c>
      <c r="G1304" s="83" t="b">
        <v>0</v>
      </c>
    </row>
    <row r="1305" spans="1:7" ht="15">
      <c r="A1305" s="84" t="s">
        <v>2385</v>
      </c>
      <c r="B1305" s="83">
        <v>4</v>
      </c>
      <c r="C1305" s="110">
        <v>0.0015117646273702919</v>
      </c>
      <c r="D1305" s="83" t="s">
        <v>2087</v>
      </c>
      <c r="E1305" s="83" t="b">
        <v>0</v>
      </c>
      <c r="F1305" s="83" t="b">
        <v>0</v>
      </c>
      <c r="G1305" s="83" t="b">
        <v>0</v>
      </c>
    </row>
    <row r="1306" spans="1:7" ht="15">
      <c r="A1306" s="84" t="s">
        <v>2386</v>
      </c>
      <c r="B1306" s="83">
        <v>4</v>
      </c>
      <c r="C1306" s="110">
        <v>0.0015117646273702919</v>
      </c>
      <c r="D1306" s="83" t="s">
        <v>2087</v>
      </c>
      <c r="E1306" s="83" t="b">
        <v>0</v>
      </c>
      <c r="F1306" s="83" t="b">
        <v>0</v>
      </c>
      <c r="G1306" s="83" t="b">
        <v>0</v>
      </c>
    </row>
    <row r="1307" spans="1:7" ht="15">
      <c r="A1307" s="84" t="s">
        <v>2466</v>
      </c>
      <c r="B1307" s="83">
        <v>4</v>
      </c>
      <c r="C1307" s="110">
        <v>0.0015117646273702919</v>
      </c>
      <c r="D1307" s="83" t="s">
        <v>2087</v>
      </c>
      <c r="E1307" s="83" t="b">
        <v>0</v>
      </c>
      <c r="F1307" s="83" t="b">
        <v>0</v>
      </c>
      <c r="G1307" s="83" t="b">
        <v>0</v>
      </c>
    </row>
    <row r="1308" spans="1:7" ht="15">
      <c r="A1308" s="84" t="s">
        <v>2467</v>
      </c>
      <c r="B1308" s="83">
        <v>4</v>
      </c>
      <c r="C1308" s="110">
        <v>0.001601471133640836</v>
      </c>
      <c r="D1308" s="83" t="s">
        <v>2087</v>
      </c>
      <c r="E1308" s="83" t="b">
        <v>0</v>
      </c>
      <c r="F1308" s="83" t="b">
        <v>0</v>
      </c>
      <c r="G1308" s="83" t="b">
        <v>0</v>
      </c>
    </row>
    <row r="1309" spans="1:7" ht="15">
      <c r="A1309" s="84" t="s">
        <v>2270</v>
      </c>
      <c r="B1309" s="83">
        <v>4</v>
      </c>
      <c r="C1309" s="110">
        <v>0.001601471133640836</v>
      </c>
      <c r="D1309" s="83" t="s">
        <v>2087</v>
      </c>
      <c r="E1309" s="83" t="b">
        <v>0</v>
      </c>
      <c r="F1309" s="83" t="b">
        <v>0</v>
      </c>
      <c r="G1309" s="83" t="b">
        <v>0</v>
      </c>
    </row>
    <row r="1310" spans="1:7" ht="15">
      <c r="A1310" s="84" t="s">
        <v>2320</v>
      </c>
      <c r="B1310" s="83">
        <v>4</v>
      </c>
      <c r="C1310" s="110">
        <v>0.0015117646273702919</v>
      </c>
      <c r="D1310" s="83" t="s">
        <v>2087</v>
      </c>
      <c r="E1310" s="83" t="b">
        <v>0</v>
      </c>
      <c r="F1310" s="83" t="b">
        <v>0</v>
      </c>
      <c r="G1310" s="83" t="b">
        <v>0</v>
      </c>
    </row>
    <row r="1311" spans="1:7" ht="15">
      <c r="A1311" s="84" t="s">
        <v>2469</v>
      </c>
      <c r="B1311" s="83">
        <v>4</v>
      </c>
      <c r="C1311" s="110">
        <v>0.0015117646273702919</v>
      </c>
      <c r="D1311" s="83" t="s">
        <v>2087</v>
      </c>
      <c r="E1311" s="83" t="b">
        <v>0</v>
      </c>
      <c r="F1311" s="83" t="b">
        <v>1</v>
      </c>
      <c r="G1311" s="83" t="b">
        <v>0</v>
      </c>
    </row>
    <row r="1312" spans="1:7" ht="15">
      <c r="A1312" s="84" t="s">
        <v>2470</v>
      </c>
      <c r="B1312" s="83">
        <v>4</v>
      </c>
      <c r="C1312" s="110">
        <v>0.001601471133640836</v>
      </c>
      <c r="D1312" s="83" t="s">
        <v>2087</v>
      </c>
      <c r="E1312" s="83" t="b">
        <v>0</v>
      </c>
      <c r="F1312" s="83" t="b">
        <v>0</v>
      </c>
      <c r="G1312" s="83" t="b">
        <v>0</v>
      </c>
    </row>
    <row r="1313" spans="1:7" ht="15">
      <c r="A1313" s="84" t="s">
        <v>2322</v>
      </c>
      <c r="B1313" s="83">
        <v>4</v>
      </c>
      <c r="C1313" s="110">
        <v>0.0015117646273702919</v>
      </c>
      <c r="D1313" s="83" t="s">
        <v>2087</v>
      </c>
      <c r="E1313" s="83" t="b">
        <v>0</v>
      </c>
      <c r="F1313" s="83" t="b">
        <v>0</v>
      </c>
      <c r="G1313" s="83" t="b">
        <v>0</v>
      </c>
    </row>
    <row r="1314" spans="1:7" ht="15">
      <c r="A1314" s="84" t="s">
        <v>2473</v>
      </c>
      <c r="B1314" s="83">
        <v>4</v>
      </c>
      <c r="C1314" s="110">
        <v>0.0015117646273702919</v>
      </c>
      <c r="D1314" s="83" t="s">
        <v>2087</v>
      </c>
      <c r="E1314" s="83" t="b">
        <v>1</v>
      </c>
      <c r="F1314" s="83" t="b">
        <v>0</v>
      </c>
      <c r="G1314" s="83" t="b">
        <v>0</v>
      </c>
    </row>
    <row r="1315" spans="1:7" ht="15">
      <c r="A1315" s="84" t="s">
        <v>2475</v>
      </c>
      <c r="B1315" s="83">
        <v>4</v>
      </c>
      <c r="C1315" s="110">
        <v>0.001601471133640836</v>
      </c>
      <c r="D1315" s="83" t="s">
        <v>2087</v>
      </c>
      <c r="E1315" s="83" t="b">
        <v>0</v>
      </c>
      <c r="F1315" s="83" t="b">
        <v>1</v>
      </c>
      <c r="G1315" s="83" t="b">
        <v>0</v>
      </c>
    </row>
    <row r="1316" spans="1:7" ht="15">
      <c r="A1316" s="84" t="s">
        <v>2476</v>
      </c>
      <c r="B1316" s="83">
        <v>4</v>
      </c>
      <c r="C1316" s="110">
        <v>0.0015117646273702919</v>
      </c>
      <c r="D1316" s="83" t="s">
        <v>2087</v>
      </c>
      <c r="E1316" s="83" t="b">
        <v>0</v>
      </c>
      <c r="F1316" s="83" t="b">
        <v>0</v>
      </c>
      <c r="G1316" s="83" t="b">
        <v>0</v>
      </c>
    </row>
    <row r="1317" spans="1:7" ht="15">
      <c r="A1317" s="84" t="s">
        <v>2477</v>
      </c>
      <c r="B1317" s="83">
        <v>4</v>
      </c>
      <c r="C1317" s="110">
        <v>0.0015117646273702919</v>
      </c>
      <c r="D1317" s="83" t="s">
        <v>2087</v>
      </c>
      <c r="E1317" s="83" t="b">
        <v>0</v>
      </c>
      <c r="F1317" s="83" t="b">
        <v>1</v>
      </c>
      <c r="G1317" s="83" t="b">
        <v>0</v>
      </c>
    </row>
    <row r="1318" spans="1:7" ht="15">
      <c r="A1318" s="84" t="s">
        <v>2489</v>
      </c>
      <c r="B1318" s="83">
        <v>4</v>
      </c>
      <c r="C1318" s="110">
        <v>0.0015117646273702919</v>
      </c>
      <c r="D1318" s="83" t="s">
        <v>2087</v>
      </c>
      <c r="E1318" s="83" t="b">
        <v>0</v>
      </c>
      <c r="F1318" s="83" t="b">
        <v>0</v>
      </c>
      <c r="G1318" s="83" t="b">
        <v>0</v>
      </c>
    </row>
    <row r="1319" spans="1:7" ht="15">
      <c r="A1319" s="84" t="s">
        <v>2400</v>
      </c>
      <c r="B1319" s="83">
        <v>4</v>
      </c>
      <c r="C1319" s="110">
        <v>0.0015117646273702919</v>
      </c>
      <c r="D1319" s="83" t="s">
        <v>2087</v>
      </c>
      <c r="E1319" s="83" t="b">
        <v>0</v>
      </c>
      <c r="F1319" s="83" t="b">
        <v>0</v>
      </c>
      <c r="G1319" s="83" t="b">
        <v>0</v>
      </c>
    </row>
    <row r="1320" spans="1:7" ht="15">
      <c r="A1320" s="84" t="s">
        <v>2490</v>
      </c>
      <c r="B1320" s="83">
        <v>4</v>
      </c>
      <c r="C1320" s="110">
        <v>0.0015117646273702919</v>
      </c>
      <c r="D1320" s="83" t="s">
        <v>2087</v>
      </c>
      <c r="E1320" s="83" t="b">
        <v>0</v>
      </c>
      <c r="F1320" s="83" t="b">
        <v>0</v>
      </c>
      <c r="G1320" s="83" t="b">
        <v>0</v>
      </c>
    </row>
    <row r="1321" spans="1:7" ht="15">
      <c r="A1321" s="84" t="s">
        <v>2332</v>
      </c>
      <c r="B1321" s="83">
        <v>4</v>
      </c>
      <c r="C1321" s="110">
        <v>0.0015117646273702919</v>
      </c>
      <c r="D1321" s="83" t="s">
        <v>2087</v>
      </c>
      <c r="E1321" s="83" t="b">
        <v>0</v>
      </c>
      <c r="F1321" s="83" t="b">
        <v>0</v>
      </c>
      <c r="G1321" s="83" t="b">
        <v>0</v>
      </c>
    </row>
    <row r="1322" spans="1:7" ht="15">
      <c r="A1322" s="84" t="s">
        <v>2491</v>
      </c>
      <c r="B1322" s="83">
        <v>4</v>
      </c>
      <c r="C1322" s="110">
        <v>0.0015117646273702919</v>
      </c>
      <c r="D1322" s="83" t="s">
        <v>2087</v>
      </c>
      <c r="E1322" s="83" t="b">
        <v>0</v>
      </c>
      <c r="F1322" s="83" t="b">
        <v>0</v>
      </c>
      <c r="G1322" s="83" t="b">
        <v>0</v>
      </c>
    </row>
    <row r="1323" spans="1:7" ht="15">
      <c r="A1323" s="84" t="s">
        <v>2492</v>
      </c>
      <c r="B1323" s="83">
        <v>4</v>
      </c>
      <c r="C1323" s="110">
        <v>0.0015117646273702919</v>
      </c>
      <c r="D1323" s="83" t="s">
        <v>2087</v>
      </c>
      <c r="E1323" s="83" t="b">
        <v>0</v>
      </c>
      <c r="F1323" s="83" t="b">
        <v>0</v>
      </c>
      <c r="G1323" s="83" t="b">
        <v>0</v>
      </c>
    </row>
    <row r="1324" spans="1:7" ht="15">
      <c r="A1324" s="84" t="s">
        <v>2401</v>
      </c>
      <c r="B1324" s="83">
        <v>4</v>
      </c>
      <c r="C1324" s="110">
        <v>0.0015117646273702919</v>
      </c>
      <c r="D1324" s="83" t="s">
        <v>2087</v>
      </c>
      <c r="E1324" s="83" t="b">
        <v>0</v>
      </c>
      <c r="F1324" s="83" t="b">
        <v>0</v>
      </c>
      <c r="G1324" s="83" t="b">
        <v>0</v>
      </c>
    </row>
    <row r="1325" spans="1:7" ht="15">
      <c r="A1325" s="84" t="s">
        <v>2397</v>
      </c>
      <c r="B1325" s="83">
        <v>4</v>
      </c>
      <c r="C1325" s="110">
        <v>0.0015117646273702919</v>
      </c>
      <c r="D1325" s="83" t="s">
        <v>2087</v>
      </c>
      <c r="E1325" s="83" t="b">
        <v>0</v>
      </c>
      <c r="F1325" s="83" t="b">
        <v>0</v>
      </c>
      <c r="G1325" s="83" t="b">
        <v>0</v>
      </c>
    </row>
    <row r="1326" spans="1:7" ht="15">
      <c r="A1326" s="84" t="s">
        <v>2402</v>
      </c>
      <c r="B1326" s="83">
        <v>4</v>
      </c>
      <c r="C1326" s="110">
        <v>0.0015117646273702919</v>
      </c>
      <c r="D1326" s="83" t="s">
        <v>2087</v>
      </c>
      <c r="E1326" s="83" t="b">
        <v>0</v>
      </c>
      <c r="F1326" s="83" t="b">
        <v>0</v>
      </c>
      <c r="G1326" s="83" t="b">
        <v>0</v>
      </c>
    </row>
    <row r="1327" spans="1:7" ht="15">
      <c r="A1327" s="84" t="s">
        <v>2333</v>
      </c>
      <c r="B1327" s="83">
        <v>4</v>
      </c>
      <c r="C1327" s="110">
        <v>0.0015117646273702919</v>
      </c>
      <c r="D1327" s="83" t="s">
        <v>2087</v>
      </c>
      <c r="E1327" s="83" t="b">
        <v>0</v>
      </c>
      <c r="F1327" s="83" t="b">
        <v>0</v>
      </c>
      <c r="G1327" s="83" t="b">
        <v>0</v>
      </c>
    </row>
    <row r="1328" spans="1:7" ht="15">
      <c r="A1328" s="84" t="s">
        <v>2405</v>
      </c>
      <c r="B1328" s="83">
        <v>4</v>
      </c>
      <c r="C1328" s="110">
        <v>0.0015117646273702919</v>
      </c>
      <c r="D1328" s="83" t="s">
        <v>2087</v>
      </c>
      <c r="E1328" s="83" t="b">
        <v>0</v>
      </c>
      <c r="F1328" s="83" t="b">
        <v>1</v>
      </c>
      <c r="G1328" s="83" t="b">
        <v>0</v>
      </c>
    </row>
    <row r="1329" spans="1:7" ht="15">
      <c r="A1329" s="84" t="s">
        <v>2503</v>
      </c>
      <c r="B1329" s="83">
        <v>4</v>
      </c>
      <c r="C1329" s="110">
        <v>0.0017279053530310214</v>
      </c>
      <c r="D1329" s="83" t="s">
        <v>2087</v>
      </c>
      <c r="E1329" s="83" t="b">
        <v>0</v>
      </c>
      <c r="F1329" s="83" t="b">
        <v>0</v>
      </c>
      <c r="G1329" s="83" t="b">
        <v>0</v>
      </c>
    </row>
    <row r="1330" spans="1:7" ht="15">
      <c r="A1330" s="84" t="s">
        <v>2339</v>
      </c>
      <c r="B1330" s="83">
        <v>4</v>
      </c>
      <c r="C1330" s="110">
        <v>0.0015117646273702919</v>
      </c>
      <c r="D1330" s="83" t="s">
        <v>2087</v>
      </c>
      <c r="E1330" s="83" t="b">
        <v>0</v>
      </c>
      <c r="F1330" s="83" t="b">
        <v>1</v>
      </c>
      <c r="G1330" s="83" t="b">
        <v>0</v>
      </c>
    </row>
    <row r="1331" spans="1:7" ht="15">
      <c r="A1331" s="84" t="s">
        <v>2511</v>
      </c>
      <c r="B1331" s="83">
        <v>4</v>
      </c>
      <c r="C1331" s="110">
        <v>0.001601471133640836</v>
      </c>
      <c r="D1331" s="83" t="s">
        <v>2087</v>
      </c>
      <c r="E1331" s="83" t="b">
        <v>0</v>
      </c>
      <c r="F1331" s="83" t="b">
        <v>1</v>
      </c>
      <c r="G1331" s="83" t="b">
        <v>0</v>
      </c>
    </row>
    <row r="1332" spans="1:7" ht="15">
      <c r="A1332" s="84" t="s">
        <v>2512</v>
      </c>
      <c r="B1332" s="83">
        <v>4</v>
      </c>
      <c r="C1332" s="110">
        <v>0.001601471133640836</v>
      </c>
      <c r="D1332" s="83" t="s">
        <v>2087</v>
      </c>
      <c r="E1332" s="83" t="b">
        <v>0</v>
      </c>
      <c r="F1332" s="83" t="b">
        <v>0</v>
      </c>
      <c r="G1332" s="83" t="b">
        <v>0</v>
      </c>
    </row>
    <row r="1333" spans="1:7" ht="15">
      <c r="A1333" s="84" t="s">
        <v>2409</v>
      </c>
      <c r="B1333" s="83">
        <v>4</v>
      </c>
      <c r="C1333" s="110">
        <v>0.0015117646273702919</v>
      </c>
      <c r="D1333" s="83" t="s">
        <v>2087</v>
      </c>
      <c r="E1333" s="83" t="b">
        <v>0</v>
      </c>
      <c r="F1333" s="83" t="b">
        <v>0</v>
      </c>
      <c r="G1333" s="83" t="b">
        <v>0</v>
      </c>
    </row>
    <row r="1334" spans="1:7" ht="15">
      <c r="A1334" s="84" t="s">
        <v>2514</v>
      </c>
      <c r="B1334" s="83">
        <v>4</v>
      </c>
      <c r="C1334" s="110">
        <v>0.0015117646273702919</v>
      </c>
      <c r="D1334" s="83" t="s">
        <v>2087</v>
      </c>
      <c r="E1334" s="83" t="b">
        <v>0</v>
      </c>
      <c r="F1334" s="83" t="b">
        <v>0</v>
      </c>
      <c r="G1334" s="83" t="b">
        <v>0</v>
      </c>
    </row>
    <row r="1335" spans="1:7" ht="15">
      <c r="A1335" s="84" t="s">
        <v>2515</v>
      </c>
      <c r="B1335" s="83">
        <v>4</v>
      </c>
      <c r="C1335" s="110">
        <v>0.0017279053530310214</v>
      </c>
      <c r="D1335" s="83" t="s">
        <v>2087</v>
      </c>
      <c r="E1335" s="83" t="b">
        <v>0</v>
      </c>
      <c r="F1335" s="83" t="b">
        <v>0</v>
      </c>
      <c r="G1335" s="83" t="b">
        <v>0</v>
      </c>
    </row>
    <row r="1336" spans="1:7" ht="15">
      <c r="A1336" s="84" t="s">
        <v>2394</v>
      </c>
      <c r="B1336" s="83">
        <v>4</v>
      </c>
      <c r="C1336" s="110">
        <v>0.0017279053530310214</v>
      </c>
      <c r="D1336" s="83" t="s">
        <v>2087</v>
      </c>
      <c r="E1336" s="83" t="b">
        <v>0</v>
      </c>
      <c r="F1336" s="83" t="b">
        <v>0</v>
      </c>
      <c r="G1336" s="83" t="b">
        <v>0</v>
      </c>
    </row>
    <row r="1337" spans="1:7" ht="15">
      <c r="A1337" s="84" t="s">
        <v>2518</v>
      </c>
      <c r="B1337" s="83">
        <v>4</v>
      </c>
      <c r="C1337" s="110">
        <v>0.001601471133640836</v>
      </c>
      <c r="D1337" s="83" t="s">
        <v>2087</v>
      </c>
      <c r="E1337" s="83" t="b">
        <v>0</v>
      </c>
      <c r="F1337" s="83" t="b">
        <v>0</v>
      </c>
      <c r="G1337" s="83" t="b">
        <v>0</v>
      </c>
    </row>
    <row r="1338" spans="1:7" ht="15">
      <c r="A1338" s="84" t="s">
        <v>2519</v>
      </c>
      <c r="B1338" s="83">
        <v>4</v>
      </c>
      <c r="C1338" s="110">
        <v>0.001601471133640836</v>
      </c>
      <c r="D1338" s="83" t="s">
        <v>2087</v>
      </c>
      <c r="E1338" s="83" t="b">
        <v>0</v>
      </c>
      <c r="F1338" s="83" t="b">
        <v>0</v>
      </c>
      <c r="G1338" s="83" t="b">
        <v>0</v>
      </c>
    </row>
    <row r="1339" spans="1:7" ht="15">
      <c r="A1339" s="84" t="s">
        <v>2520</v>
      </c>
      <c r="B1339" s="83">
        <v>4</v>
      </c>
      <c r="C1339" s="110">
        <v>0.0015117646273702919</v>
      </c>
      <c r="D1339" s="83" t="s">
        <v>2087</v>
      </c>
      <c r="E1339" s="83" t="b">
        <v>0</v>
      </c>
      <c r="F1339" s="83" t="b">
        <v>0</v>
      </c>
      <c r="G1339" s="83" t="b">
        <v>0</v>
      </c>
    </row>
    <row r="1340" spans="1:7" ht="15">
      <c r="A1340" s="84" t="s">
        <v>2328</v>
      </c>
      <c r="B1340" s="83">
        <v>4</v>
      </c>
      <c r="C1340" s="110">
        <v>0.0015117646273702919</v>
      </c>
      <c r="D1340" s="83" t="s">
        <v>2087</v>
      </c>
      <c r="E1340" s="83" t="b">
        <v>0</v>
      </c>
      <c r="F1340" s="83" t="b">
        <v>0</v>
      </c>
      <c r="G1340" s="83" t="b">
        <v>0</v>
      </c>
    </row>
    <row r="1341" spans="1:7" ht="15">
      <c r="A1341" s="84" t="s">
        <v>2522</v>
      </c>
      <c r="B1341" s="83">
        <v>4</v>
      </c>
      <c r="C1341" s="110">
        <v>0.001944046078691751</v>
      </c>
      <c r="D1341" s="83" t="s">
        <v>2087</v>
      </c>
      <c r="E1341" s="83" t="b">
        <v>0</v>
      </c>
      <c r="F1341" s="83" t="b">
        <v>0</v>
      </c>
      <c r="G1341" s="83" t="b">
        <v>0</v>
      </c>
    </row>
    <row r="1342" spans="1:7" ht="15">
      <c r="A1342" s="84" t="s">
        <v>2168</v>
      </c>
      <c r="B1342" s="83">
        <v>4</v>
      </c>
      <c r="C1342" s="110">
        <v>0.001601471133640836</v>
      </c>
      <c r="D1342" s="83" t="s">
        <v>2087</v>
      </c>
      <c r="E1342" s="83" t="b">
        <v>0</v>
      </c>
      <c r="F1342" s="83" t="b">
        <v>0</v>
      </c>
      <c r="G1342" s="83" t="b">
        <v>0</v>
      </c>
    </row>
    <row r="1343" spans="1:7" ht="15">
      <c r="A1343" s="84" t="s">
        <v>2523</v>
      </c>
      <c r="B1343" s="83">
        <v>4</v>
      </c>
      <c r="C1343" s="110">
        <v>0.0015117646273702919</v>
      </c>
      <c r="D1343" s="83" t="s">
        <v>2087</v>
      </c>
      <c r="E1343" s="83" t="b">
        <v>0</v>
      </c>
      <c r="F1343" s="83" t="b">
        <v>0</v>
      </c>
      <c r="G1343" s="83" t="b">
        <v>0</v>
      </c>
    </row>
    <row r="1344" spans="1:7" ht="15">
      <c r="A1344" s="84" t="s">
        <v>2524</v>
      </c>
      <c r="B1344" s="83">
        <v>4</v>
      </c>
      <c r="C1344" s="110">
        <v>0.0015117646273702919</v>
      </c>
      <c r="D1344" s="83" t="s">
        <v>2087</v>
      </c>
      <c r="E1344" s="83" t="b">
        <v>0</v>
      </c>
      <c r="F1344" s="83" t="b">
        <v>0</v>
      </c>
      <c r="G1344" s="83" t="b">
        <v>0</v>
      </c>
    </row>
    <row r="1345" spans="1:7" ht="15">
      <c r="A1345" s="84" t="s">
        <v>2525</v>
      </c>
      <c r="B1345" s="83">
        <v>4</v>
      </c>
      <c r="C1345" s="110">
        <v>0.001601471133640836</v>
      </c>
      <c r="D1345" s="83" t="s">
        <v>2087</v>
      </c>
      <c r="E1345" s="83" t="b">
        <v>0</v>
      </c>
      <c r="F1345" s="83" t="b">
        <v>0</v>
      </c>
      <c r="G1345" s="83" t="b">
        <v>0</v>
      </c>
    </row>
    <row r="1346" spans="1:7" ht="15">
      <c r="A1346" s="84" t="s">
        <v>2395</v>
      </c>
      <c r="B1346" s="83">
        <v>4</v>
      </c>
      <c r="C1346" s="110">
        <v>0.0017279053530310214</v>
      </c>
      <c r="D1346" s="83" t="s">
        <v>2087</v>
      </c>
      <c r="E1346" s="83" t="b">
        <v>0</v>
      </c>
      <c r="F1346" s="83" t="b">
        <v>0</v>
      </c>
      <c r="G1346" s="83" t="b">
        <v>0</v>
      </c>
    </row>
    <row r="1347" spans="1:7" ht="15">
      <c r="A1347" s="84" t="s">
        <v>2528</v>
      </c>
      <c r="B1347" s="83">
        <v>4</v>
      </c>
      <c r="C1347" s="110">
        <v>0.001601471133640836</v>
      </c>
      <c r="D1347" s="83" t="s">
        <v>2087</v>
      </c>
      <c r="E1347" s="83" t="b">
        <v>0</v>
      </c>
      <c r="F1347" s="83" t="b">
        <v>0</v>
      </c>
      <c r="G1347" s="83" t="b">
        <v>0</v>
      </c>
    </row>
    <row r="1348" spans="1:7" ht="15">
      <c r="A1348" s="84" t="s">
        <v>2412</v>
      </c>
      <c r="B1348" s="83">
        <v>4</v>
      </c>
      <c r="C1348" s="110">
        <v>0.0015117646273702919</v>
      </c>
      <c r="D1348" s="83" t="s">
        <v>2087</v>
      </c>
      <c r="E1348" s="83" t="b">
        <v>0</v>
      </c>
      <c r="F1348" s="83" t="b">
        <v>0</v>
      </c>
      <c r="G1348" s="83" t="b">
        <v>0</v>
      </c>
    </row>
    <row r="1349" spans="1:7" ht="15">
      <c r="A1349" s="84" t="s">
        <v>2526</v>
      </c>
      <c r="B1349" s="83">
        <v>4</v>
      </c>
      <c r="C1349" s="110">
        <v>0.0015117646273702919</v>
      </c>
      <c r="D1349" s="83" t="s">
        <v>2087</v>
      </c>
      <c r="E1349" s="83" t="b">
        <v>0</v>
      </c>
      <c r="F1349" s="83" t="b">
        <v>0</v>
      </c>
      <c r="G1349" s="83" t="b">
        <v>0</v>
      </c>
    </row>
    <row r="1350" spans="1:7" ht="15">
      <c r="A1350" s="84" t="s">
        <v>2529</v>
      </c>
      <c r="B1350" s="83">
        <v>4</v>
      </c>
      <c r="C1350" s="110">
        <v>0.0017279053530310214</v>
      </c>
      <c r="D1350" s="83" t="s">
        <v>2087</v>
      </c>
      <c r="E1350" s="83" t="b">
        <v>0</v>
      </c>
      <c r="F1350" s="83" t="b">
        <v>0</v>
      </c>
      <c r="G1350" s="83" t="b">
        <v>0</v>
      </c>
    </row>
    <row r="1351" spans="1:7" ht="15">
      <c r="A1351" s="84" t="s">
        <v>2531</v>
      </c>
      <c r="B1351" s="83">
        <v>4</v>
      </c>
      <c r="C1351" s="110">
        <v>0.001601471133640836</v>
      </c>
      <c r="D1351" s="83" t="s">
        <v>2087</v>
      </c>
      <c r="E1351" s="83" t="b">
        <v>0</v>
      </c>
      <c r="F1351" s="83" t="b">
        <v>0</v>
      </c>
      <c r="G1351" s="83" t="b">
        <v>0</v>
      </c>
    </row>
    <row r="1352" spans="1:7" ht="15">
      <c r="A1352" s="84" t="s">
        <v>2532</v>
      </c>
      <c r="B1352" s="83">
        <v>4</v>
      </c>
      <c r="C1352" s="110">
        <v>0.0015117646273702919</v>
      </c>
      <c r="D1352" s="83" t="s">
        <v>2087</v>
      </c>
      <c r="E1352" s="83" t="b">
        <v>0</v>
      </c>
      <c r="F1352" s="83" t="b">
        <v>0</v>
      </c>
      <c r="G1352" s="83" t="b">
        <v>0</v>
      </c>
    </row>
    <row r="1353" spans="1:7" ht="15">
      <c r="A1353" s="84" t="s">
        <v>2533</v>
      </c>
      <c r="B1353" s="83">
        <v>4</v>
      </c>
      <c r="C1353" s="110">
        <v>0.001601471133640836</v>
      </c>
      <c r="D1353" s="83" t="s">
        <v>2087</v>
      </c>
      <c r="E1353" s="83" t="b">
        <v>0</v>
      </c>
      <c r="F1353" s="83" t="b">
        <v>0</v>
      </c>
      <c r="G1353" s="83" t="b">
        <v>0</v>
      </c>
    </row>
    <row r="1354" spans="1:7" ht="15">
      <c r="A1354" s="84" t="s">
        <v>2534</v>
      </c>
      <c r="B1354" s="83">
        <v>4</v>
      </c>
      <c r="C1354" s="110">
        <v>0.0015117646273702919</v>
      </c>
      <c r="D1354" s="83" t="s">
        <v>2087</v>
      </c>
      <c r="E1354" s="83" t="b">
        <v>0</v>
      </c>
      <c r="F1354" s="83" t="b">
        <v>0</v>
      </c>
      <c r="G1354" s="83" t="b">
        <v>0</v>
      </c>
    </row>
    <row r="1355" spans="1:7" ht="15">
      <c r="A1355" s="84" t="s">
        <v>2535</v>
      </c>
      <c r="B1355" s="83">
        <v>4</v>
      </c>
      <c r="C1355" s="110">
        <v>0.001601471133640836</v>
      </c>
      <c r="D1355" s="83" t="s">
        <v>2087</v>
      </c>
      <c r="E1355" s="83" t="b">
        <v>0</v>
      </c>
      <c r="F1355" s="83" t="b">
        <v>1</v>
      </c>
      <c r="G1355" s="83" t="b">
        <v>0</v>
      </c>
    </row>
    <row r="1356" spans="1:7" ht="15">
      <c r="A1356" s="84" t="s">
        <v>2407</v>
      </c>
      <c r="B1356" s="83">
        <v>4</v>
      </c>
      <c r="C1356" s="110">
        <v>0.0017279053530310214</v>
      </c>
      <c r="D1356" s="83" t="s">
        <v>2087</v>
      </c>
      <c r="E1356" s="83" t="b">
        <v>0</v>
      </c>
      <c r="F1356" s="83" t="b">
        <v>1</v>
      </c>
      <c r="G1356" s="83" t="b">
        <v>0</v>
      </c>
    </row>
    <row r="1357" spans="1:7" ht="15">
      <c r="A1357" s="84" t="s">
        <v>2536</v>
      </c>
      <c r="B1357" s="83">
        <v>4</v>
      </c>
      <c r="C1357" s="110">
        <v>0.0017279053530310214</v>
      </c>
      <c r="D1357" s="83" t="s">
        <v>2087</v>
      </c>
      <c r="E1357" s="83" t="b">
        <v>0</v>
      </c>
      <c r="F1357" s="83" t="b">
        <v>1</v>
      </c>
      <c r="G1357" s="83" t="b">
        <v>0</v>
      </c>
    </row>
    <row r="1358" spans="1:7" ht="15">
      <c r="A1358" s="84" t="s">
        <v>2537</v>
      </c>
      <c r="B1358" s="83">
        <v>4</v>
      </c>
      <c r="C1358" s="110">
        <v>0.001601471133640836</v>
      </c>
      <c r="D1358" s="83" t="s">
        <v>2087</v>
      </c>
      <c r="E1358" s="83" t="b">
        <v>0</v>
      </c>
      <c r="F1358" s="83" t="b">
        <v>1</v>
      </c>
      <c r="G1358" s="83" t="b">
        <v>0</v>
      </c>
    </row>
    <row r="1359" spans="1:7" ht="15">
      <c r="A1359" s="84" t="s">
        <v>2538</v>
      </c>
      <c r="B1359" s="83">
        <v>3</v>
      </c>
      <c r="C1359" s="110">
        <v>0.0012011033502306269</v>
      </c>
      <c r="D1359" s="83" t="s">
        <v>2087</v>
      </c>
      <c r="E1359" s="83" t="b">
        <v>0</v>
      </c>
      <c r="F1359" s="83" t="b">
        <v>1</v>
      </c>
      <c r="G1359" s="83" t="b">
        <v>0</v>
      </c>
    </row>
    <row r="1360" spans="1:7" ht="15">
      <c r="A1360" s="84" t="s">
        <v>2297</v>
      </c>
      <c r="B1360" s="83">
        <v>3</v>
      </c>
      <c r="C1360" s="110">
        <v>0.0012011033502306269</v>
      </c>
      <c r="D1360" s="83" t="s">
        <v>2087</v>
      </c>
      <c r="E1360" s="83" t="b">
        <v>0</v>
      </c>
      <c r="F1360" s="83" t="b">
        <v>0</v>
      </c>
      <c r="G1360" s="83" t="b">
        <v>0</v>
      </c>
    </row>
    <row r="1361" spans="1:7" ht="15">
      <c r="A1361" s="84" t="s">
        <v>2353</v>
      </c>
      <c r="B1361" s="83">
        <v>3</v>
      </c>
      <c r="C1361" s="110">
        <v>0.0012011033502306269</v>
      </c>
      <c r="D1361" s="83" t="s">
        <v>2087</v>
      </c>
      <c r="E1361" s="83" t="b">
        <v>0</v>
      </c>
      <c r="F1361" s="83" t="b">
        <v>0</v>
      </c>
      <c r="G1361" s="83" t="b">
        <v>0</v>
      </c>
    </row>
    <row r="1362" spans="1:7" ht="15">
      <c r="A1362" s="84" t="s">
        <v>2430</v>
      </c>
      <c r="B1362" s="83">
        <v>3</v>
      </c>
      <c r="C1362" s="110">
        <v>0.0012011033502306269</v>
      </c>
      <c r="D1362" s="83" t="s">
        <v>2087</v>
      </c>
      <c r="E1362" s="83" t="b">
        <v>0</v>
      </c>
      <c r="F1362" s="83" t="b">
        <v>0</v>
      </c>
      <c r="G1362" s="83" t="b">
        <v>0</v>
      </c>
    </row>
    <row r="1363" spans="1:7" ht="15">
      <c r="A1363" s="84" t="s">
        <v>2539</v>
      </c>
      <c r="B1363" s="83">
        <v>3</v>
      </c>
      <c r="C1363" s="110">
        <v>0.0012011033502306269</v>
      </c>
      <c r="D1363" s="83" t="s">
        <v>2087</v>
      </c>
      <c r="E1363" s="83" t="b">
        <v>0</v>
      </c>
      <c r="F1363" s="83" t="b">
        <v>0</v>
      </c>
      <c r="G1363" s="83" t="b">
        <v>0</v>
      </c>
    </row>
    <row r="1364" spans="1:7" ht="15">
      <c r="A1364" s="84" t="s">
        <v>2355</v>
      </c>
      <c r="B1364" s="83">
        <v>3</v>
      </c>
      <c r="C1364" s="110">
        <v>0.0012011033502306269</v>
      </c>
      <c r="D1364" s="83" t="s">
        <v>2087</v>
      </c>
      <c r="E1364" s="83" t="b">
        <v>1</v>
      </c>
      <c r="F1364" s="83" t="b">
        <v>0</v>
      </c>
      <c r="G1364" s="83" t="b">
        <v>0</v>
      </c>
    </row>
    <row r="1365" spans="1:7" ht="15">
      <c r="A1365" s="84" t="s">
        <v>2431</v>
      </c>
      <c r="B1365" s="83">
        <v>3</v>
      </c>
      <c r="C1365" s="110">
        <v>0.0012011033502306269</v>
      </c>
      <c r="D1365" s="83" t="s">
        <v>2087</v>
      </c>
      <c r="E1365" s="83" t="b">
        <v>0</v>
      </c>
      <c r="F1365" s="83" t="b">
        <v>0</v>
      </c>
      <c r="G1365" s="83" t="b">
        <v>0</v>
      </c>
    </row>
    <row r="1366" spans="1:7" ht="15">
      <c r="A1366" s="84" t="s">
        <v>2356</v>
      </c>
      <c r="B1366" s="83">
        <v>3</v>
      </c>
      <c r="C1366" s="110">
        <v>0.0012011033502306269</v>
      </c>
      <c r="D1366" s="83" t="s">
        <v>2087</v>
      </c>
      <c r="E1366" s="83" t="b">
        <v>0</v>
      </c>
      <c r="F1366" s="83" t="b">
        <v>0</v>
      </c>
      <c r="G1366" s="83" t="b">
        <v>0</v>
      </c>
    </row>
    <row r="1367" spans="1:7" ht="15">
      <c r="A1367" s="84" t="s">
        <v>2541</v>
      </c>
      <c r="B1367" s="83">
        <v>3</v>
      </c>
      <c r="C1367" s="110">
        <v>0.0012011033502306269</v>
      </c>
      <c r="D1367" s="83" t="s">
        <v>2087</v>
      </c>
      <c r="E1367" s="83" t="b">
        <v>1</v>
      </c>
      <c r="F1367" s="83" t="b">
        <v>0</v>
      </c>
      <c r="G1367" s="83" t="b">
        <v>0</v>
      </c>
    </row>
    <row r="1368" spans="1:7" ht="15">
      <c r="A1368" s="84" t="s">
        <v>2543</v>
      </c>
      <c r="B1368" s="83">
        <v>3</v>
      </c>
      <c r="C1368" s="110">
        <v>0.0012011033502306269</v>
      </c>
      <c r="D1368" s="83" t="s">
        <v>2087</v>
      </c>
      <c r="E1368" s="83" t="b">
        <v>0</v>
      </c>
      <c r="F1368" s="83" t="b">
        <v>0</v>
      </c>
      <c r="G1368" s="83" t="b">
        <v>0</v>
      </c>
    </row>
    <row r="1369" spans="1:7" ht="15">
      <c r="A1369" s="84" t="s">
        <v>2544</v>
      </c>
      <c r="B1369" s="83">
        <v>3</v>
      </c>
      <c r="C1369" s="110">
        <v>0.0012011033502306269</v>
      </c>
      <c r="D1369" s="83" t="s">
        <v>2087</v>
      </c>
      <c r="E1369" s="83" t="b">
        <v>0</v>
      </c>
      <c r="F1369" s="83" t="b">
        <v>0</v>
      </c>
      <c r="G1369" s="83" t="b">
        <v>0</v>
      </c>
    </row>
    <row r="1370" spans="1:7" ht="15">
      <c r="A1370" s="84" t="s">
        <v>2545</v>
      </c>
      <c r="B1370" s="83">
        <v>3</v>
      </c>
      <c r="C1370" s="110">
        <v>0.0012011033502306269</v>
      </c>
      <c r="D1370" s="83" t="s">
        <v>2087</v>
      </c>
      <c r="E1370" s="83" t="b">
        <v>0</v>
      </c>
      <c r="F1370" s="83" t="b">
        <v>0</v>
      </c>
      <c r="G1370" s="83" t="b">
        <v>0</v>
      </c>
    </row>
    <row r="1371" spans="1:7" ht="15">
      <c r="A1371" s="84" t="s">
        <v>2546</v>
      </c>
      <c r="B1371" s="83">
        <v>3</v>
      </c>
      <c r="C1371" s="110">
        <v>0.0012011033502306269</v>
      </c>
      <c r="D1371" s="83" t="s">
        <v>2087</v>
      </c>
      <c r="E1371" s="83" t="b">
        <v>0</v>
      </c>
      <c r="F1371" s="83" t="b">
        <v>0</v>
      </c>
      <c r="G1371" s="83" t="b">
        <v>0</v>
      </c>
    </row>
    <row r="1372" spans="1:7" ht="15">
      <c r="A1372" s="84" t="s">
        <v>2434</v>
      </c>
      <c r="B1372" s="83">
        <v>3</v>
      </c>
      <c r="C1372" s="110">
        <v>0.0012011033502306269</v>
      </c>
      <c r="D1372" s="83" t="s">
        <v>2087</v>
      </c>
      <c r="E1372" s="83" t="b">
        <v>0</v>
      </c>
      <c r="F1372" s="83" t="b">
        <v>0</v>
      </c>
      <c r="G1372" s="83" t="b">
        <v>0</v>
      </c>
    </row>
    <row r="1373" spans="1:7" ht="15">
      <c r="A1373" s="84" t="s">
        <v>2305</v>
      </c>
      <c r="B1373" s="83">
        <v>3</v>
      </c>
      <c r="C1373" s="110">
        <v>0.0012011033502306269</v>
      </c>
      <c r="D1373" s="83" t="s">
        <v>2087</v>
      </c>
      <c r="E1373" s="83" t="b">
        <v>0</v>
      </c>
      <c r="F1373" s="83" t="b">
        <v>0</v>
      </c>
      <c r="G1373" s="83" t="b">
        <v>0</v>
      </c>
    </row>
    <row r="1374" spans="1:7" ht="15">
      <c r="A1374" s="84" t="s">
        <v>2549</v>
      </c>
      <c r="B1374" s="83">
        <v>3</v>
      </c>
      <c r="C1374" s="110">
        <v>0.001295929014773266</v>
      </c>
      <c r="D1374" s="83" t="s">
        <v>2087</v>
      </c>
      <c r="E1374" s="83" t="b">
        <v>0</v>
      </c>
      <c r="F1374" s="83" t="b">
        <v>0</v>
      </c>
      <c r="G1374" s="83" t="b">
        <v>0</v>
      </c>
    </row>
    <row r="1375" spans="1:7" ht="15">
      <c r="A1375" s="84" t="s">
        <v>2437</v>
      </c>
      <c r="B1375" s="83">
        <v>3</v>
      </c>
      <c r="C1375" s="110">
        <v>0.001295929014773266</v>
      </c>
      <c r="D1375" s="83" t="s">
        <v>2087</v>
      </c>
      <c r="E1375" s="83" t="b">
        <v>0</v>
      </c>
      <c r="F1375" s="83" t="b">
        <v>0</v>
      </c>
      <c r="G1375" s="83" t="b">
        <v>0</v>
      </c>
    </row>
    <row r="1376" spans="1:7" ht="15">
      <c r="A1376" s="84" t="s">
        <v>2308</v>
      </c>
      <c r="B1376" s="83">
        <v>3</v>
      </c>
      <c r="C1376" s="110">
        <v>0.0012011033502306269</v>
      </c>
      <c r="D1376" s="83" t="s">
        <v>2087</v>
      </c>
      <c r="E1376" s="83" t="b">
        <v>0</v>
      </c>
      <c r="F1376" s="83" t="b">
        <v>0</v>
      </c>
      <c r="G1376" s="83" t="b">
        <v>0</v>
      </c>
    </row>
    <row r="1377" spans="1:7" ht="15">
      <c r="A1377" s="84" t="s">
        <v>2554</v>
      </c>
      <c r="B1377" s="83">
        <v>3</v>
      </c>
      <c r="C1377" s="110">
        <v>0.001295929014773266</v>
      </c>
      <c r="D1377" s="83" t="s">
        <v>2087</v>
      </c>
      <c r="E1377" s="83" t="b">
        <v>0</v>
      </c>
      <c r="F1377" s="83" t="b">
        <v>0</v>
      </c>
      <c r="G1377" s="83" t="b">
        <v>0</v>
      </c>
    </row>
    <row r="1378" spans="1:7" ht="15">
      <c r="A1378" s="84" t="s">
        <v>2555</v>
      </c>
      <c r="B1378" s="83">
        <v>3</v>
      </c>
      <c r="C1378" s="110">
        <v>0.0012011033502306269</v>
      </c>
      <c r="D1378" s="83" t="s">
        <v>2087</v>
      </c>
      <c r="E1378" s="83" t="b">
        <v>0</v>
      </c>
      <c r="F1378" s="83" t="b">
        <v>0</v>
      </c>
      <c r="G1378" s="83" t="b">
        <v>0</v>
      </c>
    </row>
    <row r="1379" spans="1:7" ht="15">
      <c r="A1379" s="84" t="s">
        <v>2444</v>
      </c>
      <c r="B1379" s="83">
        <v>3</v>
      </c>
      <c r="C1379" s="110">
        <v>0.0012011033502306269</v>
      </c>
      <c r="D1379" s="83" t="s">
        <v>2087</v>
      </c>
      <c r="E1379" s="83" t="b">
        <v>0</v>
      </c>
      <c r="F1379" s="83" t="b">
        <v>0</v>
      </c>
      <c r="G1379" s="83" t="b">
        <v>0</v>
      </c>
    </row>
    <row r="1380" spans="1:7" ht="15">
      <c r="A1380" s="84" t="s">
        <v>2556</v>
      </c>
      <c r="B1380" s="83">
        <v>3</v>
      </c>
      <c r="C1380" s="110">
        <v>0.0012011033502306269</v>
      </c>
      <c r="D1380" s="83" t="s">
        <v>2087</v>
      </c>
      <c r="E1380" s="83" t="b">
        <v>0</v>
      </c>
      <c r="F1380" s="83" t="b">
        <v>0</v>
      </c>
      <c r="G1380" s="83" t="b">
        <v>0</v>
      </c>
    </row>
    <row r="1381" spans="1:7" ht="15">
      <c r="A1381" s="84" t="s">
        <v>2366</v>
      </c>
      <c r="B1381" s="83">
        <v>3</v>
      </c>
      <c r="C1381" s="110">
        <v>0.0012011033502306269</v>
      </c>
      <c r="D1381" s="83" t="s">
        <v>2087</v>
      </c>
      <c r="E1381" s="83" t="b">
        <v>0</v>
      </c>
      <c r="F1381" s="83" t="b">
        <v>1</v>
      </c>
      <c r="G1381" s="83" t="b">
        <v>0</v>
      </c>
    </row>
    <row r="1382" spans="1:7" ht="15">
      <c r="A1382" s="84" t="s">
        <v>2557</v>
      </c>
      <c r="B1382" s="83">
        <v>3</v>
      </c>
      <c r="C1382" s="110">
        <v>0.001295929014773266</v>
      </c>
      <c r="D1382" s="83" t="s">
        <v>2087</v>
      </c>
      <c r="E1382" s="83" t="b">
        <v>0</v>
      </c>
      <c r="F1382" s="83" t="b">
        <v>0</v>
      </c>
      <c r="G1382" s="83" t="b">
        <v>0</v>
      </c>
    </row>
    <row r="1383" spans="1:7" ht="15">
      <c r="A1383" s="84" t="s">
        <v>2558</v>
      </c>
      <c r="B1383" s="83">
        <v>3</v>
      </c>
      <c r="C1383" s="110">
        <v>0.0012011033502306269</v>
      </c>
      <c r="D1383" s="83" t="s">
        <v>2087</v>
      </c>
      <c r="E1383" s="83" t="b">
        <v>0</v>
      </c>
      <c r="F1383" s="83" t="b">
        <v>0</v>
      </c>
      <c r="G1383" s="83" t="b">
        <v>0</v>
      </c>
    </row>
    <row r="1384" spans="1:7" ht="15">
      <c r="A1384" s="84" t="s">
        <v>2559</v>
      </c>
      <c r="B1384" s="83">
        <v>3</v>
      </c>
      <c r="C1384" s="110">
        <v>0.0012011033502306269</v>
      </c>
      <c r="D1384" s="83" t="s">
        <v>2087</v>
      </c>
      <c r="E1384" s="83" t="b">
        <v>1</v>
      </c>
      <c r="F1384" s="83" t="b">
        <v>0</v>
      </c>
      <c r="G1384" s="83" t="b">
        <v>0</v>
      </c>
    </row>
    <row r="1385" spans="1:7" ht="15">
      <c r="A1385" s="84" t="s">
        <v>2562</v>
      </c>
      <c r="B1385" s="83">
        <v>3</v>
      </c>
      <c r="C1385" s="110">
        <v>0.0012011033502306269</v>
      </c>
      <c r="D1385" s="83" t="s">
        <v>2087</v>
      </c>
      <c r="E1385" s="83" t="b">
        <v>0</v>
      </c>
      <c r="F1385" s="83" t="b">
        <v>0</v>
      </c>
      <c r="G1385" s="83" t="b">
        <v>0</v>
      </c>
    </row>
    <row r="1386" spans="1:7" ht="15">
      <c r="A1386" s="84" t="s">
        <v>2563</v>
      </c>
      <c r="B1386" s="83">
        <v>3</v>
      </c>
      <c r="C1386" s="110">
        <v>0.0012011033502306269</v>
      </c>
      <c r="D1386" s="83" t="s">
        <v>2087</v>
      </c>
      <c r="E1386" s="83" t="b">
        <v>0</v>
      </c>
      <c r="F1386" s="83" t="b">
        <v>0</v>
      </c>
      <c r="G1386" s="83" t="b">
        <v>0</v>
      </c>
    </row>
    <row r="1387" spans="1:7" ht="15">
      <c r="A1387" s="84" t="s">
        <v>2565</v>
      </c>
      <c r="B1387" s="83">
        <v>3</v>
      </c>
      <c r="C1387" s="110">
        <v>0.0012011033502306269</v>
      </c>
      <c r="D1387" s="83" t="s">
        <v>2087</v>
      </c>
      <c r="E1387" s="83" t="b">
        <v>0</v>
      </c>
      <c r="F1387" s="83" t="b">
        <v>0</v>
      </c>
      <c r="G1387" s="83" t="b">
        <v>0</v>
      </c>
    </row>
    <row r="1388" spans="1:7" ht="15">
      <c r="A1388" s="84" t="s">
        <v>2566</v>
      </c>
      <c r="B1388" s="83">
        <v>3</v>
      </c>
      <c r="C1388" s="110">
        <v>0.0012011033502306269</v>
      </c>
      <c r="D1388" s="83" t="s">
        <v>2087</v>
      </c>
      <c r="E1388" s="83" t="b">
        <v>0</v>
      </c>
      <c r="F1388" s="83" t="b">
        <v>0</v>
      </c>
      <c r="G1388" s="83" t="b">
        <v>0</v>
      </c>
    </row>
    <row r="1389" spans="1:7" ht="15">
      <c r="A1389" s="84" t="s">
        <v>2250</v>
      </c>
      <c r="B1389" s="83">
        <v>3</v>
      </c>
      <c r="C1389" s="110">
        <v>0.0012011033502306269</v>
      </c>
      <c r="D1389" s="83" t="s">
        <v>2087</v>
      </c>
      <c r="E1389" s="83" t="b">
        <v>0</v>
      </c>
      <c r="F1389" s="83" t="b">
        <v>1</v>
      </c>
      <c r="G1389" s="83" t="b">
        <v>0</v>
      </c>
    </row>
    <row r="1390" spans="1:7" ht="15">
      <c r="A1390" s="84" t="s">
        <v>2448</v>
      </c>
      <c r="B1390" s="83">
        <v>3</v>
      </c>
      <c r="C1390" s="110">
        <v>0.0012011033502306269</v>
      </c>
      <c r="D1390" s="83" t="s">
        <v>2087</v>
      </c>
      <c r="E1390" s="83" t="b">
        <v>0</v>
      </c>
      <c r="F1390" s="83" t="b">
        <v>0</v>
      </c>
      <c r="G1390" s="83" t="b">
        <v>0</v>
      </c>
    </row>
    <row r="1391" spans="1:7" ht="15">
      <c r="A1391" s="84" t="s">
        <v>2374</v>
      </c>
      <c r="B1391" s="83">
        <v>3</v>
      </c>
      <c r="C1391" s="110">
        <v>0.0012011033502306269</v>
      </c>
      <c r="D1391" s="83" t="s">
        <v>2087</v>
      </c>
      <c r="E1391" s="83" t="b">
        <v>0</v>
      </c>
      <c r="F1391" s="83" t="b">
        <v>0</v>
      </c>
      <c r="G1391" s="83" t="b">
        <v>0</v>
      </c>
    </row>
    <row r="1392" spans="1:7" ht="15">
      <c r="A1392" s="84" t="s">
        <v>2449</v>
      </c>
      <c r="B1392" s="83">
        <v>3</v>
      </c>
      <c r="C1392" s="110">
        <v>0.001295929014773266</v>
      </c>
      <c r="D1392" s="83" t="s">
        <v>2087</v>
      </c>
      <c r="E1392" s="83" t="b">
        <v>0</v>
      </c>
      <c r="F1392" s="83" t="b">
        <v>0</v>
      </c>
      <c r="G1392" s="83" t="b">
        <v>0</v>
      </c>
    </row>
    <row r="1393" spans="1:7" ht="15">
      <c r="A1393" s="84" t="s">
        <v>2571</v>
      </c>
      <c r="B1393" s="83">
        <v>3</v>
      </c>
      <c r="C1393" s="110">
        <v>0.0012011033502306269</v>
      </c>
      <c r="D1393" s="83" t="s">
        <v>2087</v>
      </c>
      <c r="E1393" s="83" t="b">
        <v>0</v>
      </c>
      <c r="F1393" s="83" t="b">
        <v>0</v>
      </c>
      <c r="G1393" s="83" t="b">
        <v>0</v>
      </c>
    </row>
    <row r="1394" spans="1:7" ht="15">
      <c r="A1394" s="84" t="s">
        <v>2572</v>
      </c>
      <c r="B1394" s="83">
        <v>3</v>
      </c>
      <c r="C1394" s="110">
        <v>0.0012011033502306269</v>
      </c>
      <c r="D1394" s="83" t="s">
        <v>2087</v>
      </c>
      <c r="E1394" s="83" t="b">
        <v>0</v>
      </c>
      <c r="F1394" s="83" t="b">
        <v>0</v>
      </c>
      <c r="G1394" s="83" t="b">
        <v>0</v>
      </c>
    </row>
    <row r="1395" spans="1:7" ht="15">
      <c r="A1395" s="84" t="s">
        <v>2455</v>
      </c>
      <c r="B1395" s="83">
        <v>3</v>
      </c>
      <c r="C1395" s="110">
        <v>0.0012011033502306269</v>
      </c>
      <c r="D1395" s="83" t="s">
        <v>2087</v>
      </c>
      <c r="E1395" s="83" t="b">
        <v>0</v>
      </c>
      <c r="F1395" s="83" t="b">
        <v>0</v>
      </c>
      <c r="G1395" s="83" t="b">
        <v>0</v>
      </c>
    </row>
    <row r="1396" spans="1:7" ht="15">
      <c r="A1396" s="84" t="s">
        <v>2578</v>
      </c>
      <c r="B1396" s="83">
        <v>3</v>
      </c>
      <c r="C1396" s="110">
        <v>0.0012011033502306269</v>
      </c>
      <c r="D1396" s="83" t="s">
        <v>2087</v>
      </c>
      <c r="E1396" s="83" t="b">
        <v>0</v>
      </c>
      <c r="F1396" s="83" t="b">
        <v>0</v>
      </c>
      <c r="G1396" s="83" t="b">
        <v>0</v>
      </c>
    </row>
    <row r="1397" spans="1:7" ht="15">
      <c r="A1397" s="84" t="s">
        <v>2381</v>
      </c>
      <c r="B1397" s="83">
        <v>3</v>
      </c>
      <c r="C1397" s="110">
        <v>0.0012011033502306269</v>
      </c>
      <c r="D1397" s="83" t="s">
        <v>2087</v>
      </c>
      <c r="E1397" s="83" t="b">
        <v>0</v>
      </c>
      <c r="F1397" s="83" t="b">
        <v>0</v>
      </c>
      <c r="G1397" s="83" t="b">
        <v>0</v>
      </c>
    </row>
    <row r="1398" spans="1:7" ht="15">
      <c r="A1398" s="84" t="s">
        <v>2581</v>
      </c>
      <c r="B1398" s="83">
        <v>3</v>
      </c>
      <c r="C1398" s="110">
        <v>0.001295929014773266</v>
      </c>
      <c r="D1398" s="83" t="s">
        <v>2087</v>
      </c>
      <c r="E1398" s="83" t="b">
        <v>0</v>
      </c>
      <c r="F1398" s="83" t="b">
        <v>0</v>
      </c>
      <c r="G1398" s="83" t="b">
        <v>0</v>
      </c>
    </row>
    <row r="1399" spans="1:7" ht="15">
      <c r="A1399" s="84" t="s">
        <v>2461</v>
      </c>
      <c r="B1399" s="83">
        <v>3</v>
      </c>
      <c r="C1399" s="110">
        <v>0.0014580345590188132</v>
      </c>
      <c r="D1399" s="83" t="s">
        <v>2087</v>
      </c>
      <c r="E1399" s="83" t="b">
        <v>0</v>
      </c>
      <c r="F1399" s="83" t="b">
        <v>0</v>
      </c>
      <c r="G1399" s="83" t="b">
        <v>0</v>
      </c>
    </row>
    <row r="1400" spans="1:7" ht="15">
      <c r="A1400" s="84" t="s">
        <v>2582</v>
      </c>
      <c r="B1400" s="83">
        <v>3</v>
      </c>
      <c r="C1400" s="110">
        <v>0.0012011033502306269</v>
      </c>
      <c r="D1400" s="83" t="s">
        <v>2087</v>
      </c>
      <c r="E1400" s="83" t="b">
        <v>0</v>
      </c>
      <c r="F1400" s="83" t="b">
        <v>1</v>
      </c>
      <c r="G1400" s="83" t="b">
        <v>0</v>
      </c>
    </row>
    <row r="1401" spans="1:7" ht="15">
      <c r="A1401" s="84" t="s">
        <v>2583</v>
      </c>
      <c r="B1401" s="83">
        <v>3</v>
      </c>
      <c r="C1401" s="110">
        <v>0.0012011033502306269</v>
      </c>
      <c r="D1401" s="83" t="s">
        <v>2087</v>
      </c>
      <c r="E1401" s="83" t="b">
        <v>0</v>
      </c>
      <c r="F1401" s="83" t="b">
        <v>0</v>
      </c>
      <c r="G1401" s="83" t="b">
        <v>0</v>
      </c>
    </row>
    <row r="1402" spans="1:7" ht="15">
      <c r="A1402" s="84" t="s">
        <v>2584</v>
      </c>
      <c r="B1402" s="83">
        <v>3</v>
      </c>
      <c r="C1402" s="110">
        <v>0.0012011033502306269</v>
      </c>
      <c r="D1402" s="83" t="s">
        <v>2087</v>
      </c>
      <c r="E1402" s="83" t="b">
        <v>0</v>
      </c>
      <c r="F1402" s="83" t="b">
        <v>0</v>
      </c>
      <c r="G1402" s="83" t="b">
        <v>0</v>
      </c>
    </row>
    <row r="1403" spans="1:7" ht="15">
      <c r="A1403" s="84" t="s">
        <v>2462</v>
      </c>
      <c r="B1403" s="83">
        <v>3</v>
      </c>
      <c r="C1403" s="110">
        <v>0.001295929014773266</v>
      </c>
      <c r="D1403" s="83" t="s">
        <v>2087</v>
      </c>
      <c r="E1403" s="83" t="b">
        <v>0</v>
      </c>
      <c r="F1403" s="83" t="b">
        <v>0</v>
      </c>
      <c r="G1403" s="83" t="b">
        <v>0</v>
      </c>
    </row>
    <row r="1404" spans="1:7" ht="15">
      <c r="A1404" s="84" t="s">
        <v>2586</v>
      </c>
      <c r="B1404" s="83">
        <v>3</v>
      </c>
      <c r="C1404" s="110">
        <v>0.0012011033502306269</v>
      </c>
      <c r="D1404" s="83" t="s">
        <v>2087</v>
      </c>
      <c r="E1404" s="83" t="b">
        <v>0</v>
      </c>
      <c r="F1404" s="83" t="b">
        <v>0</v>
      </c>
      <c r="G1404" s="83" t="b">
        <v>0</v>
      </c>
    </row>
    <row r="1405" spans="1:7" ht="15">
      <c r="A1405" s="84" t="s">
        <v>2464</v>
      </c>
      <c r="B1405" s="83">
        <v>3</v>
      </c>
      <c r="C1405" s="110">
        <v>0.001295929014773266</v>
      </c>
      <c r="D1405" s="83" t="s">
        <v>2087</v>
      </c>
      <c r="E1405" s="83" t="b">
        <v>0</v>
      </c>
      <c r="F1405" s="83" t="b">
        <v>0</v>
      </c>
      <c r="G1405" s="83" t="b">
        <v>0</v>
      </c>
    </row>
    <row r="1406" spans="1:7" ht="15">
      <c r="A1406" s="84" t="s">
        <v>2384</v>
      </c>
      <c r="B1406" s="83">
        <v>3</v>
      </c>
      <c r="C1406" s="110">
        <v>0.0012011033502306269</v>
      </c>
      <c r="D1406" s="83" t="s">
        <v>2087</v>
      </c>
      <c r="E1406" s="83" t="b">
        <v>0</v>
      </c>
      <c r="F1406" s="83" t="b">
        <v>0</v>
      </c>
      <c r="G1406" s="83" t="b">
        <v>0</v>
      </c>
    </row>
    <row r="1407" spans="1:7" ht="15">
      <c r="A1407" s="84" t="s">
        <v>2588</v>
      </c>
      <c r="B1407" s="83">
        <v>3</v>
      </c>
      <c r="C1407" s="110">
        <v>0.0012011033502306269</v>
      </c>
      <c r="D1407" s="83" t="s">
        <v>2087</v>
      </c>
      <c r="E1407" s="83" t="b">
        <v>0</v>
      </c>
      <c r="F1407" s="83" t="b">
        <v>0</v>
      </c>
      <c r="G1407" s="83" t="b">
        <v>0</v>
      </c>
    </row>
    <row r="1408" spans="1:7" ht="15">
      <c r="A1408" s="84" t="s">
        <v>2589</v>
      </c>
      <c r="B1408" s="83">
        <v>3</v>
      </c>
      <c r="C1408" s="110">
        <v>0.0012011033502306269</v>
      </c>
      <c r="D1408" s="83" t="s">
        <v>2087</v>
      </c>
      <c r="E1408" s="83" t="b">
        <v>0</v>
      </c>
      <c r="F1408" s="83" t="b">
        <v>0</v>
      </c>
      <c r="G1408" s="83" t="b">
        <v>0</v>
      </c>
    </row>
    <row r="1409" spans="1:7" ht="15">
      <c r="A1409" s="84" t="s">
        <v>2591</v>
      </c>
      <c r="B1409" s="83">
        <v>3</v>
      </c>
      <c r="C1409" s="110">
        <v>0.0012011033502306269</v>
      </c>
      <c r="D1409" s="83" t="s">
        <v>2087</v>
      </c>
      <c r="E1409" s="83" t="b">
        <v>0</v>
      </c>
      <c r="F1409" s="83" t="b">
        <v>0</v>
      </c>
      <c r="G1409" s="83" t="b">
        <v>0</v>
      </c>
    </row>
    <row r="1410" spans="1:7" ht="15">
      <c r="A1410" s="84" t="s">
        <v>2592</v>
      </c>
      <c r="B1410" s="83">
        <v>3</v>
      </c>
      <c r="C1410" s="110">
        <v>0.0014580345590188132</v>
      </c>
      <c r="D1410" s="83" t="s">
        <v>2087</v>
      </c>
      <c r="E1410" s="83" t="b">
        <v>0</v>
      </c>
      <c r="F1410" s="83" t="b">
        <v>0</v>
      </c>
      <c r="G1410" s="83" t="b">
        <v>0</v>
      </c>
    </row>
    <row r="1411" spans="1:7" ht="15">
      <c r="A1411" s="84" t="s">
        <v>2594</v>
      </c>
      <c r="B1411" s="83">
        <v>3</v>
      </c>
      <c r="C1411" s="110">
        <v>0.0012011033502306269</v>
      </c>
      <c r="D1411" s="83" t="s">
        <v>2087</v>
      </c>
      <c r="E1411" s="83" t="b">
        <v>1</v>
      </c>
      <c r="F1411" s="83" t="b">
        <v>0</v>
      </c>
      <c r="G1411" s="83" t="b">
        <v>0</v>
      </c>
    </row>
    <row r="1412" spans="1:7" ht="15">
      <c r="A1412" s="84" t="s">
        <v>2595</v>
      </c>
      <c r="B1412" s="83">
        <v>3</v>
      </c>
      <c r="C1412" s="110">
        <v>0.0012011033502306269</v>
      </c>
      <c r="D1412" s="83" t="s">
        <v>2087</v>
      </c>
      <c r="E1412" s="83" t="b">
        <v>0</v>
      </c>
      <c r="F1412" s="83" t="b">
        <v>0</v>
      </c>
      <c r="G1412" s="83" t="b">
        <v>0</v>
      </c>
    </row>
    <row r="1413" spans="1:7" ht="15">
      <c r="A1413" s="84" t="s">
        <v>2596</v>
      </c>
      <c r="B1413" s="83">
        <v>3</v>
      </c>
      <c r="C1413" s="110">
        <v>0.0012011033502306269</v>
      </c>
      <c r="D1413" s="83" t="s">
        <v>2087</v>
      </c>
      <c r="E1413" s="83" t="b">
        <v>0</v>
      </c>
      <c r="F1413" s="83" t="b">
        <v>0</v>
      </c>
      <c r="G1413" s="83" t="b">
        <v>0</v>
      </c>
    </row>
    <row r="1414" spans="1:7" ht="15">
      <c r="A1414" s="84" t="s">
        <v>2599</v>
      </c>
      <c r="B1414" s="83">
        <v>3</v>
      </c>
      <c r="C1414" s="110">
        <v>0.001295929014773266</v>
      </c>
      <c r="D1414" s="83" t="s">
        <v>2087</v>
      </c>
      <c r="E1414" s="83" t="b">
        <v>0</v>
      </c>
      <c r="F1414" s="83" t="b">
        <v>0</v>
      </c>
      <c r="G1414" s="83" t="b">
        <v>0</v>
      </c>
    </row>
    <row r="1415" spans="1:7" ht="15">
      <c r="A1415" s="84" t="s">
        <v>2600</v>
      </c>
      <c r="B1415" s="83">
        <v>3</v>
      </c>
      <c r="C1415" s="110">
        <v>0.0012011033502306269</v>
      </c>
      <c r="D1415" s="83" t="s">
        <v>2087</v>
      </c>
      <c r="E1415" s="83" t="b">
        <v>0</v>
      </c>
      <c r="F1415" s="83" t="b">
        <v>0</v>
      </c>
      <c r="G1415" s="83" t="b">
        <v>0</v>
      </c>
    </row>
    <row r="1416" spans="1:7" ht="15">
      <c r="A1416" s="84" t="s">
        <v>2601</v>
      </c>
      <c r="B1416" s="83">
        <v>3</v>
      </c>
      <c r="C1416" s="110">
        <v>0.0012011033502306269</v>
      </c>
      <c r="D1416" s="83" t="s">
        <v>2087</v>
      </c>
      <c r="E1416" s="83" t="b">
        <v>0</v>
      </c>
      <c r="F1416" s="83" t="b">
        <v>0</v>
      </c>
      <c r="G1416" s="83" t="b">
        <v>0</v>
      </c>
    </row>
    <row r="1417" spans="1:7" ht="15">
      <c r="A1417" s="84" t="s">
        <v>2603</v>
      </c>
      <c r="B1417" s="83">
        <v>3</v>
      </c>
      <c r="C1417" s="110">
        <v>0.001295929014773266</v>
      </c>
      <c r="D1417" s="83" t="s">
        <v>2087</v>
      </c>
      <c r="E1417" s="83" t="b">
        <v>0</v>
      </c>
      <c r="F1417" s="83" t="b">
        <v>0</v>
      </c>
      <c r="G1417" s="83" t="b">
        <v>0</v>
      </c>
    </row>
    <row r="1418" spans="1:7" ht="15">
      <c r="A1418" s="84" t="s">
        <v>2471</v>
      </c>
      <c r="B1418" s="83">
        <v>3</v>
      </c>
      <c r="C1418" s="110">
        <v>0.001295929014773266</v>
      </c>
      <c r="D1418" s="83" t="s">
        <v>2087</v>
      </c>
      <c r="E1418" s="83" t="b">
        <v>0</v>
      </c>
      <c r="F1418" s="83" t="b">
        <v>0</v>
      </c>
      <c r="G1418" s="83" t="b">
        <v>0</v>
      </c>
    </row>
    <row r="1419" spans="1:7" ht="15">
      <c r="A1419" s="84" t="s">
        <v>2606</v>
      </c>
      <c r="B1419" s="83">
        <v>3</v>
      </c>
      <c r="C1419" s="110">
        <v>0.0012011033502306269</v>
      </c>
      <c r="D1419" s="83" t="s">
        <v>2087</v>
      </c>
      <c r="E1419" s="83" t="b">
        <v>0</v>
      </c>
      <c r="F1419" s="83" t="b">
        <v>0</v>
      </c>
      <c r="G1419" s="83" t="b">
        <v>0</v>
      </c>
    </row>
    <row r="1420" spans="1:7" ht="15">
      <c r="A1420" s="84" t="s">
        <v>2472</v>
      </c>
      <c r="B1420" s="83">
        <v>3</v>
      </c>
      <c r="C1420" s="110">
        <v>0.0012011033502306269</v>
      </c>
      <c r="D1420" s="83" t="s">
        <v>2087</v>
      </c>
      <c r="E1420" s="83" t="b">
        <v>0</v>
      </c>
      <c r="F1420" s="83" t="b">
        <v>1</v>
      </c>
      <c r="G1420" s="83" t="b">
        <v>0</v>
      </c>
    </row>
    <row r="1421" spans="1:7" ht="15">
      <c r="A1421" s="84" t="s">
        <v>2474</v>
      </c>
      <c r="B1421" s="83">
        <v>3</v>
      </c>
      <c r="C1421" s="110">
        <v>0.0012011033502306269</v>
      </c>
      <c r="D1421" s="83" t="s">
        <v>2087</v>
      </c>
      <c r="E1421" s="83" t="b">
        <v>1</v>
      </c>
      <c r="F1421" s="83" t="b">
        <v>0</v>
      </c>
      <c r="G1421" s="83" t="b">
        <v>0</v>
      </c>
    </row>
    <row r="1422" spans="1:7" ht="15">
      <c r="A1422" s="84" t="s">
        <v>2608</v>
      </c>
      <c r="B1422" s="83">
        <v>3</v>
      </c>
      <c r="C1422" s="110">
        <v>0.001295929014773266</v>
      </c>
      <c r="D1422" s="83" t="s">
        <v>2087</v>
      </c>
      <c r="E1422" s="83" t="b">
        <v>0</v>
      </c>
      <c r="F1422" s="83" t="b">
        <v>0</v>
      </c>
      <c r="G1422" s="83" t="b">
        <v>0</v>
      </c>
    </row>
    <row r="1423" spans="1:7" ht="15">
      <c r="A1423" s="84" t="s">
        <v>2388</v>
      </c>
      <c r="B1423" s="83">
        <v>3</v>
      </c>
      <c r="C1423" s="110">
        <v>0.001295929014773266</v>
      </c>
      <c r="D1423" s="83" t="s">
        <v>2087</v>
      </c>
      <c r="E1423" s="83" t="b">
        <v>0</v>
      </c>
      <c r="F1423" s="83" t="b">
        <v>0</v>
      </c>
      <c r="G1423" s="83" t="b">
        <v>0</v>
      </c>
    </row>
    <row r="1424" spans="1:7" ht="15">
      <c r="A1424" s="84" t="s">
        <v>2609</v>
      </c>
      <c r="B1424" s="83">
        <v>3</v>
      </c>
      <c r="C1424" s="110">
        <v>0.0012011033502306269</v>
      </c>
      <c r="D1424" s="83" t="s">
        <v>2087</v>
      </c>
      <c r="E1424" s="83" t="b">
        <v>0</v>
      </c>
      <c r="F1424" s="83" t="b">
        <v>1</v>
      </c>
      <c r="G1424" s="83" t="b">
        <v>0</v>
      </c>
    </row>
    <row r="1425" spans="1:7" ht="15">
      <c r="A1425" s="84" t="s">
        <v>2610</v>
      </c>
      <c r="B1425" s="83">
        <v>3</v>
      </c>
      <c r="C1425" s="110">
        <v>0.0012011033502306269</v>
      </c>
      <c r="D1425" s="83" t="s">
        <v>2087</v>
      </c>
      <c r="E1425" s="83" t="b">
        <v>0</v>
      </c>
      <c r="F1425" s="83" t="b">
        <v>0</v>
      </c>
      <c r="G1425" s="83" t="b">
        <v>0</v>
      </c>
    </row>
    <row r="1426" spans="1:7" ht="15">
      <c r="A1426" s="84" t="s">
        <v>2611</v>
      </c>
      <c r="B1426" s="83">
        <v>3</v>
      </c>
      <c r="C1426" s="110">
        <v>0.0012011033502306269</v>
      </c>
      <c r="D1426" s="83" t="s">
        <v>2087</v>
      </c>
      <c r="E1426" s="83" t="b">
        <v>0</v>
      </c>
      <c r="F1426" s="83" t="b">
        <v>0</v>
      </c>
      <c r="G1426" s="83" t="b">
        <v>0</v>
      </c>
    </row>
    <row r="1427" spans="1:7" ht="15">
      <c r="A1427" s="84" t="s">
        <v>2612</v>
      </c>
      <c r="B1427" s="83">
        <v>3</v>
      </c>
      <c r="C1427" s="110">
        <v>0.0012011033502306269</v>
      </c>
      <c r="D1427" s="83" t="s">
        <v>2087</v>
      </c>
      <c r="E1427" s="83" t="b">
        <v>0</v>
      </c>
      <c r="F1427" s="83" t="b">
        <v>0</v>
      </c>
      <c r="G1427" s="83" t="b">
        <v>0</v>
      </c>
    </row>
    <row r="1428" spans="1:7" ht="15">
      <c r="A1428" s="84" t="s">
        <v>2613</v>
      </c>
      <c r="B1428" s="83">
        <v>3</v>
      </c>
      <c r="C1428" s="110">
        <v>0.0012011033502306269</v>
      </c>
      <c r="D1428" s="83" t="s">
        <v>2087</v>
      </c>
      <c r="E1428" s="83" t="b">
        <v>1</v>
      </c>
      <c r="F1428" s="83" t="b">
        <v>0</v>
      </c>
      <c r="G1428" s="83" t="b">
        <v>0</v>
      </c>
    </row>
    <row r="1429" spans="1:7" ht="15">
      <c r="A1429" s="84" t="s">
        <v>2390</v>
      </c>
      <c r="B1429" s="83">
        <v>3</v>
      </c>
      <c r="C1429" s="110">
        <v>0.0012011033502306269</v>
      </c>
      <c r="D1429" s="83" t="s">
        <v>2087</v>
      </c>
      <c r="E1429" s="83" t="b">
        <v>0</v>
      </c>
      <c r="F1429" s="83" t="b">
        <v>0</v>
      </c>
      <c r="G1429" s="83" t="b">
        <v>0</v>
      </c>
    </row>
    <row r="1430" spans="1:7" ht="15">
      <c r="A1430" s="84" t="s">
        <v>2614</v>
      </c>
      <c r="B1430" s="83">
        <v>3</v>
      </c>
      <c r="C1430" s="110">
        <v>0.0012011033502306269</v>
      </c>
      <c r="D1430" s="83" t="s">
        <v>2087</v>
      </c>
      <c r="E1430" s="83" t="b">
        <v>1</v>
      </c>
      <c r="F1430" s="83" t="b">
        <v>0</v>
      </c>
      <c r="G1430" s="83" t="b">
        <v>0</v>
      </c>
    </row>
    <row r="1431" spans="1:7" ht="15">
      <c r="A1431" s="84" t="s">
        <v>2619</v>
      </c>
      <c r="B1431" s="83">
        <v>3</v>
      </c>
      <c r="C1431" s="110">
        <v>0.0012011033502306269</v>
      </c>
      <c r="D1431" s="83" t="s">
        <v>2087</v>
      </c>
      <c r="E1431" s="83" t="b">
        <v>0</v>
      </c>
      <c r="F1431" s="83" t="b">
        <v>0</v>
      </c>
      <c r="G1431" s="83" t="b">
        <v>0</v>
      </c>
    </row>
    <row r="1432" spans="1:7" ht="15">
      <c r="A1432" s="84" t="s">
        <v>2620</v>
      </c>
      <c r="B1432" s="83">
        <v>3</v>
      </c>
      <c r="C1432" s="110">
        <v>0.0012011033502306269</v>
      </c>
      <c r="D1432" s="83" t="s">
        <v>2087</v>
      </c>
      <c r="E1432" s="83" t="b">
        <v>0</v>
      </c>
      <c r="F1432" s="83" t="b">
        <v>0</v>
      </c>
      <c r="G1432" s="83" t="b">
        <v>0</v>
      </c>
    </row>
    <row r="1433" spans="1:7" ht="15">
      <c r="A1433" s="84" t="s">
        <v>2392</v>
      </c>
      <c r="B1433" s="83">
        <v>3</v>
      </c>
      <c r="C1433" s="110">
        <v>0.0012011033502306269</v>
      </c>
      <c r="D1433" s="83" t="s">
        <v>2087</v>
      </c>
      <c r="E1433" s="83" t="b">
        <v>0</v>
      </c>
      <c r="F1433" s="83" t="b">
        <v>0</v>
      </c>
      <c r="G1433" s="83" t="b">
        <v>0</v>
      </c>
    </row>
    <row r="1434" spans="1:7" ht="15">
      <c r="A1434" s="84" t="s">
        <v>2621</v>
      </c>
      <c r="B1434" s="83">
        <v>3</v>
      </c>
      <c r="C1434" s="110">
        <v>0.0012011033502306269</v>
      </c>
      <c r="D1434" s="83" t="s">
        <v>2087</v>
      </c>
      <c r="E1434" s="83" t="b">
        <v>0</v>
      </c>
      <c r="F1434" s="83" t="b">
        <v>0</v>
      </c>
      <c r="G1434" s="83" t="b">
        <v>0</v>
      </c>
    </row>
    <row r="1435" spans="1:7" ht="15">
      <c r="A1435" s="84" t="s">
        <v>2325</v>
      </c>
      <c r="B1435" s="83">
        <v>3</v>
      </c>
      <c r="C1435" s="110">
        <v>0.0012011033502306269</v>
      </c>
      <c r="D1435" s="83" t="s">
        <v>2087</v>
      </c>
      <c r="E1435" s="83" t="b">
        <v>1</v>
      </c>
      <c r="F1435" s="83" t="b">
        <v>0</v>
      </c>
      <c r="G1435" s="83" t="b">
        <v>0</v>
      </c>
    </row>
    <row r="1436" spans="1:7" ht="15">
      <c r="A1436" s="84" t="s">
        <v>2622</v>
      </c>
      <c r="B1436" s="83">
        <v>3</v>
      </c>
      <c r="C1436" s="110">
        <v>0.0012011033502306269</v>
      </c>
      <c r="D1436" s="83" t="s">
        <v>2087</v>
      </c>
      <c r="E1436" s="83" t="b">
        <v>0</v>
      </c>
      <c r="F1436" s="83" t="b">
        <v>0</v>
      </c>
      <c r="G1436" s="83" t="b">
        <v>0</v>
      </c>
    </row>
    <row r="1437" spans="1:7" ht="15">
      <c r="A1437" s="84" t="s">
        <v>2284</v>
      </c>
      <c r="B1437" s="83">
        <v>3</v>
      </c>
      <c r="C1437" s="110">
        <v>0.0012011033502306269</v>
      </c>
      <c r="D1437" s="83" t="s">
        <v>2087</v>
      </c>
      <c r="E1437" s="83" t="b">
        <v>0</v>
      </c>
      <c r="F1437" s="83" t="b">
        <v>0</v>
      </c>
      <c r="G1437" s="83" t="b">
        <v>0</v>
      </c>
    </row>
    <row r="1438" spans="1:7" ht="15">
      <c r="A1438" s="84" t="s">
        <v>2623</v>
      </c>
      <c r="B1438" s="83">
        <v>3</v>
      </c>
      <c r="C1438" s="110">
        <v>0.0012011033502306269</v>
      </c>
      <c r="D1438" s="83" t="s">
        <v>2087</v>
      </c>
      <c r="E1438" s="83" t="b">
        <v>0</v>
      </c>
      <c r="F1438" s="83" t="b">
        <v>0</v>
      </c>
      <c r="G1438" s="83" t="b">
        <v>0</v>
      </c>
    </row>
    <row r="1439" spans="1:7" ht="15">
      <c r="A1439" s="84" t="s">
        <v>2632</v>
      </c>
      <c r="B1439" s="83">
        <v>3</v>
      </c>
      <c r="C1439" s="110">
        <v>0.0012011033502306269</v>
      </c>
      <c r="D1439" s="83" t="s">
        <v>2087</v>
      </c>
      <c r="E1439" s="83" t="b">
        <v>0</v>
      </c>
      <c r="F1439" s="83" t="b">
        <v>0</v>
      </c>
      <c r="G1439" s="83" t="b">
        <v>0</v>
      </c>
    </row>
    <row r="1440" spans="1:7" ht="15">
      <c r="A1440" s="84" t="s">
        <v>2634</v>
      </c>
      <c r="B1440" s="83">
        <v>3</v>
      </c>
      <c r="C1440" s="110">
        <v>0.0012011033502306269</v>
      </c>
      <c r="D1440" s="83" t="s">
        <v>2087</v>
      </c>
      <c r="E1440" s="83" t="b">
        <v>0</v>
      </c>
      <c r="F1440" s="83" t="b">
        <v>0</v>
      </c>
      <c r="G1440" s="83" t="b">
        <v>0</v>
      </c>
    </row>
    <row r="1441" spans="1:7" ht="15">
      <c r="A1441" s="84" t="s">
        <v>2635</v>
      </c>
      <c r="B1441" s="83">
        <v>3</v>
      </c>
      <c r="C1441" s="110">
        <v>0.0012011033502306269</v>
      </c>
      <c r="D1441" s="83" t="s">
        <v>2087</v>
      </c>
      <c r="E1441" s="83" t="b">
        <v>0</v>
      </c>
      <c r="F1441" s="83" t="b">
        <v>0</v>
      </c>
      <c r="G1441" s="83" t="b">
        <v>0</v>
      </c>
    </row>
    <row r="1442" spans="1:7" ht="15">
      <c r="A1442" s="84" t="s">
        <v>2638</v>
      </c>
      <c r="B1442" s="83">
        <v>3</v>
      </c>
      <c r="C1442" s="110">
        <v>0.0012011033502306269</v>
      </c>
      <c r="D1442" s="83" t="s">
        <v>2087</v>
      </c>
      <c r="E1442" s="83" t="b">
        <v>0</v>
      </c>
      <c r="F1442" s="83" t="b">
        <v>0</v>
      </c>
      <c r="G1442" s="83" t="b">
        <v>0</v>
      </c>
    </row>
    <row r="1443" spans="1:7" ht="15">
      <c r="A1443" s="84" t="s">
        <v>2639</v>
      </c>
      <c r="B1443" s="83">
        <v>3</v>
      </c>
      <c r="C1443" s="110">
        <v>0.0012011033502306269</v>
      </c>
      <c r="D1443" s="83" t="s">
        <v>2087</v>
      </c>
      <c r="E1443" s="83" t="b">
        <v>0</v>
      </c>
      <c r="F1443" s="83" t="b">
        <v>1</v>
      </c>
      <c r="G1443" s="83" t="b">
        <v>0</v>
      </c>
    </row>
    <row r="1444" spans="1:7" ht="15">
      <c r="A1444" s="84" t="s">
        <v>2640</v>
      </c>
      <c r="B1444" s="83">
        <v>3</v>
      </c>
      <c r="C1444" s="110">
        <v>0.001295929014773266</v>
      </c>
      <c r="D1444" s="83" t="s">
        <v>2087</v>
      </c>
      <c r="E1444" s="83" t="b">
        <v>0</v>
      </c>
      <c r="F1444" s="83" t="b">
        <v>0</v>
      </c>
      <c r="G1444" s="83" t="b">
        <v>0</v>
      </c>
    </row>
    <row r="1445" spans="1:7" ht="15">
      <c r="A1445" s="84" t="s">
        <v>2642</v>
      </c>
      <c r="B1445" s="83">
        <v>3</v>
      </c>
      <c r="C1445" s="110">
        <v>0.001295929014773266</v>
      </c>
      <c r="D1445" s="83" t="s">
        <v>2087</v>
      </c>
      <c r="E1445" s="83" t="b">
        <v>0</v>
      </c>
      <c r="F1445" s="83" t="b">
        <v>0</v>
      </c>
      <c r="G1445" s="83" t="b">
        <v>0</v>
      </c>
    </row>
    <row r="1446" spans="1:7" ht="15">
      <c r="A1446" s="84" t="s">
        <v>2493</v>
      </c>
      <c r="B1446" s="83">
        <v>3</v>
      </c>
      <c r="C1446" s="110">
        <v>0.0012011033502306269</v>
      </c>
      <c r="D1446" s="83" t="s">
        <v>2087</v>
      </c>
      <c r="E1446" s="83" t="b">
        <v>0</v>
      </c>
      <c r="F1446" s="83" t="b">
        <v>0</v>
      </c>
      <c r="G1446" s="83" t="b">
        <v>0</v>
      </c>
    </row>
    <row r="1447" spans="1:7" ht="15">
      <c r="A1447" s="84" t="s">
        <v>2483</v>
      </c>
      <c r="B1447" s="83">
        <v>3</v>
      </c>
      <c r="C1447" s="110">
        <v>0.0012011033502306269</v>
      </c>
      <c r="D1447" s="83" t="s">
        <v>2087</v>
      </c>
      <c r="E1447" s="83" t="b">
        <v>0</v>
      </c>
      <c r="F1447" s="83" t="b">
        <v>0</v>
      </c>
      <c r="G1447" s="83" t="b">
        <v>0</v>
      </c>
    </row>
    <row r="1448" spans="1:7" ht="15">
      <c r="A1448" s="84" t="s">
        <v>2643</v>
      </c>
      <c r="B1448" s="83">
        <v>3</v>
      </c>
      <c r="C1448" s="110">
        <v>0.0012011033502306269</v>
      </c>
      <c r="D1448" s="83" t="s">
        <v>2087</v>
      </c>
      <c r="E1448" s="83" t="b">
        <v>0</v>
      </c>
      <c r="F1448" s="83" t="b">
        <v>0</v>
      </c>
      <c r="G1448" s="83" t="b">
        <v>0</v>
      </c>
    </row>
    <row r="1449" spans="1:7" ht="15">
      <c r="A1449" s="84" t="s">
        <v>2644</v>
      </c>
      <c r="B1449" s="83">
        <v>3</v>
      </c>
      <c r="C1449" s="110">
        <v>0.0012011033502306269</v>
      </c>
      <c r="D1449" s="83" t="s">
        <v>2087</v>
      </c>
      <c r="E1449" s="83" t="b">
        <v>0</v>
      </c>
      <c r="F1449" s="83" t="b">
        <v>0</v>
      </c>
      <c r="G1449" s="83" t="b">
        <v>0</v>
      </c>
    </row>
    <row r="1450" spans="1:7" ht="15">
      <c r="A1450" s="84" t="s">
        <v>2482</v>
      </c>
      <c r="B1450" s="83">
        <v>3</v>
      </c>
      <c r="C1450" s="110">
        <v>0.001295929014773266</v>
      </c>
      <c r="D1450" s="83" t="s">
        <v>2087</v>
      </c>
      <c r="E1450" s="83" t="b">
        <v>0</v>
      </c>
      <c r="F1450" s="83" t="b">
        <v>0</v>
      </c>
      <c r="G1450" s="83" t="b">
        <v>0</v>
      </c>
    </row>
    <row r="1451" spans="1:7" ht="15">
      <c r="A1451" s="84" t="s">
        <v>2480</v>
      </c>
      <c r="B1451" s="83">
        <v>3</v>
      </c>
      <c r="C1451" s="110">
        <v>0.0012011033502306269</v>
      </c>
      <c r="D1451" s="83" t="s">
        <v>2087</v>
      </c>
      <c r="E1451" s="83" t="b">
        <v>0</v>
      </c>
      <c r="F1451" s="83" t="b">
        <v>0</v>
      </c>
      <c r="G1451" s="83" t="b">
        <v>0</v>
      </c>
    </row>
    <row r="1452" spans="1:7" ht="15">
      <c r="A1452" s="84" t="s">
        <v>2649</v>
      </c>
      <c r="B1452" s="83">
        <v>3</v>
      </c>
      <c r="C1452" s="110">
        <v>0.0012011033502306269</v>
      </c>
      <c r="D1452" s="83" t="s">
        <v>2087</v>
      </c>
      <c r="E1452" s="83" t="b">
        <v>0</v>
      </c>
      <c r="F1452" s="83" t="b">
        <v>0</v>
      </c>
      <c r="G1452" s="83" t="b">
        <v>0</v>
      </c>
    </row>
    <row r="1453" spans="1:7" ht="15">
      <c r="A1453" s="84" t="s">
        <v>2656</v>
      </c>
      <c r="B1453" s="83">
        <v>3</v>
      </c>
      <c r="C1453" s="110">
        <v>0.0012011033502306269</v>
      </c>
      <c r="D1453" s="83" t="s">
        <v>2087</v>
      </c>
      <c r="E1453" s="83" t="b">
        <v>0</v>
      </c>
      <c r="F1453" s="83" t="b">
        <v>0</v>
      </c>
      <c r="G1453" s="83" t="b">
        <v>0</v>
      </c>
    </row>
    <row r="1454" spans="1:7" ht="15">
      <c r="A1454" s="84" t="s">
        <v>2337</v>
      </c>
      <c r="B1454" s="83">
        <v>3</v>
      </c>
      <c r="C1454" s="110">
        <v>0.001295929014773266</v>
      </c>
      <c r="D1454" s="83" t="s">
        <v>2087</v>
      </c>
      <c r="E1454" s="83" t="b">
        <v>0</v>
      </c>
      <c r="F1454" s="83" t="b">
        <v>0</v>
      </c>
      <c r="G1454" s="83" t="b">
        <v>0</v>
      </c>
    </row>
    <row r="1455" spans="1:7" ht="15">
      <c r="A1455" s="84" t="s">
        <v>2671</v>
      </c>
      <c r="B1455" s="83">
        <v>3</v>
      </c>
      <c r="C1455" s="110">
        <v>0.0012011033502306269</v>
      </c>
      <c r="D1455" s="83" t="s">
        <v>2087</v>
      </c>
      <c r="E1455" s="83" t="b">
        <v>0</v>
      </c>
      <c r="F1455" s="83" t="b">
        <v>0</v>
      </c>
      <c r="G1455" s="83" t="b">
        <v>0</v>
      </c>
    </row>
    <row r="1456" spans="1:7" ht="15">
      <c r="A1456" s="84" t="s">
        <v>2502</v>
      </c>
      <c r="B1456" s="83">
        <v>3</v>
      </c>
      <c r="C1456" s="110">
        <v>0.0012011033502306269</v>
      </c>
      <c r="D1456" s="83" t="s">
        <v>2087</v>
      </c>
      <c r="E1456" s="83" t="b">
        <v>0</v>
      </c>
      <c r="F1456" s="83" t="b">
        <v>0</v>
      </c>
      <c r="G1456" s="83" t="b">
        <v>0</v>
      </c>
    </row>
    <row r="1457" spans="1:7" ht="15">
      <c r="A1457" s="84" t="s">
        <v>2672</v>
      </c>
      <c r="B1457" s="83">
        <v>3</v>
      </c>
      <c r="C1457" s="110">
        <v>0.0012011033502306269</v>
      </c>
      <c r="D1457" s="83" t="s">
        <v>2087</v>
      </c>
      <c r="E1457" s="83" t="b">
        <v>0</v>
      </c>
      <c r="F1457" s="83" t="b">
        <v>0</v>
      </c>
      <c r="G1457" s="83" t="b">
        <v>0</v>
      </c>
    </row>
    <row r="1458" spans="1:7" ht="15">
      <c r="A1458" s="84" t="s">
        <v>2440</v>
      </c>
      <c r="B1458" s="83">
        <v>3</v>
      </c>
      <c r="C1458" s="110">
        <v>0.0012011033502306269</v>
      </c>
      <c r="D1458" s="83" t="s">
        <v>2087</v>
      </c>
      <c r="E1458" s="83" t="b">
        <v>0</v>
      </c>
      <c r="F1458" s="83" t="b">
        <v>1</v>
      </c>
      <c r="G1458" s="83" t="b">
        <v>0</v>
      </c>
    </row>
    <row r="1459" spans="1:7" ht="15">
      <c r="A1459" s="84" t="s">
        <v>2678</v>
      </c>
      <c r="B1459" s="83">
        <v>3</v>
      </c>
      <c r="C1459" s="110">
        <v>0.0012011033502306269</v>
      </c>
      <c r="D1459" s="83" t="s">
        <v>2087</v>
      </c>
      <c r="E1459" s="83" t="b">
        <v>0</v>
      </c>
      <c r="F1459" s="83" t="b">
        <v>0</v>
      </c>
      <c r="G1459" s="83" t="b">
        <v>0</v>
      </c>
    </row>
    <row r="1460" spans="1:7" ht="15">
      <c r="A1460" s="84" t="s">
        <v>2679</v>
      </c>
      <c r="B1460" s="83">
        <v>3</v>
      </c>
      <c r="C1460" s="110">
        <v>0.0012011033502306269</v>
      </c>
      <c r="D1460" s="83" t="s">
        <v>2087</v>
      </c>
      <c r="E1460" s="83" t="b">
        <v>0</v>
      </c>
      <c r="F1460" s="83" t="b">
        <v>0</v>
      </c>
      <c r="G1460" s="83" t="b">
        <v>0</v>
      </c>
    </row>
    <row r="1461" spans="1:7" ht="15">
      <c r="A1461" s="84" t="s">
        <v>2510</v>
      </c>
      <c r="B1461" s="83">
        <v>3</v>
      </c>
      <c r="C1461" s="110">
        <v>0.001295929014773266</v>
      </c>
      <c r="D1461" s="83" t="s">
        <v>2087</v>
      </c>
      <c r="E1461" s="83" t="b">
        <v>0</v>
      </c>
      <c r="F1461" s="83" t="b">
        <v>0</v>
      </c>
      <c r="G1461" s="83" t="b">
        <v>0</v>
      </c>
    </row>
    <row r="1462" spans="1:7" ht="15">
      <c r="A1462" s="84" t="s">
        <v>2680</v>
      </c>
      <c r="B1462" s="83">
        <v>3</v>
      </c>
      <c r="C1462" s="110">
        <v>0.0012011033502306269</v>
      </c>
      <c r="D1462" s="83" t="s">
        <v>2087</v>
      </c>
      <c r="E1462" s="83" t="b">
        <v>0</v>
      </c>
      <c r="F1462" s="83" t="b">
        <v>0</v>
      </c>
      <c r="G1462" s="83" t="b">
        <v>0</v>
      </c>
    </row>
    <row r="1463" spans="1:7" ht="15">
      <c r="A1463" s="84" t="s">
        <v>2501</v>
      </c>
      <c r="B1463" s="83">
        <v>3</v>
      </c>
      <c r="C1463" s="110">
        <v>0.0012011033502306269</v>
      </c>
      <c r="D1463" s="83" t="s">
        <v>2087</v>
      </c>
      <c r="E1463" s="83" t="b">
        <v>0</v>
      </c>
      <c r="F1463" s="83" t="b">
        <v>1</v>
      </c>
      <c r="G1463" s="83" t="b">
        <v>0</v>
      </c>
    </row>
    <row r="1464" spans="1:7" ht="15">
      <c r="A1464" s="84" t="s">
        <v>2681</v>
      </c>
      <c r="B1464" s="83">
        <v>3</v>
      </c>
      <c r="C1464" s="110">
        <v>0.0012011033502306269</v>
      </c>
      <c r="D1464" s="83" t="s">
        <v>2087</v>
      </c>
      <c r="E1464" s="83" t="b">
        <v>0</v>
      </c>
      <c r="F1464" s="83" t="b">
        <v>0</v>
      </c>
      <c r="G1464" s="83" t="b">
        <v>0</v>
      </c>
    </row>
    <row r="1465" spans="1:7" ht="15">
      <c r="A1465" s="84" t="s">
        <v>2513</v>
      </c>
      <c r="B1465" s="83">
        <v>3</v>
      </c>
      <c r="C1465" s="110">
        <v>0.0012011033502306269</v>
      </c>
      <c r="D1465" s="83" t="s">
        <v>2087</v>
      </c>
      <c r="E1465" s="83" t="b">
        <v>0</v>
      </c>
      <c r="F1465" s="83" t="b">
        <v>0</v>
      </c>
      <c r="G1465" s="83" t="b">
        <v>0</v>
      </c>
    </row>
    <row r="1466" spans="1:7" ht="15">
      <c r="A1466" s="84" t="s">
        <v>2682</v>
      </c>
      <c r="B1466" s="83">
        <v>3</v>
      </c>
      <c r="C1466" s="110">
        <v>0.001295929014773266</v>
      </c>
      <c r="D1466" s="83" t="s">
        <v>2087</v>
      </c>
      <c r="E1466" s="83" t="b">
        <v>0</v>
      </c>
      <c r="F1466" s="83" t="b">
        <v>0</v>
      </c>
      <c r="G1466" s="83" t="b">
        <v>0</v>
      </c>
    </row>
    <row r="1467" spans="1:7" ht="15">
      <c r="A1467" s="84" t="s">
        <v>2684</v>
      </c>
      <c r="B1467" s="83">
        <v>3</v>
      </c>
      <c r="C1467" s="110">
        <v>0.001295929014773266</v>
      </c>
      <c r="D1467" s="83" t="s">
        <v>2087</v>
      </c>
      <c r="E1467" s="83" t="b">
        <v>0</v>
      </c>
      <c r="F1467" s="83" t="b">
        <v>0</v>
      </c>
      <c r="G1467" s="83" t="b">
        <v>0</v>
      </c>
    </row>
    <row r="1468" spans="1:7" ht="15">
      <c r="A1468" s="84" t="s">
        <v>2685</v>
      </c>
      <c r="B1468" s="83">
        <v>3</v>
      </c>
      <c r="C1468" s="110">
        <v>0.0012011033502306269</v>
      </c>
      <c r="D1468" s="83" t="s">
        <v>2087</v>
      </c>
      <c r="E1468" s="83" t="b">
        <v>0</v>
      </c>
      <c r="F1468" s="83" t="b">
        <v>0</v>
      </c>
      <c r="G1468" s="83" t="b">
        <v>0</v>
      </c>
    </row>
    <row r="1469" spans="1:7" ht="15">
      <c r="A1469" s="84" t="s">
        <v>2686</v>
      </c>
      <c r="B1469" s="83">
        <v>3</v>
      </c>
      <c r="C1469" s="110">
        <v>0.0014580345590188132</v>
      </c>
      <c r="D1469" s="83" t="s">
        <v>2087</v>
      </c>
      <c r="E1469" s="83" t="b">
        <v>0</v>
      </c>
      <c r="F1469" s="83" t="b">
        <v>0</v>
      </c>
      <c r="G1469" s="83" t="b">
        <v>0</v>
      </c>
    </row>
    <row r="1470" spans="1:7" ht="15">
      <c r="A1470" s="84" t="s">
        <v>2687</v>
      </c>
      <c r="B1470" s="83">
        <v>3</v>
      </c>
      <c r="C1470" s="110">
        <v>0.0012011033502306269</v>
      </c>
      <c r="D1470" s="83" t="s">
        <v>2087</v>
      </c>
      <c r="E1470" s="83" t="b">
        <v>0</v>
      </c>
      <c r="F1470" s="83" t="b">
        <v>0</v>
      </c>
      <c r="G1470" s="83" t="b">
        <v>0</v>
      </c>
    </row>
    <row r="1471" spans="1:7" ht="15">
      <c r="A1471" s="84" t="s">
        <v>2688</v>
      </c>
      <c r="B1471" s="83">
        <v>3</v>
      </c>
      <c r="C1471" s="110">
        <v>0.001295929014773266</v>
      </c>
      <c r="D1471" s="83" t="s">
        <v>2087</v>
      </c>
      <c r="E1471" s="83" t="b">
        <v>0</v>
      </c>
      <c r="F1471" s="83" t="b">
        <v>0</v>
      </c>
      <c r="G1471" s="83" t="b">
        <v>0</v>
      </c>
    </row>
    <row r="1472" spans="1:7" ht="15">
      <c r="A1472" s="84" t="s">
        <v>2521</v>
      </c>
      <c r="B1472" s="83">
        <v>3</v>
      </c>
      <c r="C1472" s="110">
        <v>0.0012011033502306269</v>
      </c>
      <c r="D1472" s="83" t="s">
        <v>2087</v>
      </c>
      <c r="E1472" s="83" t="b">
        <v>1</v>
      </c>
      <c r="F1472" s="83" t="b">
        <v>0</v>
      </c>
      <c r="G1472" s="83" t="b">
        <v>0</v>
      </c>
    </row>
    <row r="1473" spans="1:7" ht="15">
      <c r="A1473" s="84" t="s">
        <v>2689</v>
      </c>
      <c r="B1473" s="83">
        <v>3</v>
      </c>
      <c r="C1473" s="110">
        <v>0.0012011033502306269</v>
      </c>
      <c r="D1473" s="83" t="s">
        <v>2087</v>
      </c>
      <c r="E1473" s="83" t="b">
        <v>0</v>
      </c>
      <c r="F1473" s="83" t="b">
        <v>0</v>
      </c>
      <c r="G1473" s="83" t="b">
        <v>0</v>
      </c>
    </row>
    <row r="1474" spans="1:7" ht="15">
      <c r="A1474" s="84" t="s">
        <v>2690</v>
      </c>
      <c r="B1474" s="83">
        <v>3</v>
      </c>
      <c r="C1474" s="110">
        <v>0.0014580345590188132</v>
      </c>
      <c r="D1474" s="83" t="s">
        <v>2087</v>
      </c>
      <c r="E1474" s="83" t="b">
        <v>0</v>
      </c>
      <c r="F1474" s="83" t="b">
        <v>0</v>
      </c>
      <c r="G1474" s="83" t="b">
        <v>0</v>
      </c>
    </row>
    <row r="1475" spans="1:7" ht="15">
      <c r="A1475" s="84" t="s">
        <v>2691</v>
      </c>
      <c r="B1475" s="83">
        <v>3</v>
      </c>
      <c r="C1475" s="110">
        <v>0.001295929014773266</v>
      </c>
      <c r="D1475" s="83" t="s">
        <v>2087</v>
      </c>
      <c r="E1475" s="83" t="b">
        <v>0</v>
      </c>
      <c r="F1475" s="83" t="b">
        <v>0</v>
      </c>
      <c r="G1475" s="83" t="b">
        <v>0</v>
      </c>
    </row>
    <row r="1476" spans="1:7" ht="15">
      <c r="A1476" s="84" t="s">
        <v>2498</v>
      </c>
      <c r="B1476" s="83">
        <v>3</v>
      </c>
      <c r="C1476" s="110">
        <v>0.0012011033502306269</v>
      </c>
      <c r="D1476" s="83" t="s">
        <v>2087</v>
      </c>
      <c r="E1476" s="83" t="b">
        <v>0</v>
      </c>
      <c r="F1476" s="83" t="b">
        <v>0</v>
      </c>
      <c r="G1476" s="83" t="b">
        <v>0</v>
      </c>
    </row>
    <row r="1477" spans="1:7" ht="15">
      <c r="A1477" s="84" t="s">
        <v>2692</v>
      </c>
      <c r="B1477" s="83">
        <v>3</v>
      </c>
      <c r="C1477" s="110">
        <v>0.0012011033502306269</v>
      </c>
      <c r="D1477" s="83" t="s">
        <v>2087</v>
      </c>
      <c r="E1477" s="83" t="b">
        <v>0</v>
      </c>
      <c r="F1477" s="83" t="b">
        <v>0</v>
      </c>
      <c r="G1477" s="83" t="b">
        <v>0</v>
      </c>
    </row>
    <row r="1478" spans="1:7" ht="15">
      <c r="A1478" s="84" t="s">
        <v>2485</v>
      </c>
      <c r="B1478" s="83">
        <v>3</v>
      </c>
      <c r="C1478" s="110">
        <v>0.0012011033502306269</v>
      </c>
      <c r="D1478" s="83" t="s">
        <v>2087</v>
      </c>
      <c r="E1478" s="83" t="b">
        <v>0</v>
      </c>
      <c r="F1478" s="83" t="b">
        <v>0</v>
      </c>
      <c r="G1478" s="83" t="b">
        <v>0</v>
      </c>
    </row>
    <row r="1479" spans="1:7" ht="15">
      <c r="A1479" s="84" t="s">
        <v>2693</v>
      </c>
      <c r="B1479" s="83">
        <v>3</v>
      </c>
      <c r="C1479" s="110">
        <v>0.0012011033502306269</v>
      </c>
      <c r="D1479" s="83" t="s">
        <v>2087</v>
      </c>
      <c r="E1479" s="83" t="b">
        <v>1</v>
      </c>
      <c r="F1479" s="83" t="b">
        <v>0</v>
      </c>
      <c r="G1479" s="83" t="b">
        <v>0</v>
      </c>
    </row>
    <row r="1480" spans="1:7" ht="15">
      <c r="A1480" s="84" t="s">
        <v>2695</v>
      </c>
      <c r="B1480" s="83">
        <v>3</v>
      </c>
      <c r="C1480" s="110">
        <v>0.0012011033502306269</v>
      </c>
      <c r="D1480" s="83" t="s">
        <v>2087</v>
      </c>
      <c r="E1480" s="83" t="b">
        <v>0</v>
      </c>
      <c r="F1480" s="83" t="b">
        <v>0</v>
      </c>
      <c r="G1480" s="83" t="b">
        <v>0</v>
      </c>
    </row>
    <row r="1481" spans="1:7" ht="15">
      <c r="A1481" s="84" t="s">
        <v>2439</v>
      </c>
      <c r="B1481" s="83">
        <v>3</v>
      </c>
      <c r="C1481" s="110">
        <v>0.0012011033502306269</v>
      </c>
      <c r="D1481" s="83" t="s">
        <v>2087</v>
      </c>
      <c r="E1481" s="83" t="b">
        <v>0</v>
      </c>
      <c r="F1481" s="83" t="b">
        <v>0</v>
      </c>
      <c r="G1481" s="83" t="b">
        <v>0</v>
      </c>
    </row>
    <row r="1482" spans="1:7" ht="15">
      <c r="A1482" s="84" t="s">
        <v>2694</v>
      </c>
      <c r="B1482" s="83">
        <v>3</v>
      </c>
      <c r="C1482" s="110">
        <v>0.0012011033502306269</v>
      </c>
      <c r="D1482" s="83" t="s">
        <v>2087</v>
      </c>
      <c r="E1482" s="83" t="b">
        <v>0</v>
      </c>
      <c r="F1482" s="83" t="b">
        <v>0</v>
      </c>
      <c r="G1482" s="83" t="b">
        <v>0</v>
      </c>
    </row>
    <row r="1483" spans="1:7" ht="15">
      <c r="A1483" s="84" t="s">
        <v>2696</v>
      </c>
      <c r="B1483" s="83">
        <v>3</v>
      </c>
      <c r="C1483" s="110">
        <v>0.0012011033502306269</v>
      </c>
      <c r="D1483" s="83" t="s">
        <v>2087</v>
      </c>
      <c r="E1483" s="83" t="b">
        <v>0</v>
      </c>
      <c r="F1483" s="83" t="b">
        <v>0</v>
      </c>
      <c r="G1483" s="83" t="b">
        <v>0</v>
      </c>
    </row>
    <row r="1484" spans="1:7" ht="15">
      <c r="A1484" s="84" t="s">
        <v>2335</v>
      </c>
      <c r="B1484" s="83">
        <v>3</v>
      </c>
      <c r="C1484" s="110">
        <v>0.001295929014773266</v>
      </c>
      <c r="D1484" s="83" t="s">
        <v>2087</v>
      </c>
      <c r="E1484" s="83" t="b">
        <v>0</v>
      </c>
      <c r="F1484" s="83" t="b">
        <v>0</v>
      </c>
      <c r="G1484" s="83" t="b">
        <v>0</v>
      </c>
    </row>
    <row r="1485" spans="1:7" ht="15">
      <c r="A1485" s="84" t="s">
        <v>2697</v>
      </c>
      <c r="B1485" s="83">
        <v>3</v>
      </c>
      <c r="C1485" s="110">
        <v>0.0012011033502306269</v>
      </c>
      <c r="D1485" s="83" t="s">
        <v>2087</v>
      </c>
      <c r="E1485" s="83" t="b">
        <v>0</v>
      </c>
      <c r="F1485" s="83" t="b">
        <v>0</v>
      </c>
      <c r="G1485" s="83" t="b">
        <v>0</v>
      </c>
    </row>
    <row r="1486" spans="1:7" ht="15">
      <c r="A1486" s="84" t="s">
        <v>2406</v>
      </c>
      <c r="B1486" s="83">
        <v>3</v>
      </c>
      <c r="C1486" s="110">
        <v>0.0012011033502306269</v>
      </c>
      <c r="D1486" s="83" t="s">
        <v>2087</v>
      </c>
      <c r="E1486" s="83" t="b">
        <v>0</v>
      </c>
      <c r="F1486" s="83" t="b">
        <v>0</v>
      </c>
      <c r="G1486" s="83" t="b">
        <v>0</v>
      </c>
    </row>
    <row r="1487" spans="1:7" ht="15">
      <c r="A1487" s="84" t="s">
        <v>2698</v>
      </c>
      <c r="B1487" s="83">
        <v>3</v>
      </c>
      <c r="C1487" s="110">
        <v>0.0012011033502306269</v>
      </c>
      <c r="D1487" s="83" t="s">
        <v>2087</v>
      </c>
      <c r="E1487" s="83" t="b">
        <v>0</v>
      </c>
      <c r="F1487" s="83" t="b">
        <v>0</v>
      </c>
      <c r="G1487" s="83" t="b">
        <v>0</v>
      </c>
    </row>
    <row r="1488" spans="1:7" ht="15">
      <c r="A1488" s="84" t="s">
        <v>2500</v>
      </c>
      <c r="B1488" s="83">
        <v>3</v>
      </c>
      <c r="C1488" s="110">
        <v>0.001295929014773266</v>
      </c>
      <c r="D1488" s="83" t="s">
        <v>2087</v>
      </c>
      <c r="E1488" s="83" t="b">
        <v>0</v>
      </c>
      <c r="F1488" s="83" t="b">
        <v>0</v>
      </c>
      <c r="G1488" s="83" t="b">
        <v>0</v>
      </c>
    </row>
    <row r="1489" spans="1:7" ht="15">
      <c r="A1489" s="84" t="s">
        <v>2699</v>
      </c>
      <c r="B1489" s="83">
        <v>3</v>
      </c>
      <c r="C1489" s="110">
        <v>0.001295929014773266</v>
      </c>
      <c r="D1489" s="83" t="s">
        <v>2087</v>
      </c>
      <c r="E1489" s="83" t="b">
        <v>0</v>
      </c>
      <c r="F1489" s="83" t="b">
        <v>1</v>
      </c>
      <c r="G1489" s="83" t="b">
        <v>0</v>
      </c>
    </row>
    <row r="1490" spans="1:7" ht="15">
      <c r="A1490" s="84" t="s">
        <v>2700</v>
      </c>
      <c r="B1490" s="83">
        <v>3</v>
      </c>
      <c r="C1490" s="110">
        <v>0.0012011033502306269</v>
      </c>
      <c r="D1490" s="83" t="s">
        <v>2087</v>
      </c>
      <c r="E1490" s="83" t="b">
        <v>0</v>
      </c>
      <c r="F1490" s="83" t="b">
        <v>0</v>
      </c>
      <c r="G1490" s="83" t="b">
        <v>0</v>
      </c>
    </row>
    <row r="1491" spans="1:7" ht="15">
      <c r="A1491" s="84" t="s">
        <v>2701</v>
      </c>
      <c r="B1491" s="83">
        <v>3</v>
      </c>
      <c r="C1491" s="110">
        <v>0.0014580345590188132</v>
      </c>
      <c r="D1491" s="83" t="s">
        <v>2087</v>
      </c>
      <c r="E1491" s="83" t="b">
        <v>0</v>
      </c>
      <c r="F1491" s="83" t="b">
        <v>0</v>
      </c>
      <c r="G1491" s="83" t="b">
        <v>0</v>
      </c>
    </row>
    <row r="1492" spans="1:7" ht="15">
      <c r="A1492" s="84" t="s">
        <v>2702</v>
      </c>
      <c r="B1492" s="83">
        <v>3</v>
      </c>
      <c r="C1492" s="110">
        <v>0.001295929014773266</v>
      </c>
      <c r="D1492" s="83" t="s">
        <v>2087</v>
      </c>
      <c r="E1492" s="83" t="b">
        <v>0</v>
      </c>
      <c r="F1492" s="83" t="b">
        <v>0</v>
      </c>
      <c r="G1492" s="83" t="b">
        <v>0</v>
      </c>
    </row>
    <row r="1493" spans="1:7" ht="15">
      <c r="A1493" s="84" t="s">
        <v>2703</v>
      </c>
      <c r="B1493" s="83">
        <v>3</v>
      </c>
      <c r="C1493" s="110">
        <v>0.0012011033502306269</v>
      </c>
      <c r="D1493" s="83" t="s">
        <v>2087</v>
      </c>
      <c r="E1493" s="83" t="b">
        <v>0</v>
      </c>
      <c r="F1493" s="83" t="b">
        <v>0</v>
      </c>
      <c r="G1493" s="83" t="b">
        <v>0</v>
      </c>
    </row>
    <row r="1494" spans="1:7" ht="15">
      <c r="A1494" s="84" t="s">
        <v>2704</v>
      </c>
      <c r="B1494" s="83">
        <v>3</v>
      </c>
      <c r="C1494" s="110">
        <v>0.0012011033502306269</v>
      </c>
      <c r="D1494" s="83" t="s">
        <v>2087</v>
      </c>
      <c r="E1494" s="83" t="b">
        <v>0</v>
      </c>
      <c r="F1494" s="83" t="b">
        <v>0</v>
      </c>
      <c r="G1494" s="83" t="b">
        <v>0</v>
      </c>
    </row>
    <row r="1495" spans="1:7" ht="15">
      <c r="A1495" s="84" t="s">
        <v>2706</v>
      </c>
      <c r="B1495" s="83">
        <v>3</v>
      </c>
      <c r="C1495" s="110">
        <v>0.0012011033502306269</v>
      </c>
      <c r="D1495" s="83" t="s">
        <v>2087</v>
      </c>
      <c r="E1495" s="83" t="b">
        <v>0</v>
      </c>
      <c r="F1495" s="83" t="b">
        <v>0</v>
      </c>
      <c r="G1495" s="83" t="b">
        <v>0</v>
      </c>
    </row>
    <row r="1496" spans="1:7" ht="15">
      <c r="A1496" s="84" t="s">
        <v>2705</v>
      </c>
      <c r="B1496" s="83">
        <v>3</v>
      </c>
      <c r="C1496" s="110">
        <v>0.0012011033502306269</v>
      </c>
      <c r="D1496" s="83" t="s">
        <v>2087</v>
      </c>
      <c r="E1496" s="83" t="b">
        <v>0</v>
      </c>
      <c r="F1496" s="83" t="b">
        <v>1</v>
      </c>
      <c r="G1496" s="83" t="b">
        <v>0</v>
      </c>
    </row>
    <row r="1497" spans="1:7" ht="15">
      <c r="A1497" s="84" t="s">
        <v>2707</v>
      </c>
      <c r="B1497" s="83">
        <v>3</v>
      </c>
      <c r="C1497" s="110">
        <v>0.0012011033502306269</v>
      </c>
      <c r="D1497" s="83" t="s">
        <v>2087</v>
      </c>
      <c r="E1497" s="83" t="b">
        <v>1</v>
      </c>
      <c r="F1497" s="83" t="b">
        <v>0</v>
      </c>
      <c r="G1497" s="83" t="b">
        <v>0</v>
      </c>
    </row>
    <row r="1498" spans="1:7" ht="15">
      <c r="A1498" s="84" t="s">
        <v>2708</v>
      </c>
      <c r="B1498" s="83">
        <v>3</v>
      </c>
      <c r="C1498" s="110">
        <v>0.0012011033502306269</v>
      </c>
      <c r="D1498" s="83" t="s">
        <v>2087</v>
      </c>
      <c r="E1498" s="83" t="b">
        <v>0</v>
      </c>
      <c r="F1498" s="83" t="b">
        <v>0</v>
      </c>
      <c r="G1498" s="83" t="b">
        <v>0</v>
      </c>
    </row>
    <row r="1499" spans="1:7" ht="15">
      <c r="A1499" s="84" t="s">
        <v>2481</v>
      </c>
      <c r="B1499" s="83">
        <v>3</v>
      </c>
      <c r="C1499" s="110">
        <v>0.0012011033502306269</v>
      </c>
      <c r="D1499" s="83" t="s">
        <v>2087</v>
      </c>
      <c r="E1499" s="83" t="b">
        <v>0</v>
      </c>
      <c r="F1499" s="83" t="b">
        <v>0</v>
      </c>
      <c r="G1499" s="83" t="b">
        <v>0</v>
      </c>
    </row>
    <row r="1500" spans="1:7" ht="15">
      <c r="A1500" s="84" t="s">
        <v>2364</v>
      </c>
      <c r="B1500" s="83">
        <v>3</v>
      </c>
      <c r="C1500" s="110">
        <v>0.0012011033502306269</v>
      </c>
      <c r="D1500" s="83" t="s">
        <v>2087</v>
      </c>
      <c r="E1500" s="83" t="b">
        <v>0</v>
      </c>
      <c r="F1500" s="83" t="b">
        <v>0</v>
      </c>
      <c r="G1500" s="83" t="b">
        <v>0</v>
      </c>
    </row>
    <row r="1501" spans="1:7" ht="15">
      <c r="A1501" s="84" t="s">
        <v>2457</v>
      </c>
      <c r="B1501" s="83">
        <v>3</v>
      </c>
      <c r="C1501" s="110">
        <v>0.0012011033502306269</v>
      </c>
      <c r="D1501" s="83" t="s">
        <v>2087</v>
      </c>
      <c r="E1501" s="83" t="b">
        <v>1</v>
      </c>
      <c r="F1501" s="83" t="b">
        <v>0</v>
      </c>
      <c r="G1501" s="83" t="b">
        <v>0</v>
      </c>
    </row>
    <row r="1502" spans="1:7" ht="15">
      <c r="A1502" s="84" t="s">
        <v>2709</v>
      </c>
      <c r="B1502" s="83">
        <v>3</v>
      </c>
      <c r="C1502" s="110">
        <v>0.001295929014773266</v>
      </c>
      <c r="D1502" s="83" t="s">
        <v>2087</v>
      </c>
      <c r="E1502" s="83" t="b">
        <v>0</v>
      </c>
      <c r="F1502" s="83" t="b">
        <v>0</v>
      </c>
      <c r="G1502" s="83" t="b">
        <v>0</v>
      </c>
    </row>
    <row r="1503" spans="1:7" ht="15">
      <c r="A1503" s="84" t="s">
        <v>2290</v>
      </c>
      <c r="B1503" s="83">
        <v>3</v>
      </c>
      <c r="C1503" s="110">
        <v>0.001295929014773266</v>
      </c>
      <c r="D1503" s="83" t="s">
        <v>2087</v>
      </c>
      <c r="E1503" s="83" t="b">
        <v>0</v>
      </c>
      <c r="F1503" s="83" t="b">
        <v>0</v>
      </c>
      <c r="G1503" s="83" t="b">
        <v>0</v>
      </c>
    </row>
    <row r="1504" spans="1:7" ht="15">
      <c r="A1504" s="84" t="s">
        <v>2415</v>
      </c>
      <c r="B1504" s="83">
        <v>3</v>
      </c>
      <c r="C1504" s="110">
        <v>0.001295929014773266</v>
      </c>
      <c r="D1504" s="83" t="s">
        <v>2087</v>
      </c>
      <c r="E1504" s="83" t="b">
        <v>0</v>
      </c>
      <c r="F1504" s="83" t="b">
        <v>0</v>
      </c>
      <c r="G1504" s="83" t="b">
        <v>0</v>
      </c>
    </row>
    <row r="1505" spans="1:7" ht="15">
      <c r="A1505" s="84" t="s">
        <v>2530</v>
      </c>
      <c r="B1505" s="83">
        <v>3</v>
      </c>
      <c r="C1505" s="110">
        <v>0.001295929014773266</v>
      </c>
      <c r="D1505" s="83" t="s">
        <v>2087</v>
      </c>
      <c r="E1505" s="83" t="b">
        <v>0</v>
      </c>
      <c r="F1505" s="83" t="b">
        <v>0</v>
      </c>
      <c r="G1505" s="83" t="b">
        <v>0</v>
      </c>
    </row>
    <row r="1506" spans="1:7" ht="15">
      <c r="A1506" s="84" t="s">
        <v>2713</v>
      </c>
      <c r="B1506" s="83">
        <v>3</v>
      </c>
      <c r="C1506" s="110">
        <v>0.0012011033502306269</v>
      </c>
      <c r="D1506" s="83" t="s">
        <v>2087</v>
      </c>
      <c r="E1506" s="83" t="b">
        <v>0</v>
      </c>
      <c r="F1506" s="83" t="b">
        <v>0</v>
      </c>
      <c r="G1506" s="83" t="b">
        <v>0</v>
      </c>
    </row>
    <row r="1507" spans="1:7" ht="15">
      <c r="A1507" s="84" t="s">
        <v>2718</v>
      </c>
      <c r="B1507" s="83">
        <v>3</v>
      </c>
      <c r="C1507" s="110">
        <v>0.001295929014773266</v>
      </c>
      <c r="D1507" s="83" t="s">
        <v>2087</v>
      </c>
      <c r="E1507" s="83" t="b">
        <v>0</v>
      </c>
      <c r="F1507" s="83" t="b">
        <v>0</v>
      </c>
      <c r="G1507" s="83" t="b">
        <v>0</v>
      </c>
    </row>
    <row r="1508" spans="1:7" ht="15">
      <c r="A1508" s="84" t="s">
        <v>2719</v>
      </c>
      <c r="B1508" s="83">
        <v>3</v>
      </c>
      <c r="C1508" s="110">
        <v>0.001295929014773266</v>
      </c>
      <c r="D1508" s="83" t="s">
        <v>2087</v>
      </c>
      <c r="E1508" s="83" t="b">
        <v>0</v>
      </c>
      <c r="F1508" s="83" t="b">
        <v>0</v>
      </c>
      <c r="G1508" s="83" t="b">
        <v>0</v>
      </c>
    </row>
    <row r="1509" spans="1:7" ht="15">
      <c r="A1509" s="84" t="s">
        <v>2340</v>
      </c>
      <c r="B1509" s="83">
        <v>3</v>
      </c>
      <c r="C1509" s="110">
        <v>0.0012011033502306269</v>
      </c>
      <c r="D1509" s="83" t="s">
        <v>2087</v>
      </c>
      <c r="E1509" s="83" t="b">
        <v>1</v>
      </c>
      <c r="F1509" s="83" t="b">
        <v>0</v>
      </c>
      <c r="G1509" s="83" t="b">
        <v>0</v>
      </c>
    </row>
    <row r="1510" spans="1:7" ht="15">
      <c r="A1510" s="84" t="s">
        <v>2441</v>
      </c>
      <c r="B1510" s="83">
        <v>3</v>
      </c>
      <c r="C1510" s="110">
        <v>0.0012011033502306269</v>
      </c>
      <c r="D1510" s="83" t="s">
        <v>2087</v>
      </c>
      <c r="E1510" s="83" t="b">
        <v>0</v>
      </c>
      <c r="F1510" s="83" t="b">
        <v>0</v>
      </c>
      <c r="G1510" s="83" t="b">
        <v>0</v>
      </c>
    </row>
    <row r="1511" spans="1:7" ht="15">
      <c r="A1511" s="84" t="s">
        <v>2720</v>
      </c>
      <c r="B1511" s="83">
        <v>3</v>
      </c>
      <c r="C1511" s="110">
        <v>0.001295929014773266</v>
      </c>
      <c r="D1511" s="83" t="s">
        <v>2087</v>
      </c>
      <c r="E1511" s="83" t="b">
        <v>0</v>
      </c>
      <c r="F1511" s="83" t="b">
        <v>0</v>
      </c>
      <c r="G1511" s="83" t="b">
        <v>0</v>
      </c>
    </row>
    <row r="1512" spans="1:7" ht="15">
      <c r="A1512" s="84" t="s">
        <v>2347</v>
      </c>
      <c r="B1512" s="83">
        <v>3</v>
      </c>
      <c r="C1512" s="110">
        <v>0.001295929014773266</v>
      </c>
      <c r="D1512" s="83" t="s">
        <v>2087</v>
      </c>
      <c r="E1512" s="83" t="b">
        <v>0</v>
      </c>
      <c r="F1512" s="83" t="b">
        <v>0</v>
      </c>
      <c r="G1512" s="83" t="b">
        <v>0</v>
      </c>
    </row>
    <row r="1513" spans="1:7" ht="15">
      <c r="A1513" s="84" t="s">
        <v>2717</v>
      </c>
      <c r="B1513" s="83">
        <v>3</v>
      </c>
      <c r="C1513" s="110">
        <v>0.0012011033502306269</v>
      </c>
      <c r="D1513" s="83" t="s">
        <v>2087</v>
      </c>
      <c r="E1513" s="83" t="b">
        <v>0</v>
      </c>
      <c r="F1513" s="83" t="b">
        <v>0</v>
      </c>
      <c r="G1513" s="83" t="b">
        <v>0</v>
      </c>
    </row>
    <row r="1514" spans="1:7" ht="15">
      <c r="A1514" s="84" t="s">
        <v>2716</v>
      </c>
      <c r="B1514" s="83">
        <v>3</v>
      </c>
      <c r="C1514" s="110">
        <v>0.0012011033502306269</v>
      </c>
      <c r="D1514" s="83" t="s">
        <v>2087</v>
      </c>
      <c r="E1514" s="83" t="b">
        <v>0</v>
      </c>
      <c r="F1514" s="83" t="b">
        <v>0</v>
      </c>
      <c r="G1514" s="83" t="b">
        <v>0</v>
      </c>
    </row>
    <row r="1515" spans="1:7" ht="15">
      <c r="A1515" s="84" t="s">
        <v>2721</v>
      </c>
      <c r="B1515" s="83">
        <v>3</v>
      </c>
      <c r="C1515" s="110">
        <v>0.0014580345590188132</v>
      </c>
      <c r="D1515" s="83" t="s">
        <v>2087</v>
      </c>
      <c r="E1515" s="83" t="b">
        <v>0</v>
      </c>
      <c r="F1515" s="83" t="b">
        <v>0</v>
      </c>
      <c r="G1515" s="83" t="b">
        <v>0</v>
      </c>
    </row>
    <row r="1516" spans="1:7" ht="15">
      <c r="A1516" s="84" t="s">
        <v>2723</v>
      </c>
      <c r="B1516" s="83">
        <v>3</v>
      </c>
      <c r="C1516" s="110">
        <v>0.0012011033502306269</v>
      </c>
      <c r="D1516" s="83" t="s">
        <v>2087</v>
      </c>
      <c r="E1516" s="83" t="b">
        <v>0</v>
      </c>
      <c r="F1516" s="83" t="b">
        <v>0</v>
      </c>
      <c r="G1516" s="83" t="b">
        <v>0</v>
      </c>
    </row>
    <row r="1517" spans="1:7" ht="15">
      <c r="A1517" s="84" t="s">
        <v>2722</v>
      </c>
      <c r="B1517" s="83">
        <v>3</v>
      </c>
      <c r="C1517" s="110">
        <v>0.0014580345590188132</v>
      </c>
      <c r="D1517" s="83" t="s">
        <v>2087</v>
      </c>
      <c r="E1517" s="83" t="b">
        <v>1</v>
      </c>
      <c r="F1517" s="83" t="b">
        <v>0</v>
      </c>
      <c r="G1517" s="83" t="b">
        <v>0</v>
      </c>
    </row>
    <row r="1518" spans="1:7" ht="15">
      <c r="A1518" s="84" t="s">
        <v>2724</v>
      </c>
      <c r="B1518" s="83">
        <v>3</v>
      </c>
      <c r="C1518" s="110">
        <v>0.001295929014773266</v>
      </c>
      <c r="D1518" s="83" t="s">
        <v>2087</v>
      </c>
      <c r="E1518" s="83" t="b">
        <v>0</v>
      </c>
      <c r="F1518" s="83" t="b">
        <v>0</v>
      </c>
      <c r="G1518" s="83" t="b">
        <v>0</v>
      </c>
    </row>
    <row r="1519" spans="1:7" ht="15">
      <c r="A1519" s="84" t="s">
        <v>2725</v>
      </c>
      <c r="B1519" s="83">
        <v>3</v>
      </c>
      <c r="C1519" s="110">
        <v>0.0012011033502306269</v>
      </c>
      <c r="D1519" s="83" t="s">
        <v>2087</v>
      </c>
      <c r="E1519" s="83" t="b">
        <v>0</v>
      </c>
      <c r="F1519" s="83" t="b">
        <v>0</v>
      </c>
      <c r="G1519" s="83" t="b">
        <v>0</v>
      </c>
    </row>
    <row r="1520" spans="1:7" ht="15">
      <c r="A1520" s="84" t="s">
        <v>2726</v>
      </c>
      <c r="B1520" s="83">
        <v>3</v>
      </c>
      <c r="C1520" s="110">
        <v>0.0012011033502306269</v>
      </c>
      <c r="D1520" s="83" t="s">
        <v>2087</v>
      </c>
      <c r="E1520" s="83" t="b">
        <v>0</v>
      </c>
      <c r="F1520" s="83" t="b">
        <v>0</v>
      </c>
      <c r="G1520" s="83" t="b">
        <v>0</v>
      </c>
    </row>
    <row r="1521" spans="1:7" ht="15">
      <c r="A1521" s="84" t="s">
        <v>2330</v>
      </c>
      <c r="B1521" s="83">
        <v>3</v>
      </c>
      <c r="C1521" s="110">
        <v>0.0012011033502306269</v>
      </c>
      <c r="D1521" s="83" t="s">
        <v>2087</v>
      </c>
      <c r="E1521" s="83" t="b">
        <v>0</v>
      </c>
      <c r="F1521" s="83" t="b">
        <v>0</v>
      </c>
      <c r="G1521" s="83" t="b">
        <v>0</v>
      </c>
    </row>
    <row r="1522" spans="1:7" ht="15">
      <c r="A1522" s="84" t="s">
        <v>2396</v>
      </c>
      <c r="B1522" s="83">
        <v>3</v>
      </c>
      <c r="C1522" s="110">
        <v>0.0012011033502306269</v>
      </c>
      <c r="D1522" s="83" t="s">
        <v>2087</v>
      </c>
      <c r="E1522" s="83" t="b">
        <v>0</v>
      </c>
      <c r="F1522" s="83" t="b">
        <v>0</v>
      </c>
      <c r="G1522" s="83" t="b">
        <v>0</v>
      </c>
    </row>
    <row r="1523" spans="1:7" ht="15">
      <c r="A1523" s="84" t="s">
        <v>2727</v>
      </c>
      <c r="B1523" s="83">
        <v>3</v>
      </c>
      <c r="C1523" s="110">
        <v>0.001295929014773266</v>
      </c>
      <c r="D1523" s="83" t="s">
        <v>2087</v>
      </c>
      <c r="E1523" s="83" t="b">
        <v>0</v>
      </c>
      <c r="F1523" s="83" t="b">
        <v>0</v>
      </c>
      <c r="G1523" s="83" t="b">
        <v>0</v>
      </c>
    </row>
    <row r="1524" spans="1:7" ht="15">
      <c r="A1524" s="84" t="s">
        <v>2728</v>
      </c>
      <c r="B1524" s="83">
        <v>3</v>
      </c>
      <c r="C1524" s="110">
        <v>0.0012011033502306269</v>
      </c>
      <c r="D1524" s="83" t="s">
        <v>2087</v>
      </c>
      <c r="E1524" s="83" t="b">
        <v>0</v>
      </c>
      <c r="F1524" s="83" t="b">
        <v>0</v>
      </c>
      <c r="G1524" s="83" t="b">
        <v>0</v>
      </c>
    </row>
    <row r="1525" spans="1:7" ht="15">
      <c r="A1525" s="84" t="s">
        <v>2729</v>
      </c>
      <c r="B1525" s="83">
        <v>2</v>
      </c>
      <c r="C1525" s="110">
        <v>0.0008639526765155107</v>
      </c>
      <c r="D1525" s="83" t="s">
        <v>2087</v>
      </c>
      <c r="E1525" s="83" t="b">
        <v>0</v>
      </c>
      <c r="F1525" s="83" t="b">
        <v>0</v>
      </c>
      <c r="G1525" s="83" t="b">
        <v>0</v>
      </c>
    </row>
    <row r="1526" spans="1:7" ht="15">
      <c r="A1526" s="84" t="s">
        <v>2730</v>
      </c>
      <c r="B1526" s="83">
        <v>2</v>
      </c>
      <c r="C1526" s="110">
        <v>0.0008639526765155107</v>
      </c>
      <c r="D1526" s="83" t="s">
        <v>2087</v>
      </c>
      <c r="E1526" s="83" t="b">
        <v>0</v>
      </c>
      <c r="F1526" s="83" t="b">
        <v>0</v>
      </c>
      <c r="G1526" s="83" t="b">
        <v>0</v>
      </c>
    </row>
    <row r="1527" spans="1:7" ht="15">
      <c r="A1527" s="84" t="s">
        <v>3143</v>
      </c>
      <c r="B1527" s="83">
        <v>2</v>
      </c>
      <c r="C1527" s="110">
        <v>0.0008639526765155107</v>
      </c>
      <c r="D1527" s="83" t="s">
        <v>2087</v>
      </c>
      <c r="E1527" s="83" t="b">
        <v>1</v>
      </c>
      <c r="F1527" s="83" t="b">
        <v>0</v>
      </c>
      <c r="G1527" s="83" t="b">
        <v>0</v>
      </c>
    </row>
    <row r="1528" spans="1:7" ht="15">
      <c r="A1528" s="84" t="s">
        <v>3167</v>
      </c>
      <c r="B1528" s="83">
        <v>2</v>
      </c>
      <c r="C1528" s="110">
        <v>0.0009720230393458755</v>
      </c>
      <c r="D1528" s="83" t="s">
        <v>2087</v>
      </c>
      <c r="E1528" s="83" t="b">
        <v>0</v>
      </c>
      <c r="F1528" s="83" t="b">
        <v>0</v>
      </c>
      <c r="G1528" s="83" t="b">
        <v>0</v>
      </c>
    </row>
    <row r="1529" spans="1:7" ht="15">
      <c r="A1529" s="84" t="s">
        <v>3168</v>
      </c>
      <c r="B1529" s="83">
        <v>2</v>
      </c>
      <c r="C1529" s="110">
        <v>0.0009720230393458755</v>
      </c>
      <c r="D1529" s="83" t="s">
        <v>2087</v>
      </c>
      <c r="E1529" s="83" t="b">
        <v>0</v>
      </c>
      <c r="F1529" s="83" t="b">
        <v>0</v>
      </c>
      <c r="G1529" s="83" t="b">
        <v>0</v>
      </c>
    </row>
    <row r="1530" spans="1:7" ht="15">
      <c r="A1530" s="84" t="s">
        <v>3169</v>
      </c>
      <c r="B1530" s="83">
        <v>2</v>
      </c>
      <c r="C1530" s="110">
        <v>0.0009720230393458755</v>
      </c>
      <c r="D1530" s="83" t="s">
        <v>2087</v>
      </c>
      <c r="E1530" s="83" t="b">
        <v>0</v>
      </c>
      <c r="F1530" s="83" t="b">
        <v>0</v>
      </c>
      <c r="G1530" s="83" t="b">
        <v>0</v>
      </c>
    </row>
    <row r="1531" spans="1:7" ht="15">
      <c r="A1531" s="84" t="s">
        <v>2731</v>
      </c>
      <c r="B1531" s="83">
        <v>2</v>
      </c>
      <c r="C1531" s="110">
        <v>0.0008639526765155107</v>
      </c>
      <c r="D1531" s="83" t="s">
        <v>2087</v>
      </c>
      <c r="E1531" s="83" t="b">
        <v>0</v>
      </c>
      <c r="F1531" s="83" t="b">
        <v>0</v>
      </c>
      <c r="G1531" s="83" t="b">
        <v>0</v>
      </c>
    </row>
    <row r="1532" spans="1:7" ht="15">
      <c r="A1532" s="84" t="s">
        <v>2733</v>
      </c>
      <c r="B1532" s="83">
        <v>2</v>
      </c>
      <c r="C1532" s="110">
        <v>0.0008639526765155107</v>
      </c>
      <c r="D1532" s="83" t="s">
        <v>2087</v>
      </c>
      <c r="E1532" s="83" t="b">
        <v>0</v>
      </c>
      <c r="F1532" s="83" t="b">
        <v>1</v>
      </c>
      <c r="G1532" s="83" t="b">
        <v>0</v>
      </c>
    </row>
    <row r="1533" spans="1:7" ht="15">
      <c r="A1533" s="84" t="s">
        <v>2540</v>
      </c>
      <c r="B1533" s="83">
        <v>2</v>
      </c>
      <c r="C1533" s="110">
        <v>0.0008639526765155107</v>
      </c>
      <c r="D1533" s="83" t="s">
        <v>2087</v>
      </c>
      <c r="E1533" s="83" t="b">
        <v>0</v>
      </c>
      <c r="F1533" s="83" t="b">
        <v>0</v>
      </c>
      <c r="G1533" s="83" t="b">
        <v>0</v>
      </c>
    </row>
    <row r="1534" spans="1:7" ht="15">
      <c r="A1534" s="84" t="s">
        <v>2735</v>
      </c>
      <c r="B1534" s="83">
        <v>2</v>
      </c>
      <c r="C1534" s="110">
        <v>0.0008639526765155107</v>
      </c>
      <c r="D1534" s="83" t="s">
        <v>2087</v>
      </c>
      <c r="E1534" s="83" t="b">
        <v>0</v>
      </c>
      <c r="F1534" s="83" t="b">
        <v>0</v>
      </c>
      <c r="G1534" s="83" t="b">
        <v>0</v>
      </c>
    </row>
    <row r="1535" spans="1:7" ht="15">
      <c r="A1535" s="84" t="s">
        <v>2736</v>
      </c>
      <c r="B1535" s="83">
        <v>2</v>
      </c>
      <c r="C1535" s="110">
        <v>0.0009720230393458755</v>
      </c>
      <c r="D1535" s="83" t="s">
        <v>2087</v>
      </c>
      <c r="E1535" s="83" t="b">
        <v>0</v>
      </c>
      <c r="F1535" s="83" t="b">
        <v>0</v>
      </c>
      <c r="G1535" s="83" t="b">
        <v>0</v>
      </c>
    </row>
    <row r="1536" spans="1:7" ht="15">
      <c r="A1536" s="84" t="s">
        <v>2299</v>
      </c>
      <c r="B1536" s="83">
        <v>2</v>
      </c>
      <c r="C1536" s="110">
        <v>0.0008639526765155107</v>
      </c>
      <c r="D1536" s="83" t="s">
        <v>2087</v>
      </c>
      <c r="E1536" s="83" t="b">
        <v>0</v>
      </c>
      <c r="F1536" s="83" t="b">
        <v>0</v>
      </c>
      <c r="G1536" s="83" t="b">
        <v>0</v>
      </c>
    </row>
    <row r="1537" spans="1:7" ht="15">
      <c r="A1537" s="84" t="s">
        <v>2739</v>
      </c>
      <c r="B1537" s="83">
        <v>2</v>
      </c>
      <c r="C1537" s="110">
        <v>0.0008639526765155107</v>
      </c>
      <c r="D1537" s="83" t="s">
        <v>2087</v>
      </c>
      <c r="E1537" s="83" t="b">
        <v>0</v>
      </c>
      <c r="F1537" s="83" t="b">
        <v>0</v>
      </c>
      <c r="G1537" s="83" t="b">
        <v>0</v>
      </c>
    </row>
    <row r="1538" spans="1:7" ht="15">
      <c r="A1538" s="84" t="s">
        <v>2542</v>
      </c>
      <c r="B1538" s="83">
        <v>2</v>
      </c>
      <c r="C1538" s="110">
        <v>0.0008639526765155107</v>
      </c>
      <c r="D1538" s="83" t="s">
        <v>2087</v>
      </c>
      <c r="E1538" s="83" t="b">
        <v>1</v>
      </c>
      <c r="F1538" s="83" t="b">
        <v>0</v>
      </c>
      <c r="G1538" s="83" t="b">
        <v>0</v>
      </c>
    </row>
    <row r="1539" spans="1:7" ht="15">
      <c r="A1539" s="84" t="s">
        <v>2740</v>
      </c>
      <c r="B1539" s="83">
        <v>2</v>
      </c>
      <c r="C1539" s="110">
        <v>0.0008639526765155107</v>
      </c>
      <c r="D1539" s="83" t="s">
        <v>2087</v>
      </c>
      <c r="E1539" s="83" t="b">
        <v>0</v>
      </c>
      <c r="F1539" s="83" t="b">
        <v>0</v>
      </c>
      <c r="G1539" s="83" t="b">
        <v>0</v>
      </c>
    </row>
    <row r="1540" spans="1:7" ht="15">
      <c r="A1540" s="84" t="s">
        <v>2741</v>
      </c>
      <c r="B1540" s="83">
        <v>2</v>
      </c>
      <c r="C1540" s="110">
        <v>0.0008639526765155107</v>
      </c>
      <c r="D1540" s="83" t="s">
        <v>2087</v>
      </c>
      <c r="E1540" s="83" t="b">
        <v>0</v>
      </c>
      <c r="F1540" s="83" t="b">
        <v>1</v>
      </c>
      <c r="G1540" s="83" t="b">
        <v>0</v>
      </c>
    </row>
    <row r="1541" spans="1:7" ht="15">
      <c r="A1541" s="84" t="s">
        <v>2743</v>
      </c>
      <c r="B1541" s="83">
        <v>2</v>
      </c>
      <c r="C1541" s="110">
        <v>0.0008639526765155107</v>
      </c>
      <c r="D1541" s="83" t="s">
        <v>2087</v>
      </c>
      <c r="E1541" s="83" t="b">
        <v>0</v>
      </c>
      <c r="F1541" s="83" t="b">
        <v>0</v>
      </c>
      <c r="G1541" s="83" t="b">
        <v>0</v>
      </c>
    </row>
    <row r="1542" spans="1:7" ht="15">
      <c r="A1542" s="84" t="s">
        <v>2744</v>
      </c>
      <c r="B1542" s="83">
        <v>2</v>
      </c>
      <c r="C1542" s="110">
        <v>0.0009720230393458755</v>
      </c>
      <c r="D1542" s="83" t="s">
        <v>2087</v>
      </c>
      <c r="E1542" s="83" t="b">
        <v>0</v>
      </c>
      <c r="F1542" s="83" t="b">
        <v>0</v>
      </c>
      <c r="G1542" s="83" t="b">
        <v>0</v>
      </c>
    </row>
    <row r="1543" spans="1:7" ht="15">
      <c r="A1543" s="84" t="s">
        <v>2745</v>
      </c>
      <c r="B1543" s="83">
        <v>2</v>
      </c>
      <c r="C1543" s="110">
        <v>0.0008639526765155107</v>
      </c>
      <c r="D1543" s="83" t="s">
        <v>2087</v>
      </c>
      <c r="E1543" s="83" t="b">
        <v>0</v>
      </c>
      <c r="F1543" s="83" t="b">
        <v>0</v>
      </c>
      <c r="G1543" s="83" t="b">
        <v>0</v>
      </c>
    </row>
    <row r="1544" spans="1:7" ht="15">
      <c r="A1544" s="84" t="s">
        <v>2547</v>
      </c>
      <c r="B1544" s="83">
        <v>2</v>
      </c>
      <c r="C1544" s="110">
        <v>0.0008639526765155107</v>
      </c>
      <c r="D1544" s="83" t="s">
        <v>2087</v>
      </c>
      <c r="E1544" s="83" t="b">
        <v>0</v>
      </c>
      <c r="F1544" s="83" t="b">
        <v>0</v>
      </c>
      <c r="G1544" s="83" t="b">
        <v>0</v>
      </c>
    </row>
    <row r="1545" spans="1:7" ht="15">
      <c r="A1545" s="84" t="s">
        <v>2746</v>
      </c>
      <c r="B1545" s="83">
        <v>2</v>
      </c>
      <c r="C1545" s="110">
        <v>0.0008639526765155107</v>
      </c>
      <c r="D1545" s="83" t="s">
        <v>2087</v>
      </c>
      <c r="E1545" s="83" t="b">
        <v>0</v>
      </c>
      <c r="F1545" s="83" t="b">
        <v>0</v>
      </c>
      <c r="G1545" s="83" t="b">
        <v>0</v>
      </c>
    </row>
    <row r="1546" spans="1:7" ht="15">
      <c r="A1546" s="84" t="s">
        <v>2747</v>
      </c>
      <c r="B1546" s="83">
        <v>2</v>
      </c>
      <c r="C1546" s="110">
        <v>0.0009720230393458755</v>
      </c>
      <c r="D1546" s="83" t="s">
        <v>2087</v>
      </c>
      <c r="E1546" s="83" t="b">
        <v>0</v>
      </c>
      <c r="F1546" s="83" t="b">
        <v>0</v>
      </c>
      <c r="G1546" s="83" t="b">
        <v>0</v>
      </c>
    </row>
    <row r="1547" spans="1:7" ht="15">
      <c r="A1547" s="84" t="s">
        <v>2748</v>
      </c>
      <c r="B1547" s="83">
        <v>2</v>
      </c>
      <c r="C1547" s="110">
        <v>0.0009720230393458755</v>
      </c>
      <c r="D1547" s="83" t="s">
        <v>2087</v>
      </c>
      <c r="E1547" s="83" t="b">
        <v>0</v>
      </c>
      <c r="F1547" s="83" t="b">
        <v>0</v>
      </c>
      <c r="G1547" s="83" t="b">
        <v>0</v>
      </c>
    </row>
    <row r="1548" spans="1:7" ht="15">
      <c r="A1548" s="84" t="s">
        <v>2548</v>
      </c>
      <c r="B1548" s="83">
        <v>2</v>
      </c>
      <c r="C1548" s="110">
        <v>0.0008639526765155107</v>
      </c>
      <c r="D1548" s="83" t="s">
        <v>2087</v>
      </c>
      <c r="E1548" s="83" t="b">
        <v>0</v>
      </c>
      <c r="F1548" s="83" t="b">
        <v>0</v>
      </c>
      <c r="G1548" s="83" t="b">
        <v>0</v>
      </c>
    </row>
    <row r="1549" spans="1:7" ht="15">
      <c r="A1549" s="84" t="s">
        <v>2749</v>
      </c>
      <c r="B1549" s="83">
        <v>2</v>
      </c>
      <c r="C1549" s="110">
        <v>0.0008639526765155107</v>
      </c>
      <c r="D1549" s="83" t="s">
        <v>2087</v>
      </c>
      <c r="E1549" s="83" t="b">
        <v>0</v>
      </c>
      <c r="F1549" s="83" t="b">
        <v>0</v>
      </c>
      <c r="G1549" s="83" t="b">
        <v>0</v>
      </c>
    </row>
    <row r="1550" spans="1:7" ht="15">
      <c r="A1550" s="84" t="s">
        <v>2750</v>
      </c>
      <c r="B1550" s="83">
        <v>2</v>
      </c>
      <c r="C1550" s="110">
        <v>0.0008639526765155107</v>
      </c>
      <c r="D1550" s="83" t="s">
        <v>2087</v>
      </c>
      <c r="E1550" s="83" t="b">
        <v>0</v>
      </c>
      <c r="F1550" s="83" t="b">
        <v>0</v>
      </c>
      <c r="G1550" s="83" t="b">
        <v>0</v>
      </c>
    </row>
    <row r="1551" spans="1:7" ht="15">
      <c r="A1551" s="84" t="s">
        <v>2751</v>
      </c>
      <c r="B1551" s="83">
        <v>2</v>
      </c>
      <c r="C1551" s="110">
        <v>0.0008639526765155107</v>
      </c>
      <c r="D1551" s="83" t="s">
        <v>2087</v>
      </c>
      <c r="E1551" s="83" t="b">
        <v>0</v>
      </c>
      <c r="F1551" s="83" t="b">
        <v>1</v>
      </c>
      <c r="G1551" s="83" t="b">
        <v>0</v>
      </c>
    </row>
    <row r="1552" spans="1:7" ht="15">
      <c r="A1552" s="84" t="s">
        <v>2758</v>
      </c>
      <c r="B1552" s="83">
        <v>2</v>
      </c>
      <c r="C1552" s="110">
        <v>0.0008639526765155107</v>
      </c>
      <c r="D1552" s="83" t="s">
        <v>2087</v>
      </c>
      <c r="E1552" s="83" t="b">
        <v>0</v>
      </c>
      <c r="F1552" s="83" t="b">
        <v>0</v>
      </c>
      <c r="G1552" s="83" t="b">
        <v>0</v>
      </c>
    </row>
    <row r="1553" spans="1:7" ht="15">
      <c r="A1553" s="84" t="s">
        <v>2759</v>
      </c>
      <c r="B1553" s="83">
        <v>2</v>
      </c>
      <c r="C1553" s="110">
        <v>0.0008639526765155107</v>
      </c>
      <c r="D1553" s="83" t="s">
        <v>2087</v>
      </c>
      <c r="E1553" s="83" t="b">
        <v>0</v>
      </c>
      <c r="F1553" s="83" t="b">
        <v>0</v>
      </c>
      <c r="G1553" s="83" t="b">
        <v>0</v>
      </c>
    </row>
    <row r="1554" spans="1:7" ht="15">
      <c r="A1554" s="84" t="s">
        <v>2760</v>
      </c>
      <c r="B1554" s="83">
        <v>2</v>
      </c>
      <c r="C1554" s="110">
        <v>0.0008639526765155107</v>
      </c>
      <c r="D1554" s="83" t="s">
        <v>2087</v>
      </c>
      <c r="E1554" s="83" t="b">
        <v>0</v>
      </c>
      <c r="F1554" s="83" t="b">
        <v>1</v>
      </c>
      <c r="G1554" s="83" t="b">
        <v>0</v>
      </c>
    </row>
    <row r="1555" spans="1:7" ht="15">
      <c r="A1555" s="84" t="s">
        <v>2762</v>
      </c>
      <c r="B1555" s="83">
        <v>2</v>
      </c>
      <c r="C1555" s="110">
        <v>0.0008639526765155107</v>
      </c>
      <c r="D1555" s="83" t="s">
        <v>2087</v>
      </c>
      <c r="E1555" s="83" t="b">
        <v>0</v>
      </c>
      <c r="F1555" s="83" t="b">
        <v>0</v>
      </c>
      <c r="G1555" s="83" t="b">
        <v>0</v>
      </c>
    </row>
    <row r="1556" spans="1:7" ht="15">
      <c r="A1556" s="84" t="s">
        <v>2446</v>
      </c>
      <c r="B1556" s="83">
        <v>2</v>
      </c>
      <c r="C1556" s="110">
        <v>0.0008639526765155107</v>
      </c>
      <c r="D1556" s="83" t="s">
        <v>2087</v>
      </c>
      <c r="E1556" s="83" t="b">
        <v>0</v>
      </c>
      <c r="F1556" s="83" t="b">
        <v>0</v>
      </c>
      <c r="G1556" s="83" t="b">
        <v>0</v>
      </c>
    </row>
    <row r="1557" spans="1:7" ht="15">
      <c r="A1557" s="84" t="s">
        <v>2764</v>
      </c>
      <c r="B1557" s="83">
        <v>2</v>
      </c>
      <c r="C1557" s="110">
        <v>0.0008639526765155107</v>
      </c>
      <c r="D1557" s="83" t="s">
        <v>2087</v>
      </c>
      <c r="E1557" s="83" t="b">
        <v>0</v>
      </c>
      <c r="F1557" s="83" t="b">
        <v>0</v>
      </c>
      <c r="G1557" s="83" t="b">
        <v>0</v>
      </c>
    </row>
    <row r="1558" spans="1:7" ht="15">
      <c r="A1558" s="84" t="s">
        <v>2765</v>
      </c>
      <c r="B1558" s="83">
        <v>2</v>
      </c>
      <c r="C1558" s="110">
        <v>0.0008639526765155107</v>
      </c>
      <c r="D1558" s="83" t="s">
        <v>2087</v>
      </c>
      <c r="E1558" s="83" t="b">
        <v>0</v>
      </c>
      <c r="F1558" s="83" t="b">
        <v>0</v>
      </c>
      <c r="G1558" s="83" t="b">
        <v>0</v>
      </c>
    </row>
    <row r="1559" spans="1:7" ht="15">
      <c r="A1559" s="84" t="s">
        <v>2560</v>
      </c>
      <c r="B1559" s="83">
        <v>2</v>
      </c>
      <c r="C1559" s="110">
        <v>0.0008639526765155107</v>
      </c>
      <c r="D1559" s="83" t="s">
        <v>2087</v>
      </c>
      <c r="E1559" s="83" t="b">
        <v>0</v>
      </c>
      <c r="F1559" s="83" t="b">
        <v>0</v>
      </c>
      <c r="G1559" s="83" t="b">
        <v>0</v>
      </c>
    </row>
    <row r="1560" spans="1:7" ht="15">
      <c r="A1560" s="84" t="s">
        <v>2766</v>
      </c>
      <c r="B1560" s="83">
        <v>2</v>
      </c>
      <c r="C1560" s="110">
        <v>0.0008639526765155107</v>
      </c>
      <c r="D1560" s="83" t="s">
        <v>2087</v>
      </c>
      <c r="E1560" s="83" t="b">
        <v>0</v>
      </c>
      <c r="F1560" s="83" t="b">
        <v>1</v>
      </c>
      <c r="G1560" s="83" t="b">
        <v>0</v>
      </c>
    </row>
    <row r="1561" spans="1:7" ht="15">
      <c r="A1561" s="84" t="s">
        <v>2561</v>
      </c>
      <c r="B1561" s="83">
        <v>2</v>
      </c>
      <c r="C1561" s="110">
        <v>0.0008639526765155107</v>
      </c>
      <c r="D1561" s="83" t="s">
        <v>2087</v>
      </c>
      <c r="E1561" s="83" t="b">
        <v>0</v>
      </c>
      <c r="F1561" s="83" t="b">
        <v>0</v>
      </c>
      <c r="G1561" s="83" t="b">
        <v>0</v>
      </c>
    </row>
    <row r="1562" spans="1:7" ht="15">
      <c r="A1562" s="84" t="s">
        <v>2767</v>
      </c>
      <c r="B1562" s="83">
        <v>2</v>
      </c>
      <c r="C1562" s="110">
        <v>0.0008639526765155107</v>
      </c>
      <c r="D1562" s="83" t="s">
        <v>2087</v>
      </c>
      <c r="E1562" s="83" t="b">
        <v>0</v>
      </c>
      <c r="F1562" s="83" t="b">
        <v>0</v>
      </c>
      <c r="G1562" s="83" t="b">
        <v>0</v>
      </c>
    </row>
    <row r="1563" spans="1:7" ht="15">
      <c r="A1563" s="84" t="s">
        <v>2768</v>
      </c>
      <c r="B1563" s="83">
        <v>2</v>
      </c>
      <c r="C1563" s="110">
        <v>0.0009720230393458755</v>
      </c>
      <c r="D1563" s="83" t="s">
        <v>2087</v>
      </c>
      <c r="E1563" s="83" t="b">
        <v>0</v>
      </c>
      <c r="F1563" s="83" t="b">
        <v>0</v>
      </c>
      <c r="G1563" s="83" t="b">
        <v>0</v>
      </c>
    </row>
    <row r="1564" spans="1:7" ht="15">
      <c r="A1564" s="84" t="s">
        <v>2769</v>
      </c>
      <c r="B1564" s="83">
        <v>2</v>
      </c>
      <c r="C1564" s="110">
        <v>0.0008639526765155107</v>
      </c>
      <c r="D1564" s="83" t="s">
        <v>2087</v>
      </c>
      <c r="E1564" s="83" t="b">
        <v>0</v>
      </c>
      <c r="F1564" s="83" t="b">
        <v>0</v>
      </c>
      <c r="G1564" s="83" t="b">
        <v>0</v>
      </c>
    </row>
    <row r="1565" spans="1:7" ht="15">
      <c r="A1565" s="84" t="s">
        <v>2770</v>
      </c>
      <c r="B1565" s="83">
        <v>2</v>
      </c>
      <c r="C1565" s="110">
        <v>0.0008639526765155107</v>
      </c>
      <c r="D1565" s="83" t="s">
        <v>2087</v>
      </c>
      <c r="E1565" s="83" t="b">
        <v>0</v>
      </c>
      <c r="F1565" s="83" t="b">
        <v>0</v>
      </c>
      <c r="G1565" s="83" t="b">
        <v>0</v>
      </c>
    </row>
    <row r="1566" spans="1:7" ht="15">
      <c r="A1566" s="84" t="s">
        <v>2771</v>
      </c>
      <c r="B1566" s="83">
        <v>2</v>
      </c>
      <c r="C1566" s="110">
        <v>0.0009720230393458755</v>
      </c>
      <c r="D1566" s="83" t="s">
        <v>2087</v>
      </c>
      <c r="E1566" s="83" t="b">
        <v>0</v>
      </c>
      <c r="F1566" s="83" t="b">
        <v>0</v>
      </c>
      <c r="G1566" s="83" t="b">
        <v>0</v>
      </c>
    </row>
    <row r="1567" spans="1:7" ht="15">
      <c r="A1567" s="84" t="s">
        <v>2218</v>
      </c>
      <c r="B1567" s="83">
        <v>2</v>
      </c>
      <c r="C1567" s="110">
        <v>0.0008639526765155107</v>
      </c>
      <c r="D1567" s="83" t="s">
        <v>2087</v>
      </c>
      <c r="E1567" s="83" t="b">
        <v>0</v>
      </c>
      <c r="F1567" s="83" t="b">
        <v>0</v>
      </c>
      <c r="G1567" s="83" t="b">
        <v>0</v>
      </c>
    </row>
    <row r="1568" spans="1:7" ht="15">
      <c r="A1568" s="84" t="s">
        <v>2772</v>
      </c>
      <c r="B1568" s="83">
        <v>2</v>
      </c>
      <c r="C1568" s="110">
        <v>0.0008639526765155107</v>
      </c>
      <c r="D1568" s="83" t="s">
        <v>2087</v>
      </c>
      <c r="E1568" s="83" t="b">
        <v>0</v>
      </c>
      <c r="F1568" s="83" t="b">
        <v>0</v>
      </c>
      <c r="G1568" s="83" t="b">
        <v>0</v>
      </c>
    </row>
    <row r="1569" spans="1:7" ht="15">
      <c r="A1569" s="84" t="s">
        <v>2773</v>
      </c>
      <c r="B1569" s="83">
        <v>2</v>
      </c>
      <c r="C1569" s="110">
        <v>0.0008639526765155107</v>
      </c>
      <c r="D1569" s="83" t="s">
        <v>2087</v>
      </c>
      <c r="E1569" s="83" t="b">
        <v>0</v>
      </c>
      <c r="F1569" s="83" t="b">
        <v>1</v>
      </c>
      <c r="G1569" s="83" t="b">
        <v>0</v>
      </c>
    </row>
    <row r="1570" spans="1:7" ht="15">
      <c r="A1570" s="84" t="s">
        <v>2564</v>
      </c>
      <c r="B1570" s="83">
        <v>2</v>
      </c>
      <c r="C1570" s="110">
        <v>0.0008639526765155107</v>
      </c>
      <c r="D1570" s="83" t="s">
        <v>2087</v>
      </c>
      <c r="E1570" s="83" t="b">
        <v>0</v>
      </c>
      <c r="F1570" s="83" t="b">
        <v>0</v>
      </c>
      <c r="G1570" s="83" t="b">
        <v>0</v>
      </c>
    </row>
    <row r="1571" spans="1:7" ht="15">
      <c r="A1571" s="84" t="s">
        <v>2775</v>
      </c>
      <c r="B1571" s="83">
        <v>2</v>
      </c>
      <c r="C1571" s="110">
        <v>0.0008639526765155107</v>
      </c>
      <c r="D1571" s="83" t="s">
        <v>2087</v>
      </c>
      <c r="E1571" s="83" t="b">
        <v>0</v>
      </c>
      <c r="F1571" s="83" t="b">
        <v>0</v>
      </c>
      <c r="G1571" s="83" t="b">
        <v>0</v>
      </c>
    </row>
    <row r="1572" spans="1:7" ht="15">
      <c r="A1572" s="84" t="s">
        <v>2447</v>
      </c>
      <c r="B1572" s="83">
        <v>2</v>
      </c>
      <c r="C1572" s="110">
        <v>0.0008639526765155107</v>
      </c>
      <c r="D1572" s="83" t="s">
        <v>2087</v>
      </c>
      <c r="E1572" s="83" t="b">
        <v>0</v>
      </c>
      <c r="F1572" s="83" t="b">
        <v>0</v>
      </c>
      <c r="G1572" s="83" t="b">
        <v>0</v>
      </c>
    </row>
    <row r="1573" spans="1:7" ht="15">
      <c r="A1573" s="84" t="s">
        <v>2567</v>
      </c>
      <c r="B1573" s="83">
        <v>2</v>
      </c>
      <c r="C1573" s="110">
        <v>0.0008639526765155107</v>
      </c>
      <c r="D1573" s="83" t="s">
        <v>2087</v>
      </c>
      <c r="E1573" s="83" t="b">
        <v>0</v>
      </c>
      <c r="F1573" s="83" t="b">
        <v>0</v>
      </c>
      <c r="G1573" s="83" t="b">
        <v>0</v>
      </c>
    </row>
    <row r="1574" spans="1:7" ht="15">
      <c r="A1574" s="84" t="s">
        <v>2777</v>
      </c>
      <c r="B1574" s="83">
        <v>2</v>
      </c>
      <c r="C1574" s="110">
        <v>0.0008639526765155107</v>
      </c>
      <c r="D1574" s="83" t="s">
        <v>2087</v>
      </c>
      <c r="E1574" s="83" t="b">
        <v>0</v>
      </c>
      <c r="F1574" s="83" t="b">
        <v>0</v>
      </c>
      <c r="G1574" s="83" t="b">
        <v>0</v>
      </c>
    </row>
    <row r="1575" spans="1:7" ht="15">
      <c r="A1575" s="84" t="s">
        <v>2450</v>
      </c>
      <c r="B1575" s="83">
        <v>2</v>
      </c>
      <c r="C1575" s="110">
        <v>0.0008639526765155107</v>
      </c>
      <c r="D1575" s="83" t="s">
        <v>2087</v>
      </c>
      <c r="E1575" s="83" t="b">
        <v>0</v>
      </c>
      <c r="F1575" s="83" t="b">
        <v>0</v>
      </c>
      <c r="G1575" s="83" t="b">
        <v>0</v>
      </c>
    </row>
    <row r="1576" spans="1:7" ht="15">
      <c r="A1576" s="84" t="s">
        <v>2779</v>
      </c>
      <c r="B1576" s="83">
        <v>2</v>
      </c>
      <c r="C1576" s="110">
        <v>0.0009720230393458755</v>
      </c>
      <c r="D1576" s="83" t="s">
        <v>2087</v>
      </c>
      <c r="E1576" s="83" t="b">
        <v>0</v>
      </c>
      <c r="F1576" s="83" t="b">
        <v>0</v>
      </c>
      <c r="G1576" s="83" t="b">
        <v>0</v>
      </c>
    </row>
    <row r="1577" spans="1:7" ht="15">
      <c r="A1577" s="84" t="s">
        <v>2569</v>
      </c>
      <c r="B1577" s="83">
        <v>2</v>
      </c>
      <c r="C1577" s="110">
        <v>0.0008639526765155107</v>
      </c>
      <c r="D1577" s="83" t="s">
        <v>2087</v>
      </c>
      <c r="E1577" s="83" t="b">
        <v>0</v>
      </c>
      <c r="F1577" s="83" t="b">
        <v>0</v>
      </c>
      <c r="G1577" s="83" t="b">
        <v>0</v>
      </c>
    </row>
    <row r="1578" spans="1:7" ht="15">
      <c r="A1578" s="84" t="s">
        <v>2780</v>
      </c>
      <c r="B1578" s="83">
        <v>2</v>
      </c>
      <c r="C1578" s="110">
        <v>0.0008639526765155107</v>
      </c>
      <c r="D1578" s="83" t="s">
        <v>2087</v>
      </c>
      <c r="E1578" s="83" t="b">
        <v>0</v>
      </c>
      <c r="F1578" s="83" t="b">
        <v>0</v>
      </c>
      <c r="G1578" s="83" t="b">
        <v>0</v>
      </c>
    </row>
    <row r="1579" spans="1:7" ht="15">
      <c r="A1579" s="84" t="s">
        <v>2781</v>
      </c>
      <c r="B1579" s="83">
        <v>2</v>
      </c>
      <c r="C1579" s="110">
        <v>0.0008639526765155107</v>
      </c>
      <c r="D1579" s="83" t="s">
        <v>2087</v>
      </c>
      <c r="E1579" s="83" t="b">
        <v>0</v>
      </c>
      <c r="F1579" s="83" t="b">
        <v>0</v>
      </c>
      <c r="G1579" s="83" t="b">
        <v>0</v>
      </c>
    </row>
    <row r="1580" spans="1:7" ht="15">
      <c r="A1580" s="84" t="s">
        <v>2782</v>
      </c>
      <c r="B1580" s="83">
        <v>2</v>
      </c>
      <c r="C1580" s="110">
        <v>0.0008639526765155107</v>
      </c>
      <c r="D1580" s="83" t="s">
        <v>2087</v>
      </c>
      <c r="E1580" s="83" t="b">
        <v>1</v>
      </c>
      <c r="F1580" s="83" t="b">
        <v>0</v>
      </c>
      <c r="G1580" s="83" t="b">
        <v>0</v>
      </c>
    </row>
    <row r="1581" spans="1:7" ht="15">
      <c r="A1581" s="84" t="s">
        <v>2783</v>
      </c>
      <c r="B1581" s="83">
        <v>2</v>
      </c>
      <c r="C1581" s="110">
        <v>0.0008639526765155107</v>
      </c>
      <c r="D1581" s="83" t="s">
        <v>2087</v>
      </c>
      <c r="E1581" s="83" t="b">
        <v>0</v>
      </c>
      <c r="F1581" s="83" t="b">
        <v>1</v>
      </c>
      <c r="G1581" s="83" t="b">
        <v>0</v>
      </c>
    </row>
    <row r="1582" spans="1:7" ht="15">
      <c r="A1582" s="84" t="s">
        <v>2570</v>
      </c>
      <c r="B1582" s="83">
        <v>2</v>
      </c>
      <c r="C1582" s="110">
        <v>0.0008639526765155107</v>
      </c>
      <c r="D1582" s="83" t="s">
        <v>2087</v>
      </c>
      <c r="E1582" s="83" t="b">
        <v>0</v>
      </c>
      <c r="F1582" s="83" t="b">
        <v>0</v>
      </c>
      <c r="G1582" s="83" t="b">
        <v>0</v>
      </c>
    </row>
    <row r="1583" spans="1:7" ht="15">
      <c r="A1583" s="84" t="s">
        <v>2784</v>
      </c>
      <c r="B1583" s="83">
        <v>2</v>
      </c>
      <c r="C1583" s="110">
        <v>0.0008639526765155107</v>
      </c>
      <c r="D1583" s="83" t="s">
        <v>2087</v>
      </c>
      <c r="E1583" s="83" t="b">
        <v>0</v>
      </c>
      <c r="F1583" s="83" t="b">
        <v>0</v>
      </c>
      <c r="G1583" s="83" t="b">
        <v>0</v>
      </c>
    </row>
    <row r="1584" spans="1:7" ht="15">
      <c r="A1584" s="84" t="s">
        <v>2785</v>
      </c>
      <c r="B1584" s="83">
        <v>2</v>
      </c>
      <c r="C1584" s="110">
        <v>0.0008639526765155107</v>
      </c>
      <c r="D1584" s="83" t="s">
        <v>2087</v>
      </c>
      <c r="E1584" s="83" t="b">
        <v>0</v>
      </c>
      <c r="F1584" s="83" t="b">
        <v>0</v>
      </c>
      <c r="G1584" s="83" t="b">
        <v>0</v>
      </c>
    </row>
    <row r="1585" spans="1:7" ht="15">
      <c r="A1585" s="84" t="s">
        <v>2786</v>
      </c>
      <c r="B1585" s="83">
        <v>2</v>
      </c>
      <c r="C1585" s="110">
        <v>0.0008639526765155107</v>
      </c>
      <c r="D1585" s="83" t="s">
        <v>2087</v>
      </c>
      <c r="E1585" s="83" t="b">
        <v>0</v>
      </c>
      <c r="F1585" s="83" t="b">
        <v>1</v>
      </c>
      <c r="G1585" s="83" t="b">
        <v>0</v>
      </c>
    </row>
    <row r="1586" spans="1:7" ht="15">
      <c r="A1586" s="84" t="s">
        <v>2787</v>
      </c>
      <c r="B1586" s="83">
        <v>2</v>
      </c>
      <c r="C1586" s="110">
        <v>0.0008639526765155107</v>
      </c>
      <c r="D1586" s="83" t="s">
        <v>2087</v>
      </c>
      <c r="E1586" s="83" t="b">
        <v>0</v>
      </c>
      <c r="F1586" s="83" t="b">
        <v>0</v>
      </c>
      <c r="G1586" s="83" t="b">
        <v>0</v>
      </c>
    </row>
    <row r="1587" spans="1:7" ht="15">
      <c r="A1587" s="84" t="s">
        <v>2573</v>
      </c>
      <c r="B1587" s="83">
        <v>2</v>
      </c>
      <c r="C1587" s="110">
        <v>0.0008639526765155107</v>
      </c>
      <c r="D1587" s="83" t="s">
        <v>2087</v>
      </c>
      <c r="E1587" s="83" t="b">
        <v>0</v>
      </c>
      <c r="F1587" s="83" t="b">
        <v>0</v>
      </c>
      <c r="G1587" s="83" t="b">
        <v>0</v>
      </c>
    </row>
    <row r="1588" spans="1:7" ht="15">
      <c r="A1588" s="84" t="s">
        <v>2318</v>
      </c>
      <c r="B1588" s="83">
        <v>2</v>
      </c>
      <c r="C1588" s="110">
        <v>0.0008639526765155107</v>
      </c>
      <c r="D1588" s="83" t="s">
        <v>2087</v>
      </c>
      <c r="E1588" s="83" t="b">
        <v>0</v>
      </c>
      <c r="F1588" s="83" t="b">
        <v>0</v>
      </c>
      <c r="G1588" s="83" t="b">
        <v>0</v>
      </c>
    </row>
    <row r="1589" spans="1:7" ht="15">
      <c r="A1589" s="84" t="s">
        <v>2574</v>
      </c>
      <c r="B1589" s="83">
        <v>2</v>
      </c>
      <c r="C1589" s="110">
        <v>0.0008639526765155107</v>
      </c>
      <c r="D1589" s="83" t="s">
        <v>2087</v>
      </c>
      <c r="E1589" s="83" t="b">
        <v>0</v>
      </c>
      <c r="F1589" s="83" t="b">
        <v>0</v>
      </c>
      <c r="G1589" s="83" t="b">
        <v>0</v>
      </c>
    </row>
    <row r="1590" spans="1:7" ht="15">
      <c r="A1590" s="84" t="s">
        <v>2579</v>
      </c>
      <c r="B1590" s="83">
        <v>2</v>
      </c>
      <c r="C1590" s="110">
        <v>0.0009720230393458755</v>
      </c>
      <c r="D1590" s="83" t="s">
        <v>2087</v>
      </c>
      <c r="E1590" s="83" t="b">
        <v>0</v>
      </c>
      <c r="F1590" s="83" t="b">
        <v>0</v>
      </c>
      <c r="G1590" s="83" t="b">
        <v>0</v>
      </c>
    </row>
    <row r="1591" spans="1:7" ht="15">
      <c r="A1591" s="84" t="s">
        <v>2789</v>
      </c>
      <c r="B1591" s="83">
        <v>2</v>
      </c>
      <c r="C1591" s="110">
        <v>0.0008639526765155107</v>
      </c>
      <c r="D1591" s="83" t="s">
        <v>2087</v>
      </c>
      <c r="E1591" s="83" t="b">
        <v>0</v>
      </c>
      <c r="F1591" s="83" t="b">
        <v>0</v>
      </c>
      <c r="G1591" s="83" t="b">
        <v>0</v>
      </c>
    </row>
    <row r="1592" spans="1:7" ht="15">
      <c r="A1592" s="84" t="s">
        <v>2790</v>
      </c>
      <c r="B1592" s="83">
        <v>2</v>
      </c>
      <c r="C1592" s="110">
        <v>0.0008639526765155107</v>
      </c>
      <c r="D1592" s="83" t="s">
        <v>2087</v>
      </c>
      <c r="E1592" s="83" t="b">
        <v>0</v>
      </c>
      <c r="F1592" s="83" t="b">
        <v>0</v>
      </c>
      <c r="G1592" s="83" t="b">
        <v>0</v>
      </c>
    </row>
    <row r="1593" spans="1:7" ht="15">
      <c r="A1593" s="84" t="s">
        <v>2792</v>
      </c>
      <c r="B1593" s="83">
        <v>2</v>
      </c>
      <c r="C1593" s="110">
        <v>0.0008639526765155107</v>
      </c>
      <c r="D1593" s="83" t="s">
        <v>2087</v>
      </c>
      <c r="E1593" s="83" t="b">
        <v>1</v>
      </c>
      <c r="F1593" s="83" t="b">
        <v>0</v>
      </c>
      <c r="G1593" s="83" t="b">
        <v>0</v>
      </c>
    </row>
    <row r="1594" spans="1:7" ht="15">
      <c r="A1594" s="84" t="s">
        <v>2793</v>
      </c>
      <c r="B1594" s="83">
        <v>2</v>
      </c>
      <c r="C1594" s="110">
        <v>0.0008639526765155107</v>
      </c>
      <c r="D1594" s="83" t="s">
        <v>2087</v>
      </c>
      <c r="E1594" s="83" t="b">
        <v>0</v>
      </c>
      <c r="F1594" s="83" t="b">
        <v>0</v>
      </c>
      <c r="G1594" s="83" t="b">
        <v>0</v>
      </c>
    </row>
    <row r="1595" spans="1:7" ht="15">
      <c r="A1595" s="84" t="s">
        <v>2459</v>
      </c>
      <c r="B1595" s="83">
        <v>2</v>
      </c>
      <c r="C1595" s="110">
        <v>0.0008639526765155107</v>
      </c>
      <c r="D1595" s="83" t="s">
        <v>2087</v>
      </c>
      <c r="E1595" s="83" t="b">
        <v>0</v>
      </c>
      <c r="F1595" s="83" t="b">
        <v>0</v>
      </c>
      <c r="G1595" s="83" t="b">
        <v>0</v>
      </c>
    </row>
    <row r="1596" spans="1:7" ht="15">
      <c r="A1596" s="84" t="s">
        <v>2794</v>
      </c>
      <c r="B1596" s="83">
        <v>2</v>
      </c>
      <c r="C1596" s="110">
        <v>0.0009720230393458755</v>
      </c>
      <c r="D1596" s="83" t="s">
        <v>2087</v>
      </c>
      <c r="E1596" s="83" t="b">
        <v>1</v>
      </c>
      <c r="F1596" s="83" t="b">
        <v>0</v>
      </c>
      <c r="G1596" s="83" t="b">
        <v>0</v>
      </c>
    </row>
    <row r="1597" spans="1:7" ht="15">
      <c r="A1597" s="84" t="s">
        <v>2795</v>
      </c>
      <c r="B1597" s="83">
        <v>2</v>
      </c>
      <c r="C1597" s="110">
        <v>0.0008639526765155107</v>
      </c>
      <c r="D1597" s="83" t="s">
        <v>2087</v>
      </c>
      <c r="E1597" s="83" t="b">
        <v>0</v>
      </c>
      <c r="F1597" s="83" t="b">
        <v>0</v>
      </c>
      <c r="G1597" s="83" t="b">
        <v>0</v>
      </c>
    </row>
    <row r="1598" spans="1:7" ht="15">
      <c r="A1598" s="84" t="s">
        <v>2796</v>
      </c>
      <c r="B1598" s="83">
        <v>2</v>
      </c>
      <c r="C1598" s="110">
        <v>0.0008639526765155107</v>
      </c>
      <c r="D1598" s="83" t="s">
        <v>2087</v>
      </c>
      <c r="E1598" s="83" t="b">
        <v>0</v>
      </c>
      <c r="F1598" s="83" t="b">
        <v>0</v>
      </c>
      <c r="G1598" s="83" t="b">
        <v>0</v>
      </c>
    </row>
    <row r="1599" spans="1:7" ht="15">
      <c r="A1599" s="84" t="s">
        <v>2797</v>
      </c>
      <c r="B1599" s="83">
        <v>2</v>
      </c>
      <c r="C1599" s="110">
        <v>0.0009720230393458755</v>
      </c>
      <c r="D1599" s="83" t="s">
        <v>2087</v>
      </c>
      <c r="E1599" s="83" t="b">
        <v>0</v>
      </c>
      <c r="F1599" s="83" t="b">
        <v>0</v>
      </c>
      <c r="G1599" s="83" t="b">
        <v>0</v>
      </c>
    </row>
    <row r="1600" spans="1:7" ht="15">
      <c r="A1600" s="84" t="s">
        <v>2798</v>
      </c>
      <c r="B1600" s="83">
        <v>2</v>
      </c>
      <c r="C1600" s="110">
        <v>0.0008639526765155107</v>
      </c>
      <c r="D1600" s="83" t="s">
        <v>2087</v>
      </c>
      <c r="E1600" s="83" t="b">
        <v>0</v>
      </c>
      <c r="F1600" s="83" t="b">
        <v>0</v>
      </c>
      <c r="G1600" s="83" t="b">
        <v>0</v>
      </c>
    </row>
    <row r="1601" spans="1:7" ht="15">
      <c r="A1601" s="84" t="s">
        <v>2799</v>
      </c>
      <c r="B1601" s="83">
        <v>2</v>
      </c>
      <c r="C1601" s="110">
        <v>0.0008639526765155107</v>
      </c>
      <c r="D1601" s="83" t="s">
        <v>2087</v>
      </c>
      <c r="E1601" s="83" t="b">
        <v>0</v>
      </c>
      <c r="F1601" s="83" t="b">
        <v>0</v>
      </c>
      <c r="G1601" s="83" t="b">
        <v>0</v>
      </c>
    </row>
    <row r="1602" spans="1:7" ht="15">
      <c r="A1602" s="84" t="s">
        <v>2800</v>
      </c>
      <c r="B1602" s="83">
        <v>2</v>
      </c>
      <c r="C1602" s="110">
        <v>0.0009720230393458755</v>
      </c>
      <c r="D1602" s="83" t="s">
        <v>2087</v>
      </c>
      <c r="E1602" s="83" t="b">
        <v>0</v>
      </c>
      <c r="F1602" s="83" t="b">
        <v>1</v>
      </c>
      <c r="G1602" s="83" t="b">
        <v>0</v>
      </c>
    </row>
    <row r="1603" spans="1:7" ht="15">
      <c r="A1603" s="84" t="s">
        <v>2801</v>
      </c>
      <c r="B1603" s="83">
        <v>2</v>
      </c>
      <c r="C1603" s="110">
        <v>0.0008639526765155107</v>
      </c>
      <c r="D1603" s="83" t="s">
        <v>2087</v>
      </c>
      <c r="E1603" s="83" t="b">
        <v>0</v>
      </c>
      <c r="F1603" s="83" t="b">
        <v>1</v>
      </c>
      <c r="G1603" s="83" t="b">
        <v>0</v>
      </c>
    </row>
    <row r="1604" spans="1:7" ht="15">
      <c r="A1604" s="84" t="s">
        <v>2442</v>
      </c>
      <c r="B1604" s="83">
        <v>2</v>
      </c>
      <c r="C1604" s="110">
        <v>0.0008639526765155107</v>
      </c>
      <c r="D1604" s="83" t="s">
        <v>2087</v>
      </c>
      <c r="E1604" s="83" t="b">
        <v>0</v>
      </c>
      <c r="F1604" s="83" t="b">
        <v>0</v>
      </c>
      <c r="G1604" s="83" t="b">
        <v>0</v>
      </c>
    </row>
    <row r="1605" spans="1:7" ht="15">
      <c r="A1605" s="84" t="s">
        <v>2802</v>
      </c>
      <c r="B1605" s="83">
        <v>2</v>
      </c>
      <c r="C1605" s="110">
        <v>0.0008639526765155107</v>
      </c>
      <c r="D1605" s="83" t="s">
        <v>2087</v>
      </c>
      <c r="E1605" s="83" t="b">
        <v>0</v>
      </c>
      <c r="F1605" s="83" t="b">
        <v>1</v>
      </c>
      <c r="G1605" s="83" t="b">
        <v>0</v>
      </c>
    </row>
    <row r="1606" spans="1:7" ht="15">
      <c r="A1606" s="84" t="s">
        <v>2803</v>
      </c>
      <c r="B1606" s="83">
        <v>2</v>
      </c>
      <c r="C1606" s="110">
        <v>0.0008639526765155107</v>
      </c>
      <c r="D1606" s="83" t="s">
        <v>2087</v>
      </c>
      <c r="E1606" s="83" t="b">
        <v>0</v>
      </c>
      <c r="F1606" s="83" t="b">
        <v>1</v>
      </c>
      <c r="G1606" s="83" t="b">
        <v>0</v>
      </c>
    </row>
    <row r="1607" spans="1:7" ht="15">
      <c r="A1607" s="84" t="s">
        <v>2587</v>
      </c>
      <c r="B1607" s="83">
        <v>2</v>
      </c>
      <c r="C1607" s="110">
        <v>0.0008639526765155107</v>
      </c>
      <c r="D1607" s="83" t="s">
        <v>2087</v>
      </c>
      <c r="E1607" s="83" t="b">
        <v>0</v>
      </c>
      <c r="F1607" s="83" t="b">
        <v>0</v>
      </c>
      <c r="G1607" s="83" t="b">
        <v>0</v>
      </c>
    </row>
    <row r="1608" spans="1:7" ht="15">
      <c r="A1608" s="84" t="s">
        <v>2805</v>
      </c>
      <c r="B1608" s="83">
        <v>2</v>
      </c>
      <c r="C1608" s="110">
        <v>0.0008639526765155107</v>
      </c>
      <c r="D1608" s="83" t="s">
        <v>2087</v>
      </c>
      <c r="E1608" s="83" t="b">
        <v>0</v>
      </c>
      <c r="F1608" s="83" t="b">
        <v>0</v>
      </c>
      <c r="G1608" s="83" t="b">
        <v>0</v>
      </c>
    </row>
    <row r="1609" spans="1:7" ht="15">
      <c r="A1609" s="84" t="s">
        <v>2806</v>
      </c>
      <c r="B1609" s="83">
        <v>2</v>
      </c>
      <c r="C1609" s="110">
        <v>0.0008639526765155107</v>
      </c>
      <c r="D1609" s="83" t="s">
        <v>2087</v>
      </c>
      <c r="E1609" s="83" t="b">
        <v>0</v>
      </c>
      <c r="F1609" s="83" t="b">
        <v>0</v>
      </c>
      <c r="G1609" s="83" t="b">
        <v>0</v>
      </c>
    </row>
    <row r="1610" spans="1:7" ht="15">
      <c r="A1610" s="84" t="s">
        <v>2807</v>
      </c>
      <c r="B1610" s="83">
        <v>2</v>
      </c>
      <c r="C1610" s="110">
        <v>0.0009720230393458755</v>
      </c>
      <c r="D1610" s="83" t="s">
        <v>2087</v>
      </c>
      <c r="E1610" s="83" t="b">
        <v>0</v>
      </c>
      <c r="F1610" s="83" t="b">
        <v>0</v>
      </c>
      <c r="G1610" s="83" t="b">
        <v>0</v>
      </c>
    </row>
    <row r="1611" spans="1:7" ht="15">
      <c r="A1611" s="84" t="s">
        <v>2808</v>
      </c>
      <c r="B1611" s="83">
        <v>2</v>
      </c>
      <c r="C1611" s="110">
        <v>0.0009720230393458755</v>
      </c>
      <c r="D1611" s="83" t="s">
        <v>2087</v>
      </c>
      <c r="E1611" s="83" t="b">
        <v>0</v>
      </c>
      <c r="F1611" s="83" t="b">
        <v>0</v>
      </c>
      <c r="G1611" s="83" t="b">
        <v>0</v>
      </c>
    </row>
    <row r="1612" spans="1:7" ht="15">
      <c r="A1612" s="84" t="s">
        <v>2809</v>
      </c>
      <c r="B1612" s="83">
        <v>2</v>
      </c>
      <c r="C1612" s="110">
        <v>0.0009720230393458755</v>
      </c>
      <c r="D1612" s="83" t="s">
        <v>2087</v>
      </c>
      <c r="E1612" s="83" t="b">
        <v>0</v>
      </c>
      <c r="F1612" s="83" t="b">
        <v>0</v>
      </c>
      <c r="G1612" s="83" t="b">
        <v>0</v>
      </c>
    </row>
    <row r="1613" spans="1:7" ht="15">
      <c r="A1613" s="84" t="s">
        <v>2810</v>
      </c>
      <c r="B1613" s="83">
        <v>2</v>
      </c>
      <c r="C1613" s="110">
        <v>0.0008639526765155107</v>
      </c>
      <c r="D1613" s="83" t="s">
        <v>2087</v>
      </c>
      <c r="E1613" s="83" t="b">
        <v>0</v>
      </c>
      <c r="F1613" s="83" t="b">
        <v>0</v>
      </c>
      <c r="G1613" s="83" t="b">
        <v>0</v>
      </c>
    </row>
    <row r="1614" spans="1:7" ht="15">
      <c r="A1614" s="84" t="s">
        <v>2811</v>
      </c>
      <c r="B1614" s="83">
        <v>2</v>
      </c>
      <c r="C1614" s="110">
        <v>0.0008639526765155107</v>
      </c>
      <c r="D1614" s="83" t="s">
        <v>2087</v>
      </c>
      <c r="E1614" s="83" t="b">
        <v>0</v>
      </c>
      <c r="F1614" s="83" t="b">
        <v>0</v>
      </c>
      <c r="G1614" s="83" t="b">
        <v>0</v>
      </c>
    </row>
    <row r="1615" spans="1:7" ht="15">
      <c r="A1615" s="84" t="s">
        <v>2812</v>
      </c>
      <c r="B1615" s="83">
        <v>2</v>
      </c>
      <c r="C1615" s="110">
        <v>0.0008639526765155107</v>
      </c>
      <c r="D1615" s="83" t="s">
        <v>2087</v>
      </c>
      <c r="E1615" s="83" t="b">
        <v>0</v>
      </c>
      <c r="F1615" s="83" t="b">
        <v>0</v>
      </c>
      <c r="G1615" s="83" t="b">
        <v>0</v>
      </c>
    </row>
    <row r="1616" spans="1:7" ht="15">
      <c r="A1616" s="84" t="s">
        <v>2813</v>
      </c>
      <c r="B1616" s="83">
        <v>2</v>
      </c>
      <c r="C1616" s="110">
        <v>0.0008639526765155107</v>
      </c>
      <c r="D1616" s="83" t="s">
        <v>2087</v>
      </c>
      <c r="E1616" s="83" t="b">
        <v>0</v>
      </c>
      <c r="F1616" s="83" t="b">
        <v>0</v>
      </c>
      <c r="G1616" s="83" t="b">
        <v>0</v>
      </c>
    </row>
    <row r="1617" spans="1:7" ht="15">
      <c r="A1617" s="84" t="s">
        <v>2815</v>
      </c>
      <c r="B1617" s="83">
        <v>2</v>
      </c>
      <c r="C1617" s="110">
        <v>0.0009720230393458755</v>
      </c>
      <c r="D1617" s="83" t="s">
        <v>2087</v>
      </c>
      <c r="E1617" s="83" t="b">
        <v>0</v>
      </c>
      <c r="F1617" s="83" t="b">
        <v>0</v>
      </c>
      <c r="G1617" s="83" t="b">
        <v>0</v>
      </c>
    </row>
    <row r="1618" spans="1:7" ht="15">
      <c r="A1618" s="84" t="s">
        <v>2593</v>
      </c>
      <c r="B1618" s="83">
        <v>2</v>
      </c>
      <c r="C1618" s="110">
        <v>0.0008639526765155107</v>
      </c>
      <c r="D1618" s="83" t="s">
        <v>2087</v>
      </c>
      <c r="E1618" s="83" t="b">
        <v>0</v>
      </c>
      <c r="F1618" s="83" t="b">
        <v>0</v>
      </c>
      <c r="G1618" s="83" t="b">
        <v>0</v>
      </c>
    </row>
    <row r="1619" spans="1:7" ht="15">
      <c r="A1619" s="84" t="s">
        <v>2468</v>
      </c>
      <c r="B1619" s="83">
        <v>2</v>
      </c>
      <c r="C1619" s="110">
        <v>0.0008639526765155107</v>
      </c>
      <c r="D1619" s="83" t="s">
        <v>2087</v>
      </c>
      <c r="E1619" s="83" t="b">
        <v>0</v>
      </c>
      <c r="F1619" s="83" t="b">
        <v>0</v>
      </c>
      <c r="G1619" s="83" t="b">
        <v>0</v>
      </c>
    </row>
    <row r="1620" spans="1:7" ht="15">
      <c r="A1620" s="84" t="s">
        <v>2817</v>
      </c>
      <c r="B1620" s="83">
        <v>2</v>
      </c>
      <c r="C1620" s="110">
        <v>0.0008639526765155107</v>
      </c>
      <c r="D1620" s="83" t="s">
        <v>2087</v>
      </c>
      <c r="E1620" s="83" t="b">
        <v>0</v>
      </c>
      <c r="F1620" s="83" t="b">
        <v>0</v>
      </c>
      <c r="G1620" s="83" t="b">
        <v>0</v>
      </c>
    </row>
    <row r="1621" spans="1:7" ht="15">
      <c r="A1621" s="84" t="s">
        <v>2818</v>
      </c>
      <c r="B1621" s="83">
        <v>2</v>
      </c>
      <c r="C1621" s="110">
        <v>0.0008639526765155107</v>
      </c>
      <c r="D1621" s="83" t="s">
        <v>2087</v>
      </c>
      <c r="E1621" s="83" t="b">
        <v>0</v>
      </c>
      <c r="F1621" s="83" t="b">
        <v>0</v>
      </c>
      <c r="G1621" s="83" t="b">
        <v>0</v>
      </c>
    </row>
    <row r="1622" spans="1:7" ht="15">
      <c r="A1622" s="84" t="s">
        <v>2819</v>
      </c>
      <c r="B1622" s="83">
        <v>2</v>
      </c>
      <c r="C1622" s="110">
        <v>0.0008639526765155107</v>
      </c>
      <c r="D1622" s="83" t="s">
        <v>2087</v>
      </c>
      <c r="E1622" s="83" t="b">
        <v>0</v>
      </c>
      <c r="F1622" s="83" t="b">
        <v>0</v>
      </c>
      <c r="G1622" s="83" t="b">
        <v>0</v>
      </c>
    </row>
    <row r="1623" spans="1:7" ht="15">
      <c r="A1623" s="84" t="s">
        <v>2597</v>
      </c>
      <c r="B1623" s="83">
        <v>2</v>
      </c>
      <c r="C1623" s="110">
        <v>0.0008639526765155107</v>
      </c>
      <c r="D1623" s="83" t="s">
        <v>2087</v>
      </c>
      <c r="E1623" s="83" t="b">
        <v>1</v>
      </c>
      <c r="F1623" s="83" t="b">
        <v>0</v>
      </c>
      <c r="G1623" s="83" t="b">
        <v>0</v>
      </c>
    </row>
    <row r="1624" spans="1:7" ht="15">
      <c r="A1624" s="84" t="s">
        <v>2820</v>
      </c>
      <c r="B1624" s="83">
        <v>2</v>
      </c>
      <c r="C1624" s="110">
        <v>0.0008639526765155107</v>
      </c>
      <c r="D1624" s="83" t="s">
        <v>2087</v>
      </c>
      <c r="E1624" s="83" t="b">
        <v>0</v>
      </c>
      <c r="F1624" s="83" t="b">
        <v>1</v>
      </c>
      <c r="G1624" s="83" t="b">
        <v>0</v>
      </c>
    </row>
    <row r="1625" spans="1:7" ht="15">
      <c r="A1625" s="84" t="s">
        <v>2821</v>
      </c>
      <c r="B1625" s="83">
        <v>2</v>
      </c>
      <c r="C1625" s="110">
        <v>0.0008639526765155107</v>
      </c>
      <c r="D1625" s="83" t="s">
        <v>2087</v>
      </c>
      <c r="E1625" s="83" t="b">
        <v>1</v>
      </c>
      <c r="F1625" s="83" t="b">
        <v>0</v>
      </c>
      <c r="G1625" s="83" t="b">
        <v>0</v>
      </c>
    </row>
    <row r="1626" spans="1:7" ht="15">
      <c r="A1626" s="84" t="s">
        <v>2598</v>
      </c>
      <c r="B1626" s="83">
        <v>2</v>
      </c>
      <c r="C1626" s="110">
        <v>0.0008639526765155107</v>
      </c>
      <c r="D1626" s="83" t="s">
        <v>2087</v>
      </c>
      <c r="E1626" s="83" t="b">
        <v>0</v>
      </c>
      <c r="F1626" s="83" t="b">
        <v>0</v>
      </c>
      <c r="G1626" s="83" t="b">
        <v>0</v>
      </c>
    </row>
    <row r="1627" spans="1:7" ht="15">
      <c r="A1627" s="84" t="s">
        <v>2822</v>
      </c>
      <c r="B1627" s="83">
        <v>2</v>
      </c>
      <c r="C1627" s="110">
        <v>0.0009720230393458755</v>
      </c>
      <c r="D1627" s="83" t="s">
        <v>2087</v>
      </c>
      <c r="E1627" s="83" t="b">
        <v>0</v>
      </c>
      <c r="F1627" s="83" t="b">
        <v>0</v>
      </c>
      <c r="G1627" s="83" t="b">
        <v>0</v>
      </c>
    </row>
    <row r="1628" spans="1:7" ht="15">
      <c r="A1628" s="84" t="s">
        <v>2824</v>
      </c>
      <c r="B1628" s="83">
        <v>2</v>
      </c>
      <c r="C1628" s="110">
        <v>0.0008639526765155107</v>
      </c>
      <c r="D1628" s="83" t="s">
        <v>2087</v>
      </c>
      <c r="E1628" s="83" t="b">
        <v>0</v>
      </c>
      <c r="F1628" s="83" t="b">
        <v>0</v>
      </c>
      <c r="G1628" s="83" t="b">
        <v>0</v>
      </c>
    </row>
    <row r="1629" spans="1:7" ht="15">
      <c r="A1629" s="84" t="s">
        <v>2825</v>
      </c>
      <c r="B1629" s="83">
        <v>2</v>
      </c>
      <c r="C1629" s="110">
        <v>0.0009720230393458755</v>
      </c>
      <c r="D1629" s="83" t="s">
        <v>2087</v>
      </c>
      <c r="E1629" s="83" t="b">
        <v>0</v>
      </c>
      <c r="F1629" s="83" t="b">
        <v>0</v>
      </c>
      <c r="G1629" s="83" t="b">
        <v>0</v>
      </c>
    </row>
    <row r="1630" spans="1:7" ht="15">
      <c r="A1630" s="84" t="s">
        <v>2826</v>
      </c>
      <c r="B1630" s="83">
        <v>2</v>
      </c>
      <c r="C1630" s="110">
        <v>0.0008639526765155107</v>
      </c>
      <c r="D1630" s="83" t="s">
        <v>2087</v>
      </c>
      <c r="E1630" s="83" t="b">
        <v>1</v>
      </c>
      <c r="F1630" s="83" t="b">
        <v>0</v>
      </c>
      <c r="G1630" s="83" t="b">
        <v>0</v>
      </c>
    </row>
    <row r="1631" spans="1:7" ht="15">
      <c r="A1631" s="84" t="s">
        <v>2828</v>
      </c>
      <c r="B1631" s="83">
        <v>2</v>
      </c>
      <c r="C1631" s="110">
        <v>0.0008639526765155107</v>
      </c>
      <c r="D1631" s="83" t="s">
        <v>2087</v>
      </c>
      <c r="E1631" s="83" t="b">
        <v>0</v>
      </c>
      <c r="F1631" s="83" t="b">
        <v>0</v>
      </c>
      <c r="G1631" s="83" t="b">
        <v>0</v>
      </c>
    </row>
    <row r="1632" spans="1:7" ht="15">
      <c r="A1632" s="84" t="s">
        <v>2604</v>
      </c>
      <c r="B1632" s="83">
        <v>2</v>
      </c>
      <c r="C1632" s="110">
        <v>0.0008639526765155107</v>
      </c>
      <c r="D1632" s="83" t="s">
        <v>2087</v>
      </c>
      <c r="E1632" s="83" t="b">
        <v>0</v>
      </c>
      <c r="F1632" s="83" t="b">
        <v>0</v>
      </c>
      <c r="G1632" s="83" t="b">
        <v>0</v>
      </c>
    </row>
    <row r="1633" spans="1:7" ht="15">
      <c r="A1633" s="84" t="s">
        <v>2605</v>
      </c>
      <c r="B1633" s="83">
        <v>2</v>
      </c>
      <c r="C1633" s="110">
        <v>0.0008639526765155107</v>
      </c>
      <c r="D1633" s="83" t="s">
        <v>2087</v>
      </c>
      <c r="E1633" s="83" t="b">
        <v>0</v>
      </c>
      <c r="F1633" s="83" t="b">
        <v>0</v>
      </c>
      <c r="G1633" s="83" t="b">
        <v>0</v>
      </c>
    </row>
    <row r="1634" spans="1:7" ht="15">
      <c r="A1634" s="84" t="s">
        <v>2830</v>
      </c>
      <c r="B1634" s="83">
        <v>2</v>
      </c>
      <c r="C1634" s="110">
        <v>0.0008639526765155107</v>
      </c>
      <c r="D1634" s="83" t="s">
        <v>2087</v>
      </c>
      <c r="E1634" s="83" t="b">
        <v>0</v>
      </c>
      <c r="F1634" s="83" t="b">
        <v>1</v>
      </c>
      <c r="G1634" s="83" t="b">
        <v>0</v>
      </c>
    </row>
    <row r="1635" spans="1:7" ht="15">
      <c r="A1635" s="84" t="s">
        <v>2831</v>
      </c>
      <c r="B1635" s="83">
        <v>2</v>
      </c>
      <c r="C1635" s="110">
        <v>0.0008639526765155107</v>
      </c>
      <c r="D1635" s="83" t="s">
        <v>2087</v>
      </c>
      <c r="E1635" s="83" t="b">
        <v>0</v>
      </c>
      <c r="F1635" s="83" t="b">
        <v>0</v>
      </c>
      <c r="G1635" s="83" t="b">
        <v>0</v>
      </c>
    </row>
    <row r="1636" spans="1:7" ht="15">
      <c r="A1636" s="84" t="s">
        <v>2607</v>
      </c>
      <c r="B1636" s="83">
        <v>2</v>
      </c>
      <c r="C1636" s="110">
        <v>0.0008639526765155107</v>
      </c>
      <c r="D1636" s="83" t="s">
        <v>2087</v>
      </c>
      <c r="E1636" s="83" t="b">
        <v>0</v>
      </c>
      <c r="F1636" s="83" t="b">
        <v>0</v>
      </c>
      <c r="G1636" s="83" t="b">
        <v>0</v>
      </c>
    </row>
    <row r="1637" spans="1:7" ht="15">
      <c r="A1637" s="84" t="s">
        <v>2832</v>
      </c>
      <c r="B1637" s="83">
        <v>2</v>
      </c>
      <c r="C1637" s="110">
        <v>0.0008639526765155107</v>
      </c>
      <c r="D1637" s="83" t="s">
        <v>2087</v>
      </c>
      <c r="E1637" s="83" t="b">
        <v>0</v>
      </c>
      <c r="F1637" s="83" t="b">
        <v>0</v>
      </c>
      <c r="G1637" s="83" t="b">
        <v>0</v>
      </c>
    </row>
    <row r="1638" spans="1:7" ht="15">
      <c r="A1638" s="84" t="s">
        <v>2833</v>
      </c>
      <c r="B1638" s="83">
        <v>2</v>
      </c>
      <c r="C1638" s="110">
        <v>0.0008639526765155107</v>
      </c>
      <c r="D1638" s="83" t="s">
        <v>2087</v>
      </c>
      <c r="E1638" s="83" t="b">
        <v>0</v>
      </c>
      <c r="F1638" s="83" t="b">
        <v>1</v>
      </c>
      <c r="G1638" s="83" t="b">
        <v>0</v>
      </c>
    </row>
    <row r="1639" spans="1:7" ht="15">
      <c r="A1639" s="84" t="s">
        <v>2834</v>
      </c>
      <c r="B1639" s="83">
        <v>2</v>
      </c>
      <c r="C1639" s="110">
        <v>0.0008639526765155107</v>
      </c>
      <c r="D1639" s="83" t="s">
        <v>2087</v>
      </c>
      <c r="E1639" s="83" t="b">
        <v>0</v>
      </c>
      <c r="F1639" s="83" t="b">
        <v>0</v>
      </c>
      <c r="G1639" s="83" t="b">
        <v>0</v>
      </c>
    </row>
    <row r="1640" spans="1:7" ht="15">
      <c r="A1640" s="84" t="s">
        <v>2836</v>
      </c>
      <c r="B1640" s="83">
        <v>2</v>
      </c>
      <c r="C1640" s="110">
        <v>0.0008639526765155107</v>
      </c>
      <c r="D1640" s="83" t="s">
        <v>2087</v>
      </c>
      <c r="E1640" s="83" t="b">
        <v>0</v>
      </c>
      <c r="F1640" s="83" t="b">
        <v>0</v>
      </c>
      <c r="G1640" s="83" t="b">
        <v>0</v>
      </c>
    </row>
    <row r="1641" spans="1:7" ht="15">
      <c r="A1641" s="84" t="s">
        <v>2837</v>
      </c>
      <c r="B1641" s="83">
        <v>2</v>
      </c>
      <c r="C1641" s="110">
        <v>0.0008639526765155107</v>
      </c>
      <c r="D1641" s="83" t="s">
        <v>2087</v>
      </c>
      <c r="E1641" s="83" t="b">
        <v>0</v>
      </c>
      <c r="F1641" s="83" t="b">
        <v>0</v>
      </c>
      <c r="G1641" s="83" t="b">
        <v>0</v>
      </c>
    </row>
    <row r="1642" spans="1:7" ht="15">
      <c r="A1642" s="84" t="s">
        <v>2838</v>
      </c>
      <c r="B1642" s="83">
        <v>2</v>
      </c>
      <c r="C1642" s="110">
        <v>0.0009720230393458755</v>
      </c>
      <c r="D1642" s="83" t="s">
        <v>2087</v>
      </c>
      <c r="E1642" s="83" t="b">
        <v>1</v>
      </c>
      <c r="F1642" s="83" t="b">
        <v>0</v>
      </c>
      <c r="G1642" s="83" t="b">
        <v>0</v>
      </c>
    </row>
    <row r="1643" spans="1:7" ht="15">
      <c r="A1643" s="84" t="s">
        <v>2839</v>
      </c>
      <c r="B1643" s="83">
        <v>2</v>
      </c>
      <c r="C1643" s="110">
        <v>0.0009720230393458755</v>
      </c>
      <c r="D1643" s="83" t="s">
        <v>2087</v>
      </c>
      <c r="E1643" s="83" t="b">
        <v>0</v>
      </c>
      <c r="F1643" s="83" t="b">
        <v>1</v>
      </c>
      <c r="G1643" s="83" t="b">
        <v>0</v>
      </c>
    </row>
    <row r="1644" spans="1:7" ht="15">
      <c r="A1644" s="84" t="s">
        <v>2840</v>
      </c>
      <c r="B1644" s="83">
        <v>2</v>
      </c>
      <c r="C1644" s="110">
        <v>0.0008639526765155107</v>
      </c>
      <c r="D1644" s="83" t="s">
        <v>2087</v>
      </c>
      <c r="E1644" s="83" t="b">
        <v>0</v>
      </c>
      <c r="F1644" s="83" t="b">
        <v>0</v>
      </c>
      <c r="G1644" s="83" t="b">
        <v>0</v>
      </c>
    </row>
    <row r="1645" spans="1:7" ht="15">
      <c r="A1645" s="84" t="s">
        <v>2841</v>
      </c>
      <c r="B1645" s="83">
        <v>2</v>
      </c>
      <c r="C1645" s="110">
        <v>0.0009720230393458755</v>
      </c>
      <c r="D1645" s="83" t="s">
        <v>2087</v>
      </c>
      <c r="E1645" s="83" t="b">
        <v>0</v>
      </c>
      <c r="F1645" s="83" t="b">
        <v>0</v>
      </c>
      <c r="G1645" s="83" t="b">
        <v>0</v>
      </c>
    </row>
    <row r="1646" spans="1:7" ht="15">
      <c r="A1646" s="84" t="s">
        <v>2842</v>
      </c>
      <c r="B1646" s="83">
        <v>2</v>
      </c>
      <c r="C1646" s="110">
        <v>0.0009720230393458755</v>
      </c>
      <c r="D1646" s="83" t="s">
        <v>2087</v>
      </c>
      <c r="E1646" s="83" t="b">
        <v>0</v>
      </c>
      <c r="F1646" s="83" t="b">
        <v>0</v>
      </c>
      <c r="G1646" s="83" t="b">
        <v>0</v>
      </c>
    </row>
    <row r="1647" spans="1:7" ht="15">
      <c r="A1647" s="84" t="s">
        <v>2844</v>
      </c>
      <c r="B1647" s="83">
        <v>2</v>
      </c>
      <c r="C1647" s="110">
        <v>0.0008639526765155107</v>
      </c>
      <c r="D1647" s="83" t="s">
        <v>2087</v>
      </c>
      <c r="E1647" s="83" t="b">
        <v>1</v>
      </c>
      <c r="F1647" s="83" t="b">
        <v>0</v>
      </c>
      <c r="G1647" s="83" t="b">
        <v>0</v>
      </c>
    </row>
    <row r="1648" spans="1:7" ht="15">
      <c r="A1648" s="84" t="s">
        <v>2845</v>
      </c>
      <c r="B1648" s="83">
        <v>2</v>
      </c>
      <c r="C1648" s="110">
        <v>0.0009720230393458755</v>
      </c>
      <c r="D1648" s="83" t="s">
        <v>2087</v>
      </c>
      <c r="E1648" s="83" t="b">
        <v>0</v>
      </c>
      <c r="F1648" s="83" t="b">
        <v>0</v>
      </c>
      <c r="G1648" s="83" t="b">
        <v>0</v>
      </c>
    </row>
    <row r="1649" spans="1:7" ht="15">
      <c r="A1649" s="84" t="s">
        <v>2846</v>
      </c>
      <c r="B1649" s="83">
        <v>2</v>
      </c>
      <c r="C1649" s="110">
        <v>0.0008639526765155107</v>
      </c>
      <c r="D1649" s="83" t="s">
        <v>2087</v>
      </c>
      <c r="E1649" s="83" t="b">
        <v>0</v>
      </c>
      <c r="F1649" s="83" t="b">
        <v>0</v>
      </c>
      <c r="G1649" s="83" t="b">
        <v>0</v>
      </c>
    </row>
    <row r="1650" spans="1:7" ht="15">
      <c r="A1650" s="84" t="s">
        <v>2847</v>
      </c>
      <c r="B1650" s="83">
        <v>2</v>
      </c>
      <c r="C1650" s="110">
        <v>0.0008639526765155107</v>
      </c>
      <c r="D1650" s="83" t="s">
        <v>2087</v>
      </c>
      <c r="E1650" s="83" t="b">
        <v>1</v>
      </c>
      <c r="F1650" s="83" t="b">
        <v>0</v>
      </c>
      <c r="G1650" s="83" t="b">
        <v>0</v>
      </c>
    </row>
    <row r="1651" spans="1:7" ht="15">
      <c r="A1651" s="84" t="s">
        <v>2615</v>
      </c>
      <c r="B1651" s="83">
        <v>2</v>
      </c>
      <c r="C1651" s="110">
        <v>0.0008639526765155107</v>
      </c>
      <c r="D1651" s="83" t="s">
        <v>2087</v>
      </c>
      <c r="E1651" s="83" t="b">
        <v>0</v>
      </c>
      <c r="F1651" s="83" t="b">
        <v>0</v>
      </c>
      <c r="G1651" s="83" t="b">
        <v>0</v>
      </c>
    </row>
    <row r="1652" spans="1:7" ht="15">
      <c r="A1652" s="84" t="s">
        <v>2616</v>
      </c>
      <c r="B1652" s="83">
        <v>2</v>
      </c>
      <c r="C1652" s="110">
        <v>0.0008639526765155107</v>
      </c>
      <c r="D1652" s="83" t="s">
        <v>2087</v>
      </c>
      <c r="E1652" s="83" t="b">
        <v>0</v>
      </c>
      <c r="F1652" s="83" t="b">
        <v>0</v>
      </c>
      <c r="G1652" s="83" t="b">
        <v>0</v>
      </c>
    </row>
    <row r="1653" spans="1:7" ht="15">
      <c r="A1653" s="84" t="s">
        <v>2848</v>
      </c>
      <c r="B1653" s="83">
        <v>2</v>
      </c>
      <c r="C1653" s="110">
        <v>0.0008639526765155107</v>
      </c>
      <c r="D1653" s="83" t="s">
        <v>2087</v>
      </c>
      <c r="E1653" s="83" t="b">
        <v>0</v>
      </c>
      <c r="F1653" s="83" t="b">
        <v>0</v>
      </c>
      <c r="G1653" s="83" t="b">
        <v>0</v>
      </c>
    </row>
    <row r="1654" spans="1:7" ht="15">
      <c r="A1654" s="84" t="s">
        <v>2478</v>
      </c>
      <c r="B1654" s="83">
        <v>2</v>
      </c>
      <c r="C1654" s="110">
        <v>0.0008639526765155107</v>
      </c>
      <c r="D1654" s="83" t="s">
        <v>2087</v>
      </c>
      <c r="E1654" s="83" t="b">
        <v>0</v>
      </c>
      <c r="F1654" s="83" t="b">
        <v>0</v>
      </c>
      <c r="G1654" s="83" t="b">
        <v>0</v>
      </c>
    </row>
    <row r="1655" spans="1:7" ht="15">
      <c r="A1655" s="84" t="s">
        <v>2617</v>
      </c>
      <c r="B1655" s="83">
        <v>2</v>
      </c>
      <c r="C1655" s="110">
        <v>0.0008639526765155107</v>
      </c>
      <c r="D1655" s="83" t="s">
        <v>2087</v>
      </c>
      <c r="E1655" s="83" t="b">
        <v>0</v>
      </c>
      <c r="F1655" s="83" t="b">
        <v>0</v>
      </c>
      <c r="G1655" s="83" t="b">
        <v>0</v>
      </c>
    </row>
    <row r="1656" spans="1:7" ht="15">
      <c r="A1656" s="84" t="s">
        <v>2618</v>
      </c>
      <c r="B1656" s="83">
        <v>2</v>
      </c>
      <c r="C1656" s="110">
        <v>0.0008639526765155107</v>
      </c>
      <c r="D1656" s="83" t="s">
        <v>2087</v>
      </c>
      <c r="E1656" s="83" t="b">
        <v>0</v>
      </c>
      <c r="F1656" s="83" t="b">
        <v>0</v>
      </c>
      <c r="G1656" s="83" t="b">
        <v>0</v>
      </c>
    </row>
    <row r="1657" spans="1:7" ht="15">
      <c r="A1657" s="84" t="s">
        <v>2849</v>
      </c>
      <c r="B1657" s="83">
        <v>2</v>
      </c>
      <c r="C1657" s="110">
        <v>0.0008639526765155107</v>
      </c>
      <c r="D1657" s="83" t="s">
        <v>2087</v>
      </c>
      <c r="E1657" s="83" t="b">
        <v>0</v>
      </c>
      <c r="F1657" s="83" t="b">
        <v>0</v>
      </c>
      <c r="G1657" s="83" t="b">
        <v>0</v>
      </c>
    </row>
    <row r="1658" spans="1:7" ht="15">
      <c r="A1658" s="84" t="s">
        <v>2850</v>
      </c>
      <c r="B1658" s="83">
        <v>2</v>
      </c>
      <c r="C1658" s="110">
        <v>0.0008639526765155107</v>
      </c>
      <c r="D1658" s="83" t="s">
        <v>2087</v>
      </c>
      <c r="E1658" s="83" t="b">
        <v>0</v>
      </c>
      <c r="F1658" s="83" t="b">
        <v>0</v>
      </c>
      <c r="G1658" s="83" t="b">
        <v>0</v>
      </c>
    </row>
    <row r="1659" spans="1:7" ht="15">
      <c r="A1659" s="84" t="s">
        <v>2851</v>
      </c>
      <c r="B1659" s="83">
        <v>2</v>
      </c>
      <c r="C1659" s="110">
        <v>0.0008639526765155107</v>
      </c>
      <c r="D1659" s="83" t="s">
        <v>2087</v>
      </c>
      <c r="E1659" s="83" t="b">
        <v>0</v>
      </c>
      <c r="F1659" s="83" t="b">
        <v>0</v>
      </c>
      <c r="G1659" s="83" t="b">
        <v>0</v>
      </c>
    </row>
    <row r="1660" spans="1:7" ht="15">
      <c r="A1660" s="84" t="s">
        <v>2853</v>
      </c>
      <c r="B1660" s="83">
        <v>2</v>
      </c>
      <c r="C1660" s="110">
        <v>0.0008639526765155107</v>
      </c>
      <c r="D1660" s="83" t="s">
        <v>2087</v>
      </c>
      <c r="E1660" s="83" t="b">
        <v>0</v>
      </c>
      <c r="F1660" s="83" t="b">
        <v>0</v>
      </c>
      <c r="G1660" s="83" t="b">
        <v>0</v>
      </c>
    </row>
    <row r="1661" spans="1:7" ht="15">
      <c r="A1661" s="84" t="s">
        <v>2854</v>
      </c>
      <c r="B1661" s="83">
        <v>2</v>
      </c>
      <c r="C1661" s="110">
        <v>0.0008639526765155107</v>
      </c>
      <c r="D1661" s="83" t="s">
        <v>2087</v>
      </c>
      <c r="E1661" s="83" t="b">
        <v>0</v>
      </c>
      <c r="F1661" s="83" t="b">
        <v>0</v>
      </c>
      <c r="G1661" s="83" t="b">
        <v>0</v>
      </c>
    </row>
    <row r="1662" spans="1:7" ht="15">
      <c r="A1662" s="84" t="s">
        <v>2855</v>
      </c>
      <c r="B1662" s="83">
        <v>2</v>
      </c>
      <c r="C1662" s="110">
        <v>0.0008639526765155107</v>
      </c>
      <c r="D1662" s="83" t="s">
        <v>2087</v>
      </c>
      <c r="E1662" s="83" t="b">
        <v>0</v>
      </c>
      <c r="F1662" s="83" t="b">
        <v>0</v>
      </c>
      <c r="G1662" s="83" t="b">
        <v>0</v>
      </c>
    </row>
    <row r="1663" spans="1:7" ht="15">
      <c r="A1663" s="84" t="s">
        <v>2856</v>
      </c>
      <c r="B1663" s="83">
        <v>2</v>
      </c>
      <c r="C1663" s="110">
        <v>0.0009720230393458755</v>
      </c>
      <c r="D1663" s="83" t="s">
        <v>2087</v>
      </c>
      <c r="E1663" s="83" t="b">
        <v>0</v>
      </c>
      <c r="F1663" s="83" t="b">
        <v>0</v>
      </c>
      <c r="G1663" s="83" t="b">
        <v>0</v>
      </c>
    </row>
    <row r="1664" spans="1:7" ht="15">
      <c r="A1664" s="84" t="s">
        <v>2857</v>
      </c>
      <c r="B1664" s="83">
        <v>2</v>
      </c>
      <c r="C1664" s="110">
        <v>0.0009720230393458755</v>
      </c>
      <c r="D1664" s="83" t="s">
        <v>2087</v>
      </c>
      <c r="E1664" s="83" t="b">
        <v>0</v>
      </c>
      <c r="F1664" s="83" t="b">
        <v>0</v>
      </c>
      <c r="G1664" s="83" t="b">
        <v>0</v>
      </c>
    </row>
    <row r="1665" spans="1:7" ht="15">
      <c r="A1665" s="84" t="s">
        <v>2633</v>
      </c>
      <c r="B1665" s="83">
        <v>2</v>
      </c>
      <c r="C1665" s="110">
        <v>0.0009720230393458755</v>
      </c>
      <c r="D1665" s="83" t="s">
        <v>2087</v>
      </c>
      <c r="E1665" s="83" t="b">
        <v>0</v>
      </c>
      <c r="F1665" s="83" t="b">
        <v>0</v>
      </c>
      <c r="G1665" s="83" t="b">
        <v>0</v>
      </c>
    </row>
    <row r="1666" spans="1:7" ht="15">
      <c r="A1666" s="84" t="s">
        <v>2889</v>
      </c>
      <c r="B1666" s="83">
        <v>2</v>
      </c>
      <c r="C1666" s="110">
        <v>0.0008639526765155107</v>
      </c>
      <c r="D1666" s="83" t="s">
        <v>2087</v>
      </c>
      <c r="E1666" s="83" t="b">
        <v>0</v>
      </c>
      <c r="F1666" s="83" t="b">
        <v>0</v>
      </c>
      <c r="G1666" s="83" t="b">
        <v>0</v>
      </c>
    </row>
    <row r="1667" spans="1:7" ht="15">
      <c r="A1667" s="84" t="s">
        <v>2890</v>
      </c>
      <c r="B1667" s="83">
        <v>2</v>
      </c>
      <c r="C1667" s="110">
        <v>0.0008639526765155107</v>
      </c>
      <c r="D1667" s="83" t="s">
        <v>2087</v>
      </c>
      <c r="E1667" s="83" t="b">
        <v>0</v>
      </c>
      <c r="F1667" s="83" t="b">
        <v>0</v>
      </c>
      <c r="G1667" s="83" t="b">
        <v>0</v>
      </c>
    </row>
    <row r="1668" spans="1:7" ht="15">
      <c r="A1668" s="84" t="s">
        <v>2891</v>
      </c>
      <c r="B1668" s="83">
        <v>2</v>
      </c>
      <c r="C1668" s="110">
        <v>0.0008639526765155107</v>
      </c>
      <c r="D1668" s="83" t="s">
        <v>2087</v>
      </c>
      <c r="E1668" s="83" t="b">
        <v>0</v>
      </c>
      <c r="F1668" s="83" t="b">
        <v>0</v>
      </c>
      <c r="G1668" s="83" t="b">
        <v>0</v>
      </c>
    </row>
    <row r="1669" spans="1:7" ht="15">
      <c r="A1669" s="84" t="s">
        <v>2892</v>
      </c>
      <c r="B1669" s="83">
        <v>2</v>
      </c>
      <c r="C1669" s="110">
        <v>0.0008639526765155107</v>
      </c>
      <c r="D1669" s="83" t="s">
        <v>2087</v>
      </c>
      <c r="E1669" s="83" t="b">
        <v>0</v>
      </c>
      <c r="F1669" s="83" t="b">
        <v>0</v>
      </c>
      <c r="G1669" s="83" t="b">
        <v>0</v>
      </c>
    </row>
    <row r="1670" spans="1:7" ht="15">
      <c r="A1670" s="84" t="s">
        <v>2893</v>
      </c>
      <c r="B1670" s="83">
        <v>2</v>
      </c>
      <c r="C1670" s="110">
        <v>0.0008639526765155107</v>
      </c>
      <c r="D1670" s="83" t="s">
        <v>2087</v>
      </c>
      <c r="E1670" s="83" t="b">
        <v>0</v>
      </c>
      <c r="F1670" s="83" t="b">
        <v>0</v>
      </c>
      <c r="G1670" s="83" t="b">
        <v>0</v>
      </c>
    </row>
    <row r="1671" spans="1:7" ht="15">
      <c r="A1671" s="84" t="s">
        <v>2895</v>
      </c>
      <c r="B1671" s="83">
        <v>2</v>
      </c>
      <c r="C1671" s="110">
        <v>0.0008639526765155107</v>
      </c>
      <c r="D1671" s="83" t="s">
        <v>2087</v>
      </c>
      <c r="E1671" s="83" t="b">
        <v>0</v>
      </c>
      <c r="F1671" s="83" t="b">
        <v>0</v>
      </c>
      <c r="G1671" s="83" t="b">
        <v>0</v>
      </c>
    </row>
    <row r="1672" spans="1:7" ht="15">
      <c r="A1672" s="84" t="s">
        <v>2896</v>
      </c>
      <c r="B1672" s="83">
        <v>2</v>
      </c>
      <c r="C1672" s="110">
        <v>0.0008639526765155107</v>
      </c>
      <c r="D1672" s="83" t="s">
        <v>2087</v>
      </c>
      <c r="E1672" s="83" t="b">
        <v>0</v>
      </c>
      <c r="F1672" s="83" t="b">
        <v>0</v>
      </c>
      <c r="G1672" s="83" t="b">
        <v>0</v>
      </c>
    </row>
    <row r="1673" spans="1:7" ht="15">
      <c r="A1673" s="84" t="s">
        <v>2894</v>
      </c>
      <c r="B1673" s="83">
        <v>2</v>
      </c>
      <c r="C1673" s="110">
        <v>0.0008639526765155107</v>
      </c>
      <c r="D1673" s="83" t="s">
        <v>2087</v>
      </c>
      <c r="E1673" s="83" t="b">
        <v>0</v>
      </c>
      <c r="F1673" s="83" t="b">
        <v>0</v>
      </c>
      <c r="G1673" s="83" t="b">
        <v>0</v>
      </c>
    </row>
    <row r="1674" spans="1:7" ht="15">
      <c r="A1674" s="84" t="s">
        <v>2897</v>
      </c>
      <c r="B1674" s="83">
        <v>2</v>
      </c>
      <c r="C1674" s="110">
        <v>0.0009720230393458755</v>
      </c>
      <c r="D1674" s="83" t="s">
        <v>2087</v>
      </c>
      <c r="E1674" s="83" t="b">
        <v>0</v>
      </c>
      <c r="F1674" s="83" t="b">
        <v>0</v>
      </c>
      <c r="G1674" s="83" t="b">
        <v>0</v>
      </c>
    </row>
    <row r="1675" spans="1:7" ht="15">
      <c r="A1675" s="84" t="s">
        <v>2898</v>
      </c>
      <c r="B1675" s="83">
        <v>2</v>
      </c>
      <c r="C1675" s="110">
        <v>0.0008639526765155107</v>
      </c>
      <c r="D1675" s="83" t="s">
        <v>2087</v>
      </c>
      <c r="E1675" s="83" t="b">
        <v>0</v>
      </c>
      <c r="F1675" s="83" t="b">
        <v>0</v>
      </c>
      <c r="G1675" s="83" t="b">
        <v>0</v>
      </c>
    </row>
    <row r="1676" spans="1:7" ht="15">
      <c r="A1676" s="84" t="s">
        <v>2636</v>
      </c>
      <c r="B1676" s="83">
        <v>2</v>
      </c>
      <c r="C1676" s="110">
        <v>0.0008639526765155107</v>
      </c>
      <c r="D1676" s="83" t="s">
        <v>2087</v>
      </c>
      <c r="E1676" s="83" t="b">
        <v>0</v>
      </c>
      <c r="F1676" s="83" t="b">
        <v>0</v>
      </c>
      <c r="G1676" s="83" t="b">
        <v>0</v>
      </c>
    </row>
    <row r="1677" spans="1:7" ht="15">
      <c r="A1677" s="84" t="s">
        <v>2899</v>
      </c>
      <c r="B1677" s="83">
        <v>2</v>
      </c>
      <c r="C1677" s="110">
        <v>0.0008639526765155107</v>
      </c>
      <c r="D1677" s="83" t="s">
        <v>2087</v>
      </c>
      <c r="E1677" s="83" t="b">
        <v>0</v>
      </c>
      <c r="F1677" s="83" t="b">
        <v>0</v>
      </c>
      <c r="G1677" s="83" t="b">
        <v>0</v>
      </c>
    </row>
    <row r="1678" spans="1:7" ht="15">
      <c r="A1678" s="84" t="s">
        <v>2901</v>
      </c>
      <c r="B1678" s="83">
        <v>2</v>
      </c>
      <c r="C1678" s="110">
        <v>0.0008639526765155107</v>
      </c>
      <c r="D1678" s="83" t="s">
        <v>2087</v>
      </c>
      <c r="E1678" s="83" t="b">
        <v>0</v>
      </c>
      <c r="F1678" s="83" t="b">
        <v>0</v>
      </c>
      <c r="G1678" s="83" t="b">
        <v>0</v>
      </c>
    </row>
    <row r="1679" spans="1:7" ht="15">
      <c r="A1679" s="84" t="s">
        <v>2902</v>
      </c>
      <c r="B1679" s="83">
        <v>2</v>
      </c>
      <c r="C1679" s="110">
        <v>0.0008639526765155107</v>
      </c>
      <c r="D1679" s="83" t="s">
        <v>2087</v>
      </c>
      <c r="E1679" s="83" t="b">
        <v>0</v>
      </c>
      <c r="F1679" s="83" t="b">
        <v>0</v>
      </c>
      <c r="G1679" s="83" t="b">
        <v>0</v>
      </c>
    </row>
    <row r="1680" spans="1:7" ht="15">
      <c r="A1680" s="84" t="s">
        <v>2903</v>
      </c>
      <c r="B1680" s="83">
        <v>2</v>
      </c>
      <c r="C1680" s="110">
        <v>0.0008639526765155107</v>
      </c>
      <c r="D1680" s="83" t="s">
        <v>2087</v>
      </c>
      <c r="E1680" s="83" t="b">
        <v>0</v>
      </c>
      <c r="F1680" s="83" t="b">
        <v>0</v>
      </c>
      <c r="G1680" s="83" t="b">
        <v>0</v>
      </c>
    </row>
    <row r="1681" spans="1:7" ht="15">
      <c r="A1681" s="84" t="s">
        <v>2904</v>
      </c>
      <c r="B1681" s="83">
        <v>2</v>
      </c>
      <c r="C1681" s="110">
        <v>0.0008639526765155107</v>
      </c>
      <c r="D1681" s="83" t="s">
        <v>2087</v>
      </c>
      <c r="E1681" s="83" t="b">
        <v>0</v>
      </c>
      <c r="F1681" s="83" t="b">
        <v>0</v>
      </c>
      <c r="G1681" s="83" t="b">
        <v>0</v>
      </c>
    </row>
    <row r="1682" spans="1:7" ht="15">
      <c r="A1682" s="84" t="s">
        <v>2641</v>
      </c>
      <c r="B1682" s="83">
        <v>2</v>
      </c>
      <c r="C1682" s="110">
        <v>0.0008639526765155107</v>
      </c>
      <c r="D1682" s="83" t="s">
        <v>2087</v>
      </c>
      <c r="E1682" s="83" t="b">
        <v>0</v>
      </c>
      <c r="F1682" s="83" t="b">
        <v>0</v>
      </c>
      <c r="G1682" s="83" t="b">
        <v>0</v>
      </c>
    </row>
    <row r="1683" spans="1:7" ht="15">
      <c r="A1683" s="84" t="s">
        <v>2905</v>
      </c>
      <c r="B1683" s="83">
        <v>2</v>
      </c>
      <c r="C1683" s="110">
        <v>0.0008639526765155107</v>
      </c>
      <c r="D1683" s="83" t="s">
        <v>2087</v>
      </c>
      <c r="E1683" s="83" t="b">
        <v>0</v>
      </c>
      <c r="F1683" s="83" t="b">
        <v>0</v>
      </c>
      <c r="G1683" s="83" t="b">
        <v>0</v>
      </c>
    </row>
    <row r="1684" spans="1:7" ht="15">
      <c r="A1684" s="84" t="s">
        <v>2906</v>
      </c>
      <c r="B1684" s="83">
        <v>2</v>
      </c>
      <c r="C1684" s="110">
        <v>0.0008639526765155107</v>
      </c>
      <c r="D1684" s="83" t="s">
        <v>2087</v>
      </c>
      <c r="E1684" s="83" t="b">
        <v>0</v>
      </c>
      <c r="F1684" s="83" t="b">
        <v>0</v>
      </c>
      <c r="G1684" s="83" t="b">
        <v>0</v>
      </c>
    </row>
    <row r="1685" spans="1:7" ht="15">
      <c r="A1685" s="84" t="s">
        <v>2907</v>
      </c>
      <c r="B1685" s="83">
        <v>2</v>
      </c>
      <c r="C1685" s="110">
        <v>0.0008639526765155107</v>
      </c>
      <c r="D1685" s="83" t="s">
        <v>2087</v>
      </c>
      <c r="E1685" s="83" t="b">
        <v>0</v>
      </c>
      <c r="F1685" s="83" t="b">
        <v>0</v>
      </c>
      <c r="G1685" s="83" t="b">
        <v>0</v>
      </c>
    </row>
    <row r="1686" spans="1:7" ht="15">
      <c r="A1686" s="84" t="s">
        <v>2908</v>
      </c>
      <c r="B1686" s="83">
        <v>2</v>
      </c>
      <c r="C1686" s="110">
        <v>0.0008639526765155107</v>
      </c>
      <c r="D1686" s="83" t="s">
        <v>2087</v>
      </c>
      <c r="E1686" s="83" t="b">
        <v>0</v>
      </c>
      <c r="F1686" s="83" t="b">
        <v>0</v>
      </c>
      <c r="G1686" s="83" t="b">
        <v>0</v>
      </c>
    </row>
    <row r="1687" spans="1:7" ht="15">
      <c r="A1687" s="84" t="s">
        <v>2912</v>
      </c>
      <c r="B1687" s="83">
        <v>2</v>
      </c>
      <c r="C1687" s="110">
        <v>0.0009720230393458755</v>
      </c>
      <c r="D1687" s="83" t="s">
        <v>2087</v>
      </c>
      <c r="E1687" s="83" t="b">
        <v>0</v>
      </c>
      <c r="F1687" s="83" t="b">
        <v>0</v>
      </c>
      <c r="G1687" s="83" t="b">
        <v>0</v>
      </c>
    </row>
    <row r="1688" spans="1:7" ht="15">
      <c r="A1688" s="84" t="s">
        <v>2913</v>
      </c>
      <c r="B1688" s="83">
        <v>2</v>
      </c>
      <c r="C1688" s="110">
        <v>0.0008639526765155107</v>
      </c>
      <c r="D1688" s="83" t="s">
        <v>2087</v>
      </c>
      <c r="E1688" s="83" t="b">
        <v>0</v>
      </c>
      <c r="F1688" s="83" t="b">
        <v>0</v>
      </c>
      <c r="G1688" s="83" t="b">
        <v>0</v>
      </c>
    </row>
    <row r="1689" spans="1:7" ht="15">
      <c r="A1689" s="84" t="s">
        <v>2285</v>
      </c>
      <c r="B1689" s="83">
        <v>2</v>
      </c>
      <c r="C1689" s="110">
        <v>0.0008639526765155107</v>
      </c>
      <c r="D1689" s="83" t="s">
        <v>2087</v>
      </c>
      <c r="E1689" s="83" t="b">
        <v>0</v>
      </c>
      <c r="F1689" s="83" t="b">
        <v>0</v>
      </c>
      <c r="G1689" s="83" t="b">
        <v>0</v>
      </c>
    </row>
    <row r="1690" spans="1:7" ht="15">
      <c r="A1690" s="84" t="s">
        <v>2627</v>
      </c>
      <c r="B1690" s="83">
        <v>2</v>
      </c>
      <c r="C1690" s="110">
        <v>0.0008639526765155107</v>
      </c>
      <c r="D1690" s="83" t="s">
        <v>2087</v>
      </c>
      <c r="E1690" s="83" t="b">
        <v>0</v>
      </c>
      <c r="F1690" s="83" t="b">
        <v>0</v>
      </c>
      <c r="G1690" s="83" t="b">
        <v>0</v>
      </c>
    </row>
    <row r="1691" spans="1:7" ht="15">
      <c r="A1691" s="84" t="s">
        <v>2914</v>
      </c>
      <c r="B1691" s="83">
        <v>2</v>
      </c>
      <c r="C1691" s="110">
        <v>0.0008639526765155107</v>
      </c>
      <c r="D1691" s="83" t="s">
        <v>2087</v>
      </c>
      <c r="E1691" s="83" t="b">
        <v>0</v>
      </c>
      <c r="F1691" s="83" t="b">
        <v>1</v>
      </c>
      <c r="G1691" s="83" t="b">
        <v>0</v>
      </c>
    </row>
    <row r="1692" spans="1:7" ht="15">
      <c r="A1692" s="84" t="s">
        <v>2933</v>
      </c>
      <c r="B1692" s="83">
        <v>2</v>
      </c>
      <c r="C1692" s="110">
        <v>0.0008639526765155107</v>
      </c>
      <c r="D1692" s="83" t="s">
        <v>2087</v>
      </c>
      <c r="E1692" s="83" t="b">
        <v>0</v>
      </c>
      <c r="F1692" s="83" t="b">
        <v>0</v>
      </c>
      <c r="G1692" s="83" t="b">
        <v>0</v>
      </c>
    </row>
    <row r="1693" spans="1:7" ht="15">
      <c r="A1693" s="84" t="s">
        <v>2934</v>
      </c>
      <c r="B1693" s="83">
        <v>2</v>
      </c>
      <c r="C1693" s="110">
        <v>0.0008639526765155107</v>
      </c>
      <c r="D1693" s="83" t="s">
        <v>2087</v>
      </c>
      <c r="E1693" s="83" t="b">
        <v>0</v>
      </c>
      <c r="F1693" s="83" t="b">
        <v>0</v>
      </c>
      <c r="G1693" s="83" t="b">
        <v>0</v>
      </c>
    </row>
    <row r="1694" spans="1:7" ht="15">
      <c r="A1694" s="84" t="s">
        <v>2935</v>
      </c>
      <c r="B1694" s="83">
        <v>2</v>
      </c>
      <c r="C1694" s="110">
        <v>0.0009720230393458755</v>
      </c>
      <c r="D1694" s="83" t="s">
        <v>2087</v>
      </c>
      <c r="E1694" s="83" t="b">
        <v>0</v>
      </c>
      <c r="F1694" s="83" t="b">
        <v>0</v>
      </c>
      <c r="G1694" s="83" t="b">
        <v>0</v>
      </c>
    </row>
    <row r="1695" spans="1:7" ht="15">
      <c r="A1695" s="84" t="s">
        <v>2496</v>
      </c>
      <c r="B1695" s="83">
        <v>2</v>
      </c>
      <c r="C1695" s="110">
        <v>0.0008639526765155107</v>
      </c>
      <c r="D1695" s="83" t="s">
        <v>2087</v>
      </c>
      <c r="E1695" s="83" t="b">
        <v>0</v>
      </c>
      <c r="F1695" s="83" t="b">
        <v>0</v>
      </c>
      <c r="G1695" s="83" t="b">
        <v>0</v>
      </c>
    </row>
    <row r="1696" spans="1:7" ht="15">
      <c r="A1696" s="84" t="s">
        <v>2936</v>
      </c>
      <c r="B1696" s="83">
        <v>2</v>
      </c>
      <c r="C1696" s="110">
        <v>0.0008639526765155107</v>
      </c>
      <c r="D1696" s="83" t="s">
        <v>2087</v>
      </c>
      <c r="E1696" s="83" t="b">
        <v>0</v>
      </c>
      <c r="F1696" s="83" t="b">
        <v>0</v>
      </c>
      <c r="G1696" s="83" t="b">
        <v>0</v>
      </c>
    </row>
    <row r="1697" spans="1:7" ht="15">
      <c r="A1697" s="84" t="s">
        <v>2937</v>
      </c>
      <c r="B1697" s="83">
        <v>2</v>
      </c>
      <c r="C1697" s="110">
        <v>0.0009720230393458755</v>
      </c>
      <c r="D1697" s="83" t="s">
        <v>2087</v>
      </c>
      <c r="E1697" s="83" t="b">
        <v>0</v>
      </c>
      <c r="F1697" s="83" t="b">
        <v>0</v>
      </c>
      <c r="G1697" s="83" t="b">
        <v>0</v>
      </c>
    </row>
    <row r="1698" spans="1:7" ht="15">
      <c r="A1698" s="84" t="s">
        <v>2661</v>
      </c>
      <c r="B1698" s="83">
        <v>2</v>
      </c>
      <c r="C1698" s="110">
        <v>0.0009720230393458755</v>
      </c>
      <c r="D1698" s="83" t="s">
        <v>2087</v>
      </c>
      <c r="E1698" s="83" t="b">
        <v>0</v>
      </c>
      <c r="F1698" s="83" t="b">
        <v>0</v>
      </c>
      <c r="G1698" s="83" t="b">
        <v>0</v>
      </c>
    </row>
    <row r="1699" spans="1:7" ht="15">
      <c r="A1699" s="84" t="s">
        <v>2938</v>
      </c>
      <c r="B1699" s="83">
        <v>2</v>
      </c>
      <c r="C1699" s="110">
        <v>0.0009720230393458755</v>
      </c>
      <c r="D1699" s="83" t="s">
        <v>2087</v>
      </c>
      <c r="E1699" s="83" t="b">
        <v>0</v>
      </c>
      <c r="F1699" s="83" t="b">
        <v>0</v>
      </c>
      <c r="G1699" s="83" t="b">
        <v>0</v>
      </c>
    </row>
    <row r="1700" spans="1:7" ht="15">
      <c r="A1700" s="84" t="s">
        <v>2939</v>
      </c>
      <c r="B1700" s="83">
        <v>2</v>
      </c>
      <c r="C1700" s="110">
        <v>0.0009720230393458755</v>
      </c>
      <c r="D1700" s="83" t="s">
        <v>2087</v>
      </c>
      <c r="E1700" s="83" t="b">
        <v>0</v>
      </c>
      <c r="F1700" s="83" t="b">
        <v>1</v>
      </c>
      <c r="G1700" s="83" t="b">
        <v>0</v>
      </c>
    </row>
    <row r="1701" spans="1:7" ht="15">
      <c r="A1701" s="84" t="s">
        <v>2940</v>
      </c>
      <c r="B1701" s="83">
        <v>2</v>
      </c>
      <c r="C1701" s="110">
        <v>0.0009720230393458755</v>
      </c>
      <c r="D1701" s="83" t="s">
        <v>2087</v>
      </c>
      <c r="E1701" s="83" t="b">
        <v>0</v>
      </c>
      <c r="F1701" s="83" t="b">
        <v>0</v>
      </c>
      <c r="G1701" s="83" t="b">
        <v>0</v>
      </c>
    </row>
    <row r="1702" spans="1:7" ht="15">
      <c r="A1702" s="84" t="s">
        <v>2941</v>
      </c>
      <c r="B1702" s="83">
        <v>2</v>
      </c>
      <c r="C1702" s="110">
        <v>0.0009720230393458755</v>
      </c>
      <c r="D1702" s="83" t="s">
        <v>2087</v>
      </c>
      <c r="E1702" s="83" t="b">
        <v>0</v>
      </c>
      <c r="F1702" s="83" t="b">
        <v>0</v>
      </c>
      <c r="G1702" s="83" t="b">
        <v>0</v>
      </c>
    </row>
    <row r="1703" spans="1:7" ht="15">
      <c r="A1703" s="84" t="s">
        <v>2670</v>
      </c>
      <c r="B1703" s="83">
        <v>2</v>
      </c>
      <c r="C1703" s="110">
        <v>0.0008639526765155107</v>
      </c>
      <c r="D1703" s="83" t="s">
        <v>2087</v>
      </c>
      <c r="E1703" s="83" t="b">
        <v>0</v>
      </c>
      <c r="F1703" s="83" t="b">
        <v>0</v>
      </c>
      <c r="G1703" s="83" t="b">
        <v>0</v>
      </c>
    </row>
    <row r="1704" spans="1:7" ht="15">
      <c r="A1704" s="84" t="s">
        <v>2964</v>
      </c>
      <c r="B1704" s="83">
        <v>2</v>
      </c>
      <c r="C1704" s="110">
        <v>0.0008639526765155107</v>
      </c>
      <c r="D1704" s="83" t="s">
        <v>2087</v>
      </c>
      <c r="E1704" s="83" t="b">
        <v>0</v>
      </c>
      <c r="F1704" s="83" t="b">
        <v>0</v>
      </c>
      <c r="G1704" s="83" t="b">
        <v>0</v>
      </c>
    </row>
    <row r="1705" spans="1:7" ht="15">
      <c r="A1705" s="84" t="s">
        <v>2965</v>
      </c>
      <c r="B1705" s="83">
        <v>2</v>
      </c>
      <c r="C1705" s="110">
        <v>0.0008639526765155107</v>
      </c>
      <c r="D1705" s="83" t="s">
        <v>2087</v>
      </c>
      <c r="E1705" s="83" t="b">
        <v>0</v>
      </c>
      <c r="F1705" s="83" t="b">
        <v>1</v>
      </c>
      <c r="G1705" s="83" t="b">
        <v>0</v>
      </c>
    </row>
    <row r="1706" spans="1:7" ht="15">
      <c r="A1706" s="84" t="s">
        <v>2631</v>
      </c>
      <c r="B1706" s="83">
        <v>2</v>
      </c>
      <c r="C1706" s="110">
        <v>0.0008639526765155107</v>
      </c>
      <c r="D1706" s="83" t="s">
        <v>2087</v>
      </c>
      <c r="E1706" s="83" t="b">
        <v>0</v>
      </c>
      <c r="F1706" s="83" t="b">
        <v>0</v>
      </c>
      <c r="G1706" s="83" t="b">
        <v>0</v>
      </c>
    </row>
    <row r="1707" spans="1:7" ht="15">
      <c r="A1707" s="84" t="s">
        <v>2983</v>
      </c>
      <c r="B1707" s="83">
        <v>2</v>
      </c>
      <c r="C1707" s="110">
        <v>0.0009720230393458755</v>
      </c>
      <c r="D1707" s="83" t="s">
        <v>2087</v>
      </c>
      <c r="E1707" s="83" t="b">
        <v>1</v>
      </c>
      <c r="F1707" s="83" t="b">
        <v>0</v>
      </c>
      <c r="G1707" s="83" t="b">
        <v>0</v>
      </c>
    </row>
    <row r="1708" spans="1:7" ht="15">
      <c r="A1708" s="84" t="s">
        <v>2984</v>
      </c>
      <c r="B1708" s="83">
        <v>2</v>
      </c>
      <c r="C1708" s="110">
        <v>0.0009720230393458755</v>
      </c>
      <c r="D1708" s="83" t="s">
        <v>2087</v>
      </c>
      <c r="E1708" s="83" t="b">
        <v>0</v>
      </c>
      <c r="F1708" s="83" t="b">
        <v>0</v>
      </c>
      <c r="G1708" s="83" t="b">
        <v>0</v>
      </c>
    </row>
    <row r="1709" spans="1:7" ht="15">
      <c r="A1709" s="84" t="s">
        <v>2985</v>
      </c>
      <c r="B1709" s="83">
        <v>2</v>
      </c>
      <c r="C1709" s="110">
        <v>0.0008639526765155107</v>
      </c>
      <c r="D1709" s="83" t="s">
        <v>2087</v>
      </c>
      <c r="E1709" s="83" t="b">
        <v>0</v>
      </c>
      <c r="F1709" s="83" t="b">
        <v>0</v>
      </c>
      <c r="G1709" s="83" t="b">
        <v>0</v>
      </c>
    </row>
    <row r="1710" spans="1:7" ht="15">
      <c r="A1710" s="84" t="s">
        <v>2986</v>
      </c>
      <c r="B1710" s="83">
        <v>2</v>
      </c>
      <c r="C1710" s="110">
        <v>0.0008639526765155107</v>
      </c>
      <c r="D1710" s="83" t="s">
        <v>2087</v>
      </c>
      <c r="E1710" s="83" t="b">
        <v>0</v>
      </c>
      <c r="F1710" s="83" t="b">
        <v>0</v>
      </c>
      <c r="G1710" s="83" t="b">
        <v>0</v>
      </c>
    </row>
    <row r="1711" spans="1:7" ht="15">
      <c r="A1711" s="84" t="s">
        <v>2505</v>
      </c>
      <c r="B1711" s="83">
        <v>2</v>
      </c>
      <c r="C1711" s="110">
        <v>0.0008639526765155107</v>
      </c>
      <c r="D1711" s="83" t="s">
        <v>2087</v>
      </c>
      <c r="E1711" s="83" t="b">
        <v>0</v>
      </c>
      <c r="F1711" s="83" t="b">
        <v>0</v>
      </c>
      <c r="G1711" s="83" t="b">
        <v>0</v>
      </c>
    </row>
    <row r="1712" spans="1:7" ht="15">
      <c r="A1712" s="84" t="s">
        <v>2479</v>
      </c>
      <c r="B1712" s="83">
        <v>2</v>
      </c>
      <c r="C1712" s="110">
        <v>0.0008639526765155107</v>
      </c>
      <c r="D1712" s="83" t="s">
        <v>2087</v>
      </c>
      <c r="E1712" s="83" t="b">
        <v>0</v>
      </c>
      <c r="F1712" s="83" t="b">
        <v>0</v>
      </c>
      <c r="G1712" s="83" t="b">
        <v>0</v>
      </c>
    </row>
    <row r="1713" spans="1:7" ht="15">
      <c r="A1713" s="84" t="s">
        <v>2488</v>
      </c>
      <c r="B1713" s="83">
        <v>2</v>
      </c>
      <c r="C1713" s="110">
        <v>0.0008639526765155107</v>
      </c>
      <c r="D1713" s="83" t="s">
        <v>2087</v>
      </c>
      <c r="E1713" s="83" t="b">
        <v>0</v>
      </c>
      <c r="F1713" s="83" t="b">
        <v>0</v>
      </c>
      <c r="G1713" s="83" t="b">
        <v>0</v>
      </c>
    </row>
    <row r="1714" spans="1:7" ht="15">
      <c r="A1714" s="84" t="s">
        <v>2988</v>
      </c>
      <c r="B1714" s="83">
        <v>2</v>
      </c>
      <c r="C1714" s="110">
        <v>0.0008639526765155107</v>
      </c>
      <c r="D1714" s="83" t="s">
        <v>2087</v>
      </c>
      <c r="E1714" s="83" t="b">
        <v>0</v>
      </c>
      <c r="F1714" s="83" t="b">
        <v>0</v>
      </c>
      <c r="G1714" s="83" t="b">
        <v>0</v>
      </c>
    </row>
    <row r="1715" spans="1:7" ht="15">
      <c r="A1715" s="84" t="s">
        <v>2989</v>
      </c>
      <c r="B1715" s="83">
        <v>2</v>
      </c>
      <c r="C1715" s="110">
        <v>0.0008639526765155107</v>
      </c>
      <c r="D1715" s="83" t="s">
        <v>2087</v>
      </c>
      <c r="E1715" s="83" t="b">
        <v>0</v>
      </c>
      <c r="F1715" s="83" t="b">
        <v>0</v>
      </c>
      <c r="G1715" s="83" t="b">
        <v>0</v>
      </c>
    </row>
    <row r="1716" spans="1:7" ht="15">
      <c r="A1716" s="84" t="s">
        <v>2991</v>
      </c>
      <c r="B1716" s="83">
        <v>2</v>
      </c>
      <c r="C1716" s="110">
        <v>0.0008639526765155107</v>
      </c>
      <c r="D1716" s="83" t="s">
        <v>2087</v>
      </c>
      <c r="E1716" s="83" t="b">
        <v>0</v>
      </c>
      <c r="F1716" s="83" t="b">
        <v>0</v>
      </c>
      <c r="G1716" s="83" t="b">
        <v>0</v>
      </c>
    </row>
    <row r="1717" spans="1:7" ht="15">
      <c r="A1717" s="84" t="s">
        <v>2992</v>
      </c>
      <c r="B1717" s="83">
        <v>2</v>
      </c>
      <c r="C1717" s="110">
        <v>0.0008639526765155107</v>
      </c>
      <c r="D1717" s="83" t="s">
        <v>2087</v>
      </c>
      <c r="E1717" s="83" t="b">
        <v>0</v>
      </c>
      <c r="F1717" s="83" t="b">
        <v>1</v>
      </c>
      <c r="G1717" s="83" t="b">
        <v>0</v>
      </c>
    </row>
    <row r="1718" spans="1:7" ht="15">
      <c r="A1718" s="84" t="s">
        <v>2993</v>
      </c>
      <c r="B1718" s="83">
        <v>2</v>
      </c>
      <c r="C1718" s="110">
        <v>0.0008639526765155107</v>
      </c>
      <c r="D1718" s="83" t="s">
        <v>2087</v>
      </c>
      <c r="E1718" s="83" t="b">
        <v>0</v>
      </c>
      <c r="F1718" s="83" t="b">
        <v>1</v>
      </c>
      <c r="G1718" s="83" t="b">
        <v>0</v>
      </c>
    </row>
    <row r="1719" spans="1:7" ht="15">
      <c r="A1719" s="84" t="s">
        <v>2994</v>
      </c>
      <c r="B1719" s="83">
        <v>2</v>
      </c>
      <c r="C1719" s="110">
        <v>0.0008639526765155107</v>
      </c>
      <c r="D1719" s="83" t="s">
        <v>2087</v>
      </c>
      <c r="E1719" s="83" t="b">
        <v>0</v>
      </c>
      <c r="F1719" s="83" t="b">
        <v>0</v>
      </c>
      <c r="G1719" s="83" t="b">
        <v>0</v>
      </c>
    </row>
    <row r="1720" spans="1:7" ht="15">
      <c r="A1720" s="84" t="s">
        <v>2995</v>
      </c>
      <c r="B1720" s="83">
        <v>2</v>
      </c>
      <c r="C1720" s="110">
        <v>0.0008639526765155107</v>
      </c>
      <c r="D1720" s="83" t="s">
        <v>2087</v>
      </c>
      <c r="E1720" s="83" t="b">
        <v>0</v>
      </c>
      <c r="F1720" s="83" t="b">
        <v>0</v>
      </c>
      <c r="G1720" s="83" t="b">
        <v>0</v>
      </c>
    </row>
    <row r="1721" spans="1:7" ht="15">
      <c r="A1721" s="84" t="s">
        <v>2996</v>
      </c>
      <c r="B1721" s="83">
        <v>2</v>
      </c>
      <c r="C1721" s="110">
        <v>0.0008639526765155107</v>
      </c>
      <c r="D1721" s="83" t="s">
        <v>2087</v>
      </c>
      <c r="E1721" s="83" t="b">
        <v>0</v>
      </c>
      <c r="F1721" s="83" t="b">
        <v>1</v>
      </c>
      <c r="G1721" s="83" t="b">
        <v>0</v>
      </c>
    </row>
    <row r="1722" spans="1:7" ht="15">
      <c r="A1722" s="84" t="s">
        <v>2997</v>
      </c>
      <c r="B1722" s="83">
        <v>2</v>
      </c>
      <c r="C1722" s="110">
        <v>0.0008639526765155107</v>
      </c>
      <c r="D1722" s="83" t="s">
        <v>2087</v>
      </c>
      <c r="E1722" s="83" t="b">
        <v>0</v>
      </c>
      <c r="F1722" s="83" t="b">
        <v>1</v>
      </c>
      <c r="G1722" s="83" t="b">
        <v>0</v>
      </c>
    </row>
    <row r="1723" spans="1:7" ht="15">
      <c r="A1723" s="84" t="s">
        <v>2998</v>
      </c>
      <c r="B1723" s="83">
        <v>2</v>
      </c>
      <c r="C1723" s="110">
        <v>0.0008639526765155107</v>
      </c>
      <c r="D1723" s="83" t="s">
        <v>2087</v>
      </c>
      <c r="E1723" s="83" t="b">
        <v>0</v>
      </c>
      <c r="F1723" s="83" t="b">
        <v>1</v>
      </c>
      <c r="G1723" s="83" t="b">
        <v>0</v>
      </c>
    </row>
    <row r="1724" spans="1:7" ht="15">
      <c r="A1724" s="84" t="s">
        <v>3003</v>
      </c>
      <c r="B1724" s="83">
        <v>2</v>
      </c>
      <c r="C1724" s="110">
        <v>0.0008639526765155107</v>
      </c>
      <c r="D1724" s="83" t="s">
        <v>2087</v>
      </c>
      <c r="E1724" s="83" t="b">
        <v>0</v>
      </c>
      <c r="F1724" s="83" t="b">
        <v>0</v>
      </c>
      <c r="G1724" s="83" t="b">
        <v>0</v>
      </c>
    </row>
    <row r="1725" spans="1:7" ht="15">
      <c r="A1725" s="84" t="s">
        <v>2624</v>
      </c>
      <c r="B1725" s="83">
        <v>2</v>
      </c>
      <c r="C1725" s="110">
        <v>0.0008639526765155107</v>
      </c>
      <c r="D1725" s="83" t="s">
        <v>2087</v>
      </c>
      <c r="E1725" s="83" t="b">
        <v>0</v>
      </c>
      <c r="F1725" s="83" t="b">
        <v>0</v>
      </c>
      <c r="G1725" s="83" t="b">
        <v>0</v>
      </c>
    </row>
    <row r="1726" spans="1:7" ht="15">
      <c r="A1726" s="84" t="s">
        <v>3004</v>
      </c>
      <c r="B1726" s="83">
        <v>2</v>
      </c>
      <c r="C1726" s="110">
        <v>0.0008639526765155107</v>
      </c>
      <c r="D1726" s="83" t="s">
        <v>2087</v>
      </c>
      <c r="E1726" s="83" t="b">
        <v>0</v>
      </c>
      <c r="F1726" s="83" t="b">
        <v>0</v>
      </c>
      <c r="G1726" s="83" t="b">
        <v>0</v>
      </c>
    </row>
    <row r="1727" spans="1:7" ht="15">
      <c r="A1727" s="84" t="s">
        <v>3005</v>
      </c>
      <c r="B1727" s="83">
        <v>2</v>
      </c>
      <c r="C1727" s="110">
        <v>0.0008639526765155107</v>
      </c>
      <c r="D1727" s="83" t="s">
        <v>2087</v>
      </c>
      <c r="E1727" s="83" t="b">
        <v>0</v>
      </c>
      <c r="F1727" s="83" t="b">
        <v>0</v>
      </c>
      <c r="G1727" s="83" t="b">
        <v>0</v>
      </c>
    </row>
    <row r="1728" spans="1:7" ht="15">
      <c r="A1728" s="84" t="s">
        <v>3006</v>
      </c>
      <c r="B1728" s="83">
        <v>2</v>
      </c>
      <c r="C1728" s="110">
        <v>0.0008639526765155107</v>
      </c>
      <c r="D1728" s="83" t="s">
        <v>2087</v>
      </c>
      <c r="E1728" s="83" t="b">
        <v>0</v>
      </c>
      <c r="F1728" s="83" t="b">
        <v>0</v>
      </c>
      <c r="G1728" s="83" t="b">
        <v>0</v>
      </c>
    </row>
    <row r="1729" spans="1:7" ht="15">
      <c r="A1729" s="84" t="s">
        <v>3011</v>
      </c>
      <c r="B1729" s="83">
        <v>2</v>
      </c>
      <c r="C1729" s="110">
        <v>0.0008639526765155107</v>
      </c>
      <c r="D1729" s="83" t="s">
        <v>2087</v>
      </c>
      <c r="E1729" s="83" t="b">
        <v>0</v>
      </c>
      <c r="F1729" s="83" t="b">
        <v>1</v>
      </c>
      <c r="G1729" s="83" t="b">
        <v>0</v>
      </c>
    </row>
    <row r="1730" spans="1:7" ht="15">
      <c r="A1730" s="84" t="s">
        <v>3012</v>
      </c>
      <c r="B1730" s="83">
        <v>2</v>
      </c>
      <c r="C1730" s="110">
        <v>0.0008639526765155107</v>
      </c>
      <c r="D1730" s="83" t="s">
        <v>2087</v>
      </c>
      <c r="E1730" s="83" t="b">
        <v>0</v>
      </c>
      <c r="F1730" s="83" t="b">
        <v>0</v>
      </c>
      <c r="G1730" s="83" t="b">
        <v>0</v>
      </c>
    </row>
    <row r="1731" spans="1:7" ht="15">
      <c r="A1731" s="84" t="s">
        <v>2497</v>
      </c>
      <c r="B1731" s="83">
        <v>2</v>
      </c>
      <c r="C1731" s="110">
        <v>0.0008639526765155107</v>
      </c>
      <c r="D1731" s="83" t="s">
        <v>2087</v>
      </c>
      <c r="E1731" s="83" t="b">
        <v>0</v>
      </c>
      <c r="F1731" s="83" t="b">
        <v>1</v>
      </c>
      <c r="G1731" s="83" t="b">
        <v>0</v>
      </c>
    </row>
    <row r="1732" spans="1:7" ht="15">
      <c r="A1732" s="84" t="s">
        <v>2683</v>
      </c>
      <c r="B1732" s="83">
        <v>2</v>
      </c>
      <c r="C1732" s="110">
        <v>0.0008639526765155107</v>
      </c>
      <c r="D1732" s="83" t="s">
        <v>2087</v>
      </c>
      <c r="E1732" s="83" t="b">
        <v>0</v>
      </c>
      <c r="F1732" s="83" t="b">
        <v>0</v>
      </c>
      <c r="G1732" s="83" t="b">
        <v>0</v>
      </c>
    </row>
    <row r="1733" spans="1:7" ht="15">
      <c r="A1733" s="84" t="s">
        <v>3014</v>
      </c>
      <c r="B1733" s="83">
        <v>2</v>
      </c>
      <c r="C1733" s="110">
        <v>0.0008639526765155107</v>
      </c>
      <c r="D1733" s="83" t="s">
        <v>2087</v>
      </c>
      <c r="E1733" s="83" t="b">
        <v>1</v>
      </c>
      <c r="F1733" s="83" t="b">
        <v>0</v>
      </c>
      <c r="G1733" s="83" t="b">
        <v>0</v>
      </c>
    </row>
    <row r="1734" spans="1:7" ht="15">
      <c r="A1734" s="84" t="s">
        <v>3015</v>
      </c>
      <c r="B1734" s="83">
        <v>2</v>
      </c>
      <c r="C1734" s="110">
        <v>0.0008639526765155107</v>
      </c>
      <c r="D1734" s="83" t="s">
        <v>2087</v>
      </c>
      <c r="E1734" s="83" t="b">
        <v>0</v>
      </c>
      <c r="F1734" s="83" t="b">
        <v>0</v>
      </c>
      <c r="G1734" s="83" t="b">
        <v>0</v>
      </c>
    </row>
    <row r="1735" spans="1:7" ht="15">
      <c r="A1735" s="84" t="s">
        <v>3016</v>
      </c>
      <c r="B1735" s="83">
        <v>2</v>
      </c>
      <c r="C1735" s="110">
        <v>0.0008639526765155107</v>
      </c>
      <c r="D1735" s="83" t="s">
        <v>2087</v>
      </c>
      <c r="E1735" s="83" t="b">
        <v>0</v>
      </c>
      <c r="F1735" s="83" t="b">
        <v>0</v>
      </c>
      <c r="G1735" s="83" t="b">
        <v>0</v>
      </c>
    </row>
    <row r="1736" spans="1:7" ht="15">
      <c r="A1736" s="84" t="s">
        <v>3017</v>
      </c>
      <c r="B1736" s="83">
        <v>2</v>
      </c>
      <c r="C1736" s="110">
        <v>0.0009720230393458755</v>
      </c>
      <c r="D1736" s="83" t="s">
        <v>2087</v>
      </c>
      <c r="E1736" s="83" t="b">
        <v>0</v>
      </c>
      <c r="F1736" s="83" t="b">
        <v>0</v>
      </c>
      <c r="G1736" s="83" t="b">
        <v>0</v>
      </c>
    </row>
    <row r="1737" spans="1:7" ht="15">
      <c r="A1737" s="84" t="s">
        <v>3018</v>
      </c>
      <c r="B1737" s="83">
        <v>2</v>
      </c>
      <c r="C1737" s="110">
        <v>0.0008639526765155107</v>
      </c>
      <c r="D1737" s="83" t="s">
        <v>2087</v>
      </c>
      <c r="E1737" s="83" t="b">
        <v>0</v>
      </c>
      <c r="F1737" s="83" t="b">
        <v>0</v>
      </c>
      <c r="G1737" s="83" t="b">
        <v>0</v>
      </c>
    </row>
    <row r="1738" spans="1:7" ht="15">
      <c r="A1738" s="84" t="s">
        <v>2506</v>
      </c>
      <c r="B1738" s="83">
        <v>2</v>
      </c>
      <c r="C1738" s="110">
        <v>0.0008639526765155107</v>
      </c>
      <c r="D1738" s="83" t="s">
        <v>2087</v>
      </c>
      <c r="E1738" s="83" t="b">
        <v>0</v>
      </c>
      <c r="F1738" s="83" t="b">
        <v>0</v>
      </c>
      <c r="G1738" s="83" t="b">
        <v>0</v>
      </c>
    </row>
    <row r="1739" spans="1:7" ht="15">
      <c r="A1739" s="84" t="s">
        <v>2487</v>
      </c>
      <c r="B1739" s="83">
        <v>2</v>
      </c>
      <c r="C1739" s="110">
        <v>0.0008639526765155107</v>
      </c>
      <c r="D1739" s="83" t="s">
        <v>2087</v>
      </c>
      <c r="E1739" s="83" t="b">
        <v>0</v>
      </c>
      <c r="F1739" s="83" t="b">
        <v>0</v>
      </c>
      <c r="G1739" s="83" t="b">
        <v>0</v>
      </c>
    </row>
    <row r="1740" spans="1:7" ht="15">
      <c r="A1740" s="84" t="s">
        <v>3019</v>
      </c>
      <c r="B1740" s="83">
        <v>2</v>
      </c>
      <c r="C1740" s="110">
        <v>0.0008639526765155107</v>
      </c>
      <c r="D1740" s="83" t="s">
        <v>2087</v>
      </c>
      <c r="E1740" s="83" t="b">
        <v>0</v>
      </c>
      <c r="F1740" s="83" t="b">
        <v>0</v>
      </c>
      <c r="G1740" s="83" t="b">
        <v>0</v>
      </c>
    </row>
    <row r="1741" spans="1:7" ht="15">
      <c r="A1741" s="84" t="s">
        <v>2517</v>
      </c>
      <c r="B1741" s="83">
        <v>2</v>
      </c>
      <c r="C1741" s="110">
        <v>0.0008639526765155107</v>
      </c>
      <c r="D1741" s="83" t="s">
        <v>2087</v>
      </c>
      <c r="E1741" s="83" t="b">
        <v>0</v>
      </c>
      <c r="F1741" s="83" t="b">
        <v>0</v>
      </c>
      <c r="G1741" s="83" t="b">
        <v>0</v>
      </c>
    </row>
    <row r="1742" spans="1:7" ht="15">
      <c r="A1742" s="84" t="s">
        <v>3020</v>
      </c>
      <c r="B1742" s="83">
        <v>2</v>
      </c>
      <c r="C1742" s="110">
        <v>0.0008639526765155107</v>
      </c>
      <c r="D1742" s="83" t="s">
        <v>2087</v>
      </c>
      <c r="E1742" s="83" t="b">
        <v>1</v>
      </c>
      <c r="F1742" s="83" t="b">
        <v>0</v>
      </c>
      <c r="G1742" s="83" t="b">
        <v>0</v>
      </c>
    </row>
    <row r="1743" spans="1:7" ht="15">
      <c r="A1743" s="84" t="s">
        <v>3021</v>
      </c>
      <c r="B1743" s="83">
        <v>2</v>
      </c>
      <c r="C1743" s="110">
        <v>0.0008639526765155107</v>
      </c>
      <c r="D1743" s="83" t="s">
        <v>2087</v>
      </c>
      <c r="E1743" s="83" t="b">
        <v>0</v>
      </c>
      <c r="F1743" s="83" t="b">
        <v>0</v>
      </c>
      <c r="G1743" s="83" t="b">
        <v>0</v>
      </c>
    </row>
    <row r="1744" spans="1:7" ht="15">
      <c r="A1744" s="84" t="s">
        <v>2261</v>
      </c>
      <c r="B1744" s="83">
        <v>2</v>
      </c>
      <c r="C1744" s="110">
        <v>0.0008639526765155107</v>
      </c>
      <c r="D1744" s="83" t="s">
        <v>2087</v>
      </c>
      <c r="E1744" s="83" t="b">
        <v>1</v>
      </c>
      <c r="F1744" s="83" t="b">
        <v>0</v>
      </c>
      <c r="G1744" s="83" t="b">
        <v>0</v>
      </c>
    </row>
    <row r="1745" spans="1:7" ht="15">
      <c r="A1745" s="84" t="s">
        <v>3022</v>
      </c>
      <c r="B1745" s="83">
        <v>2</v>
      </c>
      <c r="C1745" s="110">
        <v>0.0008639526765155107</v>
      </c>
      <c r="D1745" s="83" t="s">
        <v>2087</v>
      </c>
      <c r="E1745" s="83" t="b">
        <v>0</v>
      </c>
      <c r="F1745" s="83" t="b">
        <v>0</v>
      </c>
      <c r="G1745" s="83" t="b">
        <v>0</v>
      </c>
    </row>
    <row r="1746" spans="1:7" ht="15">
      <c r="A1746" s="84" t="s">
        <v>3023</v>
      </c>
      <c r="B1746" s="83">
        <v>2</v>
      </c>
      <c r="C1746" s="110">
        <v>0.0009720230393458755</v>
      </c>
      <c r="D1746" s="83" t="s">
        <v>2087</v>
      </c>
      <c r="E1746" s="83" t="b">
        <v>0</v>
      </c>
      <c r="F1746" s="83" t="b">
        <v>1</v>
      </c>
      <c r="G1746" s="83" t="b">
        <v>0</v>
      </c>
    </row>
    <row r="1747" spans="1:7" ht="15">
      <c r="A1747" s="84" t="s">
        <v>2575</v>
      </c>
      <c r="B1747" s="83">
        <v>2</v>
      </c>
      <c r="C1747" s="110">
        <v>0.0008639526765155107</v>
      </c>
      <c r="D1747" s="83" t="s">
        <v>2087</v>
      </c>
      <c r="E1747" s="83" t="b">
        <v>0</v>
      </c>
      <c r="F1747" s="83" t="b">
        <v>0</v>
      </c>
      <c r="G1747" s="83" t="b">
        <v>0</v>
      </c>
    </row>
    <row r="1748" spans="1:7" ht="15">
      <c r="A1748" s="84" t="s">
        <v>3024</v>
      </c>
      <c r="B1748" s="83">
        <v>2</v>
      </c>
      <c r="C1748" s="110">
        <v>0.0009720230393458755</v>
      </c>
      <c r="D1748" s="83" t="s">
        <v>2087</v>
      </c>
      <c r="E1748" s="83" t="b">
        <v>0</v>
      </c>
      <c r="F1748" s="83" t="b">
        <v>0</v>
      </c>
      <c r="G1748" s="83" t="b">
        <v>0</v>
      </c>
    </row>
    <row r="1749" spans="1:7" ht="15">
      <c r="A1749" s="84" t="s">
        <v>3025</v>
      </c>
      <c r="B1749" s="83">
        <v>2</v>
      </c>
      <c r="C1749" s="110">
        <v>0.0009720230393458755</v>
      </c>
      <c r="D1749" s="83" t="s">
        <v>2087</v>
      </c>
      <c r="E1749" s="83" t="b">
        <v>1</v>
      </c>
      <c r="F1749" s="83" t="b">
        <v>0</v>
      </c>
      <c r="G1749" s="83" t="b">
        <v>0</v>
      </c>
    </row>
    <row r="1750" spans="1:7" ht="15">
      <c r="A1750" s="84" t="s">
        <v>3026</v>
      </c>
      <c r="B1750" s="83">
        <v>2</v>
      </c>
      <c r="C1750" s="110">
        <v>0.0009720230393458755</v>
      </c>
      <c r="D1750" s="83" t="s">
        <v>2087</v>
      </c>
      <c r="E1750" s="83" t="b">
        <v>0</v>
      </c>
      <c r="F1750" s="83" t="b">
        <v>0</v>
      </c>
      <c r="G1750" s="83" t="b">
        <v>0</v>
      </c>
    </row>
    <row r="1751" spans="1:7" ht="15">
      <c r="A1751" s="84" t="s">
        <v>3027</v>
      </c>
      <c r="B1751" s="83">
        <v>2</v>
      </c>
      <c r="C1751" s="110">
        <v>0.0008639526765155107</v>
      </c>
      <c r="D1751" s="83" t="s">
        <v>2087</v>
      </c>
      <c r="E1751" s="83" t="b">
        <v>0</v>
      </c>
      <c r="F1751" s="83" t="b">
        <v>0</v>
      </c>
      <c r="G1751" s="83" t="b">
        <v>0</v>
      </c>
    </row>
    <row r="1752" spans="1:7" ht="15">
      <c r="A1752" s="84" t="s">
        <v>3028</v>
      </c>
      <c r="B1752" s="83">
        <v>2</v>
      </c>
      <c r="C1752" s="110">
        <v>0.0008639526765155107</v>
      </c>
      <c r="D1752" s="83" t="s">
        <v>2087</v>
      </c>
      <c r="E1752" s="83" t="b">
        <v>0</v>
      </c>
      <c r="F1752" s="83" t="b">
        <v>1</v>
      </c>
      <c r="G1752" s="83" t="b">
        <v>0</v>
      </c>
    </row>
    <row r="1753" spans="1:7" ht="15">
      <c r="A1753" s="84" t="s">
        <v>3029</v>
      </c>
      <c r="B1753" s="83">
        <v>2</v>
      </c>
      <c r="C1753" s="110">
        <v>0.0008639526765155107</v>
      </c>
      <c r="D1753" s="83" t="s">
        <v>2087</v>
      </c>
      <c r="E1753" s="83" t="b">
        <v>0</v>
      </c>
      <c r="F1753" s="83" t="b">
        <v>1</v>
      </c>
      <c r="G1753" s="83" t="b">
        <v>0</v>
      </c>
    </row>
    <row r="1754" spans="1:7" ht="15">
      <c r="A1754" s="84" t="s">
        <v>3030</v>
      </c>
      <c r="B1754" s="83">
        <v>2</v>
      </c>
      <c r="C1754" s="110">
        <v>0.0008639526765155107</v>
      </c>
      <c r="D1754" s="83" t="s">
        <v>2087</v>
      </c>
      <c r="E1754" s="83" t="b">
        <v>0</v>
      </c>
      <c r="F1754" s="83" t="b">
        <v>0</v>
      </c>
      <c r="G1754" s="83" t="b">
        <v>0</v>
      </c>
    </row>
    <row r="1755" spans="1:7" ht="15">
      <c r="A1755" s="84" t="s">
        <v>3031</v>
      </c>
      <c r="B1755" s="83">
        <v>2</v>
      </c>
      <c r="C1755" s="110">
        <v>0.0009720230393458755</v>
      </c>
      <c r="D1755" s="83" t="s">
        <v>2087</v>
      </c>
      <c r="E1755" s="83" t="b">
        <v>0</v>
      </c>
      <c r="F1755" s="83" t="b">
        <v>0</v>
      </c>
      <c r="G1755" s="83" t="b">
        <v>0</v>
      </c>
    </row>
    <row r="1756" spans="1:7" ht="15">
      <c r="A1756" s="84" t="s">
        <v>3034</v>
      </c>
      <c r="B1756" s="83">
        <v>2</v>
      </c>
      <c r="C1756" s="110">
        <v>0.0008639526765155107</v>
      </c>
      <c r="D1756" s="83" t="s">
        <v>2087</v>
      </c>
      <c r="E1756" s="83" t="b">
        <v>0</v>
      </c>
      <c r="F1756" s="83" t="b">
        <v>0</v>
      </c>
      <c r="G1756" s="83" t="b">
        <v>0</v>
      </c>
    </row>
    <row r="1757" spans="1:7" ht="15">
      <c r="A1757" s="84" t="s">
        <v>3033</v>
      </c>
      <c r="B1757" s="83">
        <v>2</v>
      </c>
      <c r="C1757" s="110">
        <v>0.0008639526765155107</v>
      </c>
      <c r="D1757" s="83" t="s">
        <v>2087</v>
      </c>
      <c r="E1757" s="83" t="b">
        <v>0</v>
      </c>
      <c r="F1757" s="83" t="b">
        <v>0</v>
      </c>
      <c r="G1757" s="83" t="b">
        <v>0</v>
      </c>
    </row>
    <row r="1758" spans="1:7" ht="15">
      <c r="A1758" s="84" t="s">
        <v>3035</v>
      </c>
      <c r="B1758" s="83">
        <v>2</v>
      </c>
      <c r="C1758" s="110">
        <v>0.0008639526765155107</v>
      </c>
      <c r="D1758" s="83" t="s">
        <v>2087</v>
      </c>
      <c r="E1758" s="83" t="b">
        <v>0</v>
      </c>
      <c r="F1758" s="83" t="b">
        <v>0</v>
      </c>
      <c r="G1758" s="83" t="b">
        <v>0</v>
      </c>
    </row>
    <row r="1759" spans="1:7" ht="15">
      <c r="A1759" s="84" t="s">
        <v>3036</v>
      </c>
      <c r="B1759" s="83">
        <v>2</v>
      </c>
      <c r="C1759" s="110">
        <v>0.0009720230393458755</v>
      </c>
      <c r="D1759" s="83" t="s">
        <v>2087</v>
      </c>
      <c r="E1759" s="83" t="b">
        <v>0</v>
      </c>
      <c r="F1759" s="83" t="b">
        <v>0</v>
      </c>
      <c r="G1759" s="83" t="b">
        <v>0</v>
      </c>
    </row>
    <row r="1760" spans="1:7" ht="15">
      <c r="A1760" s="84" t="s">
        <v>3037</v>
      </c>
      <c r="B1760" s="83">
        <v>2</v>
      </c>
      <c r="C1760" s="110">
        <v>0.0009720230393458755</v>
      </c>
      <c r="D1760" s="83" t="s">
        <v>2087</v>
      </c>
      <c r="E1760" s="83" t="b">
        <v>0</v>
      </c>
      <c r="F1760" s="83" t="b">
        <v>0</v>
      </c>
      <c r="G1760" s="83" t="b">
        <v>0</v>
      </c>
    </row>
    <row r="1761" spans="1:7" ht="15">
      <c r="A1761" s="84" t="s">
        <v>3038</v>
      </c>
      <c r="B1761" s="83">
        <v>2</v>
      </c>
      <c r="C1761" s="110">
        <v>0.0008639526765155107</v>
      </c>
      <c r="D1761" s="83" t="s">
        <v>2087</v>
      </c>
      <c r="E1761" s="83" t="b">
        <v>0</v>
      </c>
      <c r="F1761" s="83" t="b">
        <v>0</v>
      </c>
      <c r="G1761" s="83" t="b">
        <v>0</v>
      </c>
    </row>
    <row r="1762" spans="1:7" ht="15">
      <c r="A1762" s="84" t="s">
        <v>2626</v>
      </c>
      <c r="B1762" s="83">
        <v>2</v>
      </c>
      <c r="C1762" s="110">
        <v>0.0008639526765155107</v>
      </c>
      <c r="D1762" s="83" t="s">
        <v>2087</v>
      </c>
      <c r="E1762" s="83" t="b">
        <v>0</v>
      </c>
      <c r="F1762" s="83" t="b">
        <v>0</v>
      </c>
      <c r="G1762" s="83" t="b">
        <v>0</v>
      </c>
    </row>
    <row r="1763" spans="1:7" ht="15">
      <c r="A1763" s="84" t="s">
        <v>3039</v>
      </c>
      <c r="B1763" s="83">
        <v>2</v>
      </c>
      <c r="C1763" s="110">
        <v>0.0008639526765155107</v>
      </c>
      <c r="D1763" s="83" t="s">
        <v>2087</v>
      </c>
      <c r="E1763" s="83" t="b">
        <v>1</v>
      </c>
      <c r="F1763" s="83" t="b">
        <v>0</v>
      </c>
      <c r="G1763" s="83" t="b">
        <v>0</v>
      </c>
    </row>
    <row r="1764" spans="1:7" ht="15">
      <c r="A1764" s="84" t="s">
        <v>2665</v>
      </c>
      <c r="B1764" s="83">
        <v>2</v>
      </c>
      <c r="C1764" s="110">
        <v>0.0008639526765155107</v>
      </c>
      <c r="D1764" s="83" t="s">
        <v>2087</v>
      </c>
      <c r="E1764" s="83" t="b">
        <v>0</v>
      </c>
      <c r="F1764" s="83" t="b">
        <v>0</v>
      </c>
      <c r="G1764" s="83" t="b">
        <v>0</v>
      </c>
    </row>
    <row r="1765" spans="1:7" ht="15">
      <c r="A1765" s="84" t="s">
        <v>3040</v>
      </c>
      <c r="B1765" s="83">
        <v>2</v>
      </c>
      <c r="C1765" s="110">
        <v>0.0008639526765155107</v>
      </c>
      <c r="D1765" s="83" t="s">
        <v>2087</v>
      </c>
      <c r="E1765" s="83" t="b">
        <v>0</v>
      </c>
      <c r="F1765" s="83" t="b">
        <v>0</v>
      </c>
      <c r="G1765" s="83" t="b">
        <v>0</v>
      </c>
    </row>
    <row r="1766" spans="1:7" ht="15">
      <c r="A1766" s="84" t="s">
        <v>3041</v>
      </c>
      <c r="B1766" s="83">
        <v>2</v>
      </c>
      <c r="C1766" s="110">
        <v>0.0008639526765155107</v>
      </c>
      <c r="D1766" s="83" t="s">
        <v>2087</v>
      </c>
      <c r="E1766" s="83" t="b">
        <v>0</v>
      </c>
      <c r="F1766" s="83" t="b">
        <v>0</v>
      </c>
      <c r="G1766" s="83" t="b">
        <v>0</v>
      </c>
    </row>
    <row r="1767" spans="1:7" ht="15">
      <c r="A1767" s="84" t="s">
        <v>3042</v>
      </c>
      <c r="B1767" s="83">
        <v>2</v>
      </c>
      <c r="C1767" s="110">
        <v>0.0008639526765155107</v>
      </c>
      <c r="D1767" s="83" t="s">
        <v>2087</v>
      </c>
      <c r="E1767" s="83" t="b">
        <v>0</v>
      </c>
      <c r="F1767" s="83" t="b">
        <v>0</v>
      </c>
      <c r="G1767" s="83" t="b">
        <v>0</v>
      </c>
    </row>
    <row r="1768" spans="1:7" ht="15">
      <c r="A1768" s="84" t="s">
        <v>2411</v>
      </c>
      <c r="B1768" s="83">
        <v>2</v>
      </c>
      <c r="C1768" s="110">
        <v>0.0008639526765155107</v>
      </c>
      <c r="D1768" s="83" t="s">
        <v>2087</v>
      </c>
      <c r="E1768" s="83" t="b">
        <v>0</v>
      </c>
      <c r="F1768" s="83" t="b">
        <v>0</v>
      </c>
      <c r="G1768" s="83" t="b">
        <v>0</v>
      </c>
    </row>
    <row r="1769" spans="1:7" ht="15">
      <c r="A1769" s="84" t="s">
        <v>3043</v>
      </c>
      <c r="B1769" s="83">
        <v>2</v>
      </c>
      <c r="C1769" s="110">
        <v>0.0008639526765155107</v>
      </c>
      <c r="D1769" s="83" t="s">
        <v>2087</v>
      </c>
      <c r="E1769" s="83" t="b">
        <v>0</v>
      </c>
      <c r="F1769" s="83" t="b">
        <v>0</v>
      </c>
      <c r="G1769" s="83" t="b">
        <v>0</v>
      </c>
    </row>
    <row r="1770" spans="1:7" ht="15">
      <c r="A1770" s="84" t="s">
        <v>3044</v>
      </c>
      <c r="B1770" s="83">
        <v>2</v>
      </c>
      <c r="C1770" s="110">
        <v>0.0008639526765155107</v>
      </c>
      <c r="D1770" s="83" t="s">
        <v>2087</v>
      </c>
      <c r="E1770" s="83" t="b">
        <v>0</v>
      </c>
      <c r="F1770" s="83" t="b">
        <v>0</v>
      </c>
      <c r="G1770" s="83" t="b">
        <v>0</v>
      </c>
    </row>
    <row r="1771" spans="1:7" ht="15">
      <c r="A1771" s="84" t="s">
        <v>3045</v>
      </c>
      <c r="B1771" s="83">
        <v>2</v>
      </c>
      <c r="C1771" s="110">
        <v>0.0009720230393458755</v>
      </c>
      <c r="D1771" s="83" t="s">
        <v>2087</v>
      </c>
      <c r="E1771" s="83" t="b">
        <v>0</v>
      </c>
      <c r="F1771" s="83" t="b">
        <v>0</v>
      </c>
      <c r="G1771" s="83" t="b">
        <v>0</v>
      </c>
    </row>
    <row r="1772" spans="1:7" ht="15">
      <c r="A1772" s="84" t="s">
        <v>3046</v>
      </c>
      <c r="B1772" s="83">
        <v>2</v>
      </c>
      <c r="C1772" s="110">
        <v>0.0008639526765155107</v>
      </c>
      <c r="D1772" s="83" t="s">
        <v>2087</v>
      </c>
      <c r="E1772" s="83" t="b">
        <v>1</v>
      </c>
      <c r="F1772" s="83" t="b">
        <v>0</v>
      </c>
      <c r="G1772" s="83" t="b">
        <v>0</v>
      </c>
    </row>
    <row r="1773" spans="1:7" ht="15">
      <c r="A1773" s="84" t="s">
        <v>3047</v>
      </c>
      <c r="B1773" s="83">
        <v>2</v>
      </c>
      <c r="C1773" s="110">
        <v>0.0008639526765155107</v>
      </c>
      <c r="D1773" s="83" t="s">
        <v>2087</v>
      </c>
      <c r="E1773" s="83" t="b">
        <v>1</v>
      </c>
      <c r="F1773" s="83" t="b">
        <v>0</v>
      </c>
      <c r="G1773" s="83" t="b">
        <v>0</v>
      </c>
    </row>
    <row r="1774" spans="1:7" ht="15">
      <c r="A1774" s="84" t="s">
        <v>2659</v>
      </c>
      <c r="B1774" s="83">
        <v>2</v>
      </c>
      <c r="C1774" s="110">
        <v>0.0008639526765155107</v>
      </c>
      <c r="D1774" s="83" t="s">
        <v>2087</v>
      </c>
      <c r="E1774" s="83" t="b">
        <v>0</v>
      </c>
      <c r="F1774" s="83" t="b">
        <v>0</v>
      </c>
      <c r="G1774" s="83" t="b">
        <v>0</v>
      </c>
    </row>
    <row r="1775" spans="1:7" ht="15">
      <c r="A1775" s="84" t="s">
        <v>3048</v>
      </c>
      <c r="B1775" s="83">
        <v>2</v>
      </c>
      <c r="C1775" s="110">
        <v>0.0008639526765155107</v>
      </c>
      <c r="D1775" s="83" t="s">
        <v>2087</v>
      </c>
      <c r="E1775" s="83" t="b">
        <v>0</v>
      </c>
      <c r="F1775" s="83" t="b">
        <v>0</v>
      </c>
      <c r="G1775" s="83" t="b">
        <v>0</v>
      </c>
    </row>
    <row r="1776" spans="1:7" ht="15">
      <c r="A1776" s="84" t="s">
        <v>3049</v>
      </c>
      <c r="B1776" s="83">
        <v>2</v>
      </c>
      <c r="C1776" s="110">
        <v>0.0008639526765155107</v>
      </c>
      <c r="D1776" s="83" t="s">
        <v>2087</v>
      </c>
      <c r="E1776" s="83" t="b">
        <v>0</v>
      </c>
      <c r="F1776" s="83" t="b">
        <v>0</v>
      </c>
      <c r="G1776" s="83" t="b">
        <v>0</v>
      </c>
    </row>
    <row r="1777" spans="1:7" ht="15">
      <c r="A1777" s="84" t="s">
        <v>3050</v>
      </c>
      <c r="B1777" s="83">
        <v>2</v>
      </c>
      <c r="C1777" s="110">
        <v>0.0008639526765155107</v>
      </c>
      <c r="D1777" s="83" t="s">
        <v>2087</v>
      </c>
      <c r="E1777" s="83" t="b">
        <v>0</v>
      </c>
      <c r="F1777" s="83" t="b">
        <v>0</v>
      </c>
      <c r="G1777" s="83" t="b">
        <v>0</v>
      </c>
    </row>
    <row r="1778" spans="1:7" ht="15">
      <c r="A1778" s="84" t="s">
        <v>3051</v>
      </c>
      <c r="B1778" s="83">
        <v>2</v>
      </c>
      <c r="C1778" s="110">
        <v>0.0008639526765155107</v>
      </c>
      <c r="D1778" s="83" t="s">
        <v>2087</v>
      </c>
      <c r="E1778" s="83" t="b">
        <v>0</v>
      </c>
      <c r="F1778" s="83" t="b">
        <v>0</v>
      </c>
      <c r="G1778" s="83" t="b">
        <v>0</v>
      </c>
    </row>
    <row r="1779" spans="1:7" ht="15">
      <c r="A1779" s="84" t="s">
        <v>3052</v>
      </c>
      <c r="B1779" s="83">
        <v>2</v>
      </c>
      <c r="C1779" s="110">
        <v>0.0008639526765155107</v>
      </c>
      <c r="D1779" s="83" t="s">
        <v>2087</v>
      </c>
      <c r="E1779" s="83" t="b">
        <v>0</v>
      </c>
      <c r="F1779" s="83" t="b">
        <v>1</v>
      </c>
      <c r="G1779" s="83" t="b">
        <v>0</v>
      </c>
    </row>
    <row r="1780" spans="1:7" ht="15">
      <c r="A1780" s="84" t="s">
        <v>3054</v>
      </c>
      <c r="B1780" s="83">
        <v>2</v>
      </c>
      <c r="C1780" s="110">
        <v>0.0009720230393458755</v>
      </c>
      <c r="D1780" s="83" t="s">
        <v>2087</v>
      </c>
      <c r="E1780" s="83" t="b">
        <v>0</v>
      </c>
      <c r="F1780" s="83" t="b">
        <v>0</v>
      </c>
      <c r="G1780" s="83" t="b">
        <v>0</v>
      </c>
    </row>
    <row r="1781" spans="1:7" ht="15">
      <c r="A1781" s="84" t="s">
        <v>3055</v>
      </c>
      <c r="B1781" s="83">
        <v>2</v>
      </c>
      <c r="C1781" s="110">
        <v>0.0008639526765155107</v>
      </c>
      <c r="D1781" s="83" t="s">
        <v>2087</v>
      </c>
      <c r="E1781" s="83" t="b">
        <v>0</v>
      </c>
      <c r="F1781" s="83" t="b">
        <v>0</v>
      </c>
      <c r="G1781" s="83" t="b">
        <v>0</v>
      </c>
    </row>
    <row r="1782" spans="1:7" ht="15">
      <c r="A1782" s="84" t="s">
        <v>3056</v>
      </c>
      <c r="B1782" s="83">
        <v>2</v>
      </c>
      <c r="C1782" s="110">
        <v>0.0008639526765155107</v>
      </c>
      <c r="D1782" s="83" t="s">
        <v>2087</v>
      </c>
      <c r="E1782" s="83" t="b">
        <v>0</v>
      </c>
      <c r="F1782" s="83" t="b">
        <v>0</v>
      </c>
      <c r="G1782" s="83" t="b">
        <v>0</v>
      </c>
    </row>
    <row r="1783" spans="1:7" ht="15">
      <c r="A1783" s="84" t="s">
        <v>3057</v>
      </c>
      <c r="B1783" s="83">
        <v>2</v>
      </c>
      <c r="C1783" s="110">
        <v>0.0008639526765155107</v>
      </c>
      <c r="D1783" s="83" t="s">
        <v>2087</v>
      </c>
      <c r="E1783" s="83" t="b">
        <v>1</v>
      </c>
      <c r="F1783" s="83" t="b">
        <v>0</v>
      </c>
      <c r="G1783" s="83" t="b">
        <v>0</v>
      </c>
    </row>
    <row r="1784" spans="1:7" ht="15">
      <c r="A1784" s="84" t="s">
        <v>3058</v>
      </c>
      <c r="B1784" s="83">
        <v>2</v>
      </c>
      <c r="C1784" s="110">
        <v>0.0008639526765155107</v>
      </c>
      <c r="D1784" s="83" t="s">
        <v>2087</v>
      </c>
      <c r="E1784" s="83" t="b">
        <v>0</v>
      </c>
      <c r="F1784" s="83" t="b">
        <v>1</v>
      </c>
      <c r="G1784" s="83" t="b">
        <v>0</v>
      </c>
    </row>
    <row r="1785" spans="1:7" ht="15">
      <c r="A1785" s="84" t="s">
        <v>3059</v>
      </c>
      <c r="B1785" s="83">
        <v>2</v>
      </c>
      <c r="C1785" s="110">
        <v>0.0008639526765155107</v>
      </c>
      <c r="D1785" s="83" t="s">
        <v>2087</v>
      </c>
      <c r="E1785" s="83" t="b">
        <v>1</v>
      </c>
      <c r="F1785" s="83" t="b">
        <v>0</v>
      </c>
      <c r="G1785" s="83" t="b">
        <v>0</v>
      </c>
    </row>
    <row r="1786" spans="1:7" ht="15">
      <c r="A1786" s="84" t="s">
        <v>2662</v>
      </c>
      <c r="B1786" s="83">
        <v>2</v>
      </c>
      <c r="C1786" s="110">
        <v>0.0008639526765155107</v>
      </c>
      <c r="D1786" s="83" t="s">
        <v>2087</v>
      </c>
      <c r="E1786" s="83" t="b">
        <v>0</v>
      </c>
      <c r="F1786" s="83" t="b">
        <v>0</v>
      </c>
      <c r="G1786" s="83" t="b">
        <v>0</v>
      </c>
    </row>
    <row r="1787" spans="1:7" ht="15">
      <c r="A1787" s="84" t="s">
        <v>3060</v>
      </c>
      <c r="B1787" s="83">
        <v>2</v>
      </c>
      <c r="C1787" s="110">
        <v>0.0008639526765155107</v>
      </c>
      <c r="D1787" s="83" t="s">
        <v>2087</v>
      </c>
      <c r="E1787" s="83" t="b">
        <v>0</v>
      </c>
      <c r="F1787" s="83" t="b">
        <v>0</v>
      </c>
      <c r="G1787" s="83" t="b">
        <v>0</v>
      </c>
    </row>
    <row r="1788" spans="1:7" ht="15">
      <c r="A1788" s="84" t="s">
        <v>3061</v>
      </c>
      <c r="B1788" s="83">
        <v>2</v>
      </c>
      <c r="C1788" s="110">
        <v>0.0008639526765155107</v>
      </c>
      <c r="D1788" s="83" t="s">
        <v>2087</v>
      </c>
      <c r="E1788" s="83" t="b">
        <v>0</v>
      </c>
      <c r="F1788" s="83" t="b">
        <v>0</v>
      </c>
      <c r="G1788" s="83" t="b">
        <v>0</v>
      </c>
    </row>
    <row r="1789" spans="1:7" ht="15">
      <c r="A1789" s="84" t="s">
        <v>3062</v>
      </c>
      <c r="B1789" s="83">
        <v>2</v>
      </c>
      <c r="C1789" s="110">
        <v>0.0008639526765155107</v>
      </c>
      <c r="D1789" s="83" t="s">
        <v>2087</v>
      </c>
      <c r="E1789" s="83" t="b">
        <v>0</v>
      </c>
      <c r="F1789" s="83" t="b">
        <v>0</v>
      </c>
      <c r="G1789" s="83" t="b">
        <v>0</v>
      </c>
    </row>
    <row r="1790" spans="1:7" ht="15">
      <c r="A1790" s="84" t="s">
        <v>3063</v>
      </c>
      <c r="B1790" s="83">
        <v>2</v>
      </c>
      <c r="C1790" s="110">
        <v>0.0008639526765155107</v>
      </c>
      <c r="D1790" s="83" t="s">
        <v>2087</v>
      </c>
      <c r="E1790" s="83" t="b">
        <v>0</v>
      </c>
      <c r="F1790" s="83" t="b">
        <v>0</v>
      </c>
      <c r="G1790" s="83" t="b">
        <v>0</v>
      </c>
    </row>
    <row r="1791" spans="1:7" ht="15">
      <c r="A1791" s="84" t="s">
        <v>2669</v>
      </c>
      <c r="B1791" s="83">
        <v>2</v>
      </c>
      <c r="C1791" s="110">
        <v>0.0008639526765155107</v>
      </c>
      <c r="D1791" s="83" t="s">
        <v>2087</v>
      </c>
      <c r="E1791" s="83" t="b">
        <v>0</v>
      </c>
      <c r="F1791" s="83" t="b">
        <v>0</v>
      </c>
      <c r="G1791" s="83" t="b">
        <v>0</v>
      </c>
    </row>
    <row r="1792" spans="1:7" ht="15">
      <c r="A1792" s="84" t="s">
        <v>3064</v>
      </c>
      <c r="B1792" s="83">
        <v>2</v>
      </c>
      <c r="C1792" s="110">
        <v>0.0008639526765155107</v>
      </c>
      <c r="D1792" s="83" t="s">
        <v>2087</v>
      </c>
      <c r="E1792" s="83" t="b">
        <v>0</v>
      </c>
      <c r="F1792" s="83" t="b">
        <v>0</v>
      </c>
      <c r="G1792" s="83" t="b">
        <v>0</v>
      </c>
    </row>
    <row r="1793" spans="1:7" ht="15">
      <c r="A1793" s="84" t="s">
        <v>2486</v>
      </c>
      <c r="B1793" s="83">
        <v>2</v>
      </c>
      <c r="C1793" s="110">
        <v>0.0008639526765155107</v>
      </c>
      <c r="D1793" s="83" t="s">
        <v>2087</v>
      </c>
      <c r="E1793" s="83" t="b">
        <v>0</v>
      </c>
      <c r="F1793" s="83" t="b">
        <v>0</v>
      </c>
      <c r="G1793" s="83" t="b">
        <v>0</v>
      </c>
    </row>
    <row r="1794" spans="1:7" ht="15">
      <c r="A1794" s="84" t="s">
        <v>3071</v>
      </c>
      <c r="B1794" s="83">
        <v>2</v>
      </c>
      <c r="C1794" s="110">
        <v>0.0008639526765155107</v>
      </c>
      <c r="D1794" s="83" t="s">
        <v>2087</v>
      </c>
      <c r="E1794" s="83" t="b">
        <v>0</v>
      </c>
      <c r="F1794" s="83" t="b">
        <v>0</v>
      </c>
      <c r="G1794" s="83" t="b">
        <v>0</v>
      </c>
    </row>
    <row r="1795" spans="1:7" ht="15">
      <c r="A1795" s="84" t="s">
        <v>3067</v>
      </c>
      <c r="B1795" s="83">
        <v>2</v>
      </c>
      <c r="C1795" s="110">
        <v>0.0008639526765155107</v>
      </c>
      <c r="D1795" s="83" t="s">
        <v>2087</v>
      </c>
      <c r="E1795" s="83" t="b">
        <v>0</v>
      </c>
      <c r="F1795" s="83" t="b">
        <v>1</v>
      </c>
      <c r="G1795" s="83" t="b">
        <v>0</v>
      </c>
    </row>
    <row r="1796" spans="1:7" ht="15">
      <c r="A1796" s="84" t="s">
        <v>3070</v>
      </c>
      <c r="B1796" s="83">
        <v>2</v>
      </c>
      <c r="C1796" s="110">
        <v>0.0008639526765155107</v>
      </c>
      <c r="D1796" s="83" t="s">
        <v>2087</v>
      </c>
      <c r="E1796" s="83" t="b">
        <v>0</v>
      </c>
      <c r="F1796" s="83" t="b">
        <v>0</v>
      </c>
      <c r="G1796" s="83" t="b">
        <v>0</v>
      </c>
    </row>
    <row r="1797" spans="1:7" ht="15">
      <c r="A1797" s="84" t="s">
        <v>2507</v>
      </c>
      <c r="B1797" s="83">
        <v>2</v>
      </c>
      <c r="C1797" s="110">
        <v>0.0008639526765155107</v>
      </c>
      <c r="D1797" s="83" t="s">
        <v>2087</v>
      </c>
      <c r="E1797" s="83" t="b">
        <v>0</v>
      </c>
      <c r="F1797" s="83" t="b">
        <v>0</v>
      </c>
      <c r="G1797" s="83" t="b">
        <v>0</v>
      </c>
    </row>
    <row r="1798" spans="1:7" ht="15">
      <c r="A1798" s="84" t="s">
        <v>2663</v>
      </c>
      <c r="B1798" s="83">
        <v>2</v>
      </c>
      <c r="C1798" s="110">
        <v>0.0008639526765155107</v>
      </c>
      <c r="D1798" s="83" t="s">
        <v>2087</v>
      </c>
      <c r="E1798" s="83" t="b">
        <v>0</v>
      </c>
      <c r="F1798" s="83" t="b">
        <v>0</v>
      </c>
      <c r="G1798" s="83" t="b">
        <v>0</v>
      </c>
    </row>
    <row r="1799" spans="1:7" ht="15">
      <c r="A1799" s="84" t="s">
        <v>3068</v>
      </c>
      <c r="B1799" s="83">
        <v>2</v>
      </c>
      <c r="C1799" s="110">
        <v>0.0008639526765155107</v>
      </c>
      <c r="D1799" s="83" t="s">
        <v>2087</v>
      </c>
      <c r="E1799" s="83" t="b">
        <v>0</v>
      </c>
      <c r="F1799" s="83" t="b">
        <v>0</v>
      </c>
      <c r="G1799" s="83" t="b">
        <v>0</v>
      </c>
    </row>
    <row r="1800" spans="1:7" ht="15">
      <c r="A1800" s="84" t="s">
        <v>3069</v>
      </c>
      <c r="B1800" s="83">
        <v>2</v>
      </c>
      <c r="C1800" s="110">
        <v>0.0008639526765155107</v>
      </c>
      <c r="D1800" s="83" t="s">
        <v>2087</v>
      </c>
      <c r="E1800" s="83" t="b">
        <v>0</v>
      </c>
      <c r="F1800" s="83" t="b">
        <v>0</v>
      </c>
      <c r="G1800" s="83" t="b">
        <v>0</v>
      </c>
    </row>
    <row r="1801" spans="1:7" ht="15">
      <c r="A1801" s="84" t="s">
        <v>3066</v>
      </c>
      <c r="B1801" s="83">
        <v>2</v>
      </c>
      <c r="C1801" s="110">
        <v>0.0008639526765155107</v>
      </c>
      <c r="D1801" s="83" t="s">
        <v>2087</v>
      </c>
      <c r="E1801" s="83" t="b">
        <v>1</v>
      </c>
      <c r="F1801" s="83" t="b">
        <v>0</v>
      </c>
      <c r="G1801" s="83" t="b">
        <v>0</v>
      </c>
    </row>
    <row r="1802" spans="1:7" ht="15">
      <c r="A1802" s="84" t="s">
        <v>2508</v>
      </c>
      <c r="B1802" s="83">
        <v>2</v>
      </c>
      <c r="C1802" s="110">
        <v>0.0008639526765155107</v>
      </c>
      <c r="D1802" s="83" t="s">
        <v>2087</v>
      </c>
      <c r="E1802" s="83" t="b">
        <v>0</v>
      </c>
      <c r="F1802" s="83" t="b">
        <v>0</v>
      </c>
      <c r="G1802" s="83" t="b">
        <v>0</v>
      </c>
    </row>
    <row r="1803" spans="1:7" ht="15">
      <c r="A1803" s="84" t="s">
        <v>3065</v>
      </c>
      <c r="B1803" s="83">
        <v>2</v>
      </c>
      <c r="C1803" s="110">
        <v>0.0009720230393458755</v>
      </c>
      <c r="D1803" s="83" t="s">
        <v>2087</v>
      </c>
      <c r="E1803" s="83" t="b">
        <v>0</v>
      </c>
      <c r="F1803" s="83" t="b">
        <v>0</v>
      </c>
      <c r="G1803" s="83" t="b">
        <v>0</v>
      </c>
    </row>
    <row r="1804" spans="1:7" ht="15">
      <c r="A1804" s="84" t="s">
        <v>3072</v>
      </c>
      <c r="B1804" s="83">
        <v>2</v>
      </c>
      <c r="C1804" s="110">
        <v>0.0008639526765155107</v>
      </c>
      <c r="D1804" s="83" t="s">
        <v>2087</v>
      </c>
      <c r="E1804" s="83" t="b">
        <v>0</v>
      </c>
      <c r="F1804" s="83" t="b">
        <v>0</v>
      </c>
      <c r="G1804" s="83" t="b">
        <v>0</v>
      </c>
    </row>
    <row r="1805" spans="1:7" ht="15">
      <c r="A1805" s="84" t="s">
        <v>3077</v>
      </c>
      <c r="B1805" s="83">
        <v>2</v>
      </c>
      <c r="C1805" s="110">
        <v>0.0009720230393458755</v>
      </c>
      <c r="D1805" s="83" t="s">
        <v>2087</v>
      </c>
      <c r="E1805" s="83" t="b">
        <v>0</v>
      </c>
      <c r="F1805" s="83" t="b">
        <v>0</v>
      </c>
      <c r="G1805" s="83" t="b">
        <v>0</v>
      </c>
    </row>
    <row r="1806" spans="1:7" ht="15">
      <c r="A1806" s="84" t="s">
        <v>3078</v>
      </c>
      <c r="B1806" s="83">
        <v>2</v>
      </c>
      <c r="C1806" s="110">
        <v>0.0008639526765155107</v>
      </c>
      <c r="D1806" s="83" t="s">
        <v>2087</v>
      </c>
      <c r="E1806" s="83" t="b">
        <v>0</v>
      </c>
      <c r="F1806" s="83" t="b">
        <v>0</v>
      </c>
      <c r="G1806" s="83" t="b">
        <v>0</v>
      </c>
    </row>
    <row r="1807" spans="1:7" ht="15">
      <c r="A1807" s="84" t="s">
        <v>2553</v>
      </c>
      <c r="B1807" s="83">
        <v>2</v>
      </c>
      <c r="C1807" s="110">
        <v>0.0008639526765155107</v>
      </c>
      <c r="D1807" s="83" t="s">
        <v>2087</v>
      </c>
      <c r="E1807" s="83" t="b">
        <v>0</v>
      </c>
      <c r="F1807" s="83" t="b">
        <v>0</v>
      </c>
      <c r="G1807" s="83" t="b">
        <v>0</v>
      </c>
    </row>
    <row r="1808" spans="1:7" ht="15">
      <c r="A1808" s="84" t="s">
        <v>3076</v>
      </c>
      <c r="B1808" s="83">
        <v>2</v>
      </c>
      <c r="C1808" s="110">
        <v>0.0008639526765155107</v>
      </c>
      <c r="D1808" s="83" t="s">
        <v>2087</v>
      </c>
      <c r="E1808" s="83" t="b">
        <v>0</v>
      </c>
      <c r="F1808" s="83" t="b">
        <v>0</v>
      </c>
      <c r="G1808" s="83" t="b">
        <v>0</v>
      </c>
    </row>
    <row r="1809" spans="1:7" ht="15">
      <c r="A1809" s="84" t="s">
        <v>3074</v>
      </c>
      <c r="B1809" s="83">
        <v>2</v>
      </c>
      <c r="C1809" s="110">
        <v>0.0008639526765155107</v>
      </c>
      <c r="D1809" s="83" t="s">
        <v>2087</v>
      </c>
      <c r="E1809" s="83" t="b">
        <v>0</v>
      </c>
      <c r="F1809" s="83" t="b">
        <v>0</v>
      </c>
      <c r="G1809" s="83" t="b">
        <v>0</v>
      </c>
    </row>
    <row r="1810" spans="1:7" ht="15">
      <c r="A1810" s="84" t="s">
        <v>2516</v>
      </c>
      <c r="B1810" s="83">
        <v>2</v>
      </c>
      <c r="C1810" s="110">
        <v>0.0008639526765155107</v>
      </c>
      <c r="D1810" s="83" t="s">
        <v>2087</v>
      </c>
      <c r="E1810" s="83" t="b">
        <v>0</v>
      </c>
      <c r="F1810" s="83" t="b">
        <v>0</v>
      </c>
      <c r="G1810" s="83" t="b">
        <v>0</v>
      </c>
    </row>
    <row r="1811" spans="1:7" ht="15">
      <c r="A1811" s="84" t="s">
        <v>2329</v>
      </c>
      <c r="B1811" s="83">
        <v>2</v>
      </c>
      <c r="C1811" s="110">
        <v>0.0008639526765155107</v>
      </c>
      <c r="D1811" s="83" t="s">
        <v>2087</v>
      </c>
      <c r="E1811" s="83" t="b">
        <v>0</v>
      </c>
      <c r="F1811" s="83" t="b">
        <v>0</v>
      </c>
      <c r="G1811" s="83" t="b">
        <v>0</v>
      </c>
    </row>
    <row r="1812" spans="1:7" ht="15">
      <c r="A1812" s="84" t="s">
        <v>3075</v>
      </c>
      <c r="B1812" s="83">
        <v>2</v>
      </c>
      <c r="C1812" s="110">
        <v>0.0008639526765155107</v>
      </c>
      <c r="D1812" s="83" t="s">
        <v>2087</v>
      </c>
      <c r="E1812" s="83" t="b">
        <v>0</v>
      </c>
      <c r="F1812" s="83" t="b">
        <v>1</v>
      </c>
      <c r="G1812" s="83" t="b">
        <v>0</v>
      </c>
    </row>
    <row r="1813" spans="1:7" ht="15">
      <c r="A1813" s="84" t="s">
        <v>2527</v>
      </c>
      <c r="B1813" s="83">
        <v>2</v>
      </c>
      <c r="C1813" s="110">
        <v>0.0008639526765155107</v>
      </c>
      <c r="D1813" s="83" t="s">
        <v>2087</v>
      </c>
      <c r="E1813" s="83" t="b">
        <v>0</v>
      </c>
      <c r="F1813" s="83" t="b">
        <v>0</v>
      </c>
      <c r="G1813" s="83" t="b">
        <v>0</v>
      </c>
    </row>
    <row r="1814" spans="1:7" ht="15">
      <c r="A1814" s="84" t="s">
        <v>2260</v>
      </c>
      <c r="B1814" s="83">
        <v>2</v>
      </c>
      <c r="C1814" s="110">
        <v>0.0008639526765155107</v>
      </c>
      <c r="D1814" s="83" t="s">
        <v>2087</v>
      </c>
      <c r="E1814" s="83" t="b">
        <v>0</v>
      </c>
      <c r="F1814" s="83" t="b">
        <v>0</v>
      </c>
      <c r="G1814" s="83" t="b">
        <v>0</v>
      </c>
    </row>
    <row r="1815" spans="1:7" ht="15">
      <c r="A1815" s="84" t="s">
        <v>3073</v>
      </c>
      <c r="B1815" s="83">
        <v>2</v>
      </c>
      <c r="C1815" s="110">
        <v>0.0008639526765155107</v>
      </c>
      <c r="D1815" s="83" t="s">
        <v>2087</v>
      </c>
      <c r="E1815" s="83" t="b">
        <v>0</v>
      </c>
      <c r="F1815" s="83" t="b">
        <v>0</v>
      </c>
      <c r="G1815" s="83" t="b">
        <v>0</v>
      </c>
    </row>
    <row r="1816" spans="1:7" ht="15">
      <c r="A1816" s="84" t="s">
        <v>3081</v>
      </c>
      <c r="B1816" s="83">
        <v>2</v>
      </c>
      <c r="C1816" s="110">
        <v>0.0008639526765155107</v>
      </c>
      <c r="D1816" s="83" t="s">
        <v>2087</v>
      </c>
      <c r="E1816" s="83" t="b">
        <v>0</v>
      </c>
      <c r="F1816" s="83" t="b">
        <v>0</v>
      </c>
      <c r="G1816" s="83" t="b">
        <v>0</v>
      </c>
    </row>
    <row r="1817" spans="1:7" ht="15">
      <c r="A1817" s="84" t="s">
        <v>3082</v>
      </c>
      <c r="B1817" s="83">
        <v>2</v>
      </c>
      <c r="C1817" s="110">
        <v>0.0008639526765155107</v>
      </c>
      <c r="D1817" s="83" t="s">
        <v>2087</v>
      </c>
      <c r="E1817" s="83" t="b">
        <v>1</v>
      </c>
      <c r="F1817" s="83" t="b">
        <v>0</v>
      </c>
      <c r="G1817" s="83" t="b">
        <v>0</v>
      </c>
    </row>
    <row r="1818" spans="1:7" ht="15">
      <c r="A1818" s="84" t="s">
        <v>2550</v>
      </c>
      <c r="B1818" s="83">
        <v>2</v>
      </c>
      <c r="C1818" s="110">
        <v>0.0008639526765155107</v>
      </c>
      <c r="D1818" s="83" t="s">
        <v>2087</v>
      </c>
      <c r="E1818" s="83" t="b">
        <v>0</v>
      </c>
      <c r="F1818" s="83" t="b">
        <v>0</v>
      </c>
      <c r="G1818" s="83" t="b">
        <v>0</v>
      </c>
    </row>
    <row r="1819" spans="1:7" ht="15">
      <c r="A1819" s="84" t="s">
        <v>2495</v>
      </c>
      <c r="B1819" s="83">
        <v>2</v>
      </c>
      <c r="C1819" s="110">
        <v>0.0008639526765155107</v>
      </c>
      <c r="D1819" s="83" t="s">
        <v>2087</v>
      </c>
      <c r="E1819" s="83" t="b">
        <v>0</v>
      </c>
      <c r="F1819" s="83" t="b">
        <v>0</v>
      </c>
      <c r="G1819" s="83" t="b">
        <v>0</v>
      </c>
    </row>
    <row r="1820" spans="1:7" ht="15">
      <c r="A1820" s="84" t="s">
        <v>3083</v>
      </c>
      <c r="B1820" s="83">
        <v>2</v>
      </c>
      <c r="C1820" s="110">
        <v>0.0008639526765155107</v>
      </c>
      <c r="D1820" s="83" t="s">
        <v>2087</v>
      </c>
      <c r="E1820" s="83" t="b">
        <v>0</v>
      </c>
      <c r="F1820" s="83" t="b">
        <v>0</v>
      </c>
      <c r="G1820" s="83" t="b">
        <v>0</v>
      </c>
    </row>
    <row r="1821" spans="1:7" ht="15">
      <c r="A1821" s="84" t="s">
        <v>3084</v>
      </c>
      <c r="B1821" s="83">
        <v>2</v>
      </c>
      <c r="C1821" s="110">
        <v>0.0008639526765155107</v>
      </c>
      <c r="D1821" s="83" t="s">
        <v>2087</v>
      </c>
      <c r="E1821" s="83" t="b">
        <v>1</v>
      </c>
      <c r="F1821" s="83" t="b">
        <v>0</v>
      </c>
      <c r="G1821" s="83" t="b">
        <v>0</v>
      </c>
    </row>
    <row r="1822" spans="1:7" ht="15">
      <c r="A1822" s="84" t="s">
        <v>3085</v>
      </c>
      <c r="B1822" s="83">
        <v>2</v>
      </c>
      <c r="C1822" s="110">
        <v>0.0008639526765155107</v>
      </c>
      <c r="D1822" s="83" t="s">
        <v>2087</v>
      </c>
      <c r="E1822" s="83" t="b">
        <v>0</v>
      </c>
      <c r="F1822" s="83" t="b">
        <v>0</v>
      </c>
      <c r="G1822" s="83" t="b">
        <v>0</v>
      </c>
    </row>
    <row r="1823" spans="1:7" ht="15">
      <c r="A1823" s="84" t="s">
        <v>3086</v>
      </c>
      <c r="B1823" s="83">
        <v>2</v>
      </c>
      <c r="C1823" s="110">
        <v>0.0009720230393458755</v>
      </c>
      <c r="D1823" s="83" t="s">
        <v>2087</v>
      </c>
      <c r="E1823" s="83" t="b">
        <v>0</v>
      </c>
      <c r="F1823" s="83" t="b">
        <v>0</v>
      </c>
      <c r="G1823" s="83" t="b">
        <v>0</v>
      </c>
    </row>
    <row r="1824" spans="1:7" ht="15">
      <c r="A1824" s="84" t="s">
        <v>2344</v>
      </c>
      <c r="B1824" s="83">
        <v>2</v>
      </c>
      <c r="C1824" s="110">
        <v>0.0008639526765155107</v>
      </c>
      <c r="D1824" s="83" t="s">
        <v>2087</v>
      </c>
      <c r="E1824" s="83" t="b">
        <v>0</v>
      </c>
      <c r="F1824" s="83" t="b">
        <v>0</v>
      </c>
      <c r="G1824" s="83" t="b">
        <v>0</v>
      </c>
    </row>
    <row r="1825" spans="1:7" ht="15">
      <c r="A1825" s="84" t="s">
        <v>3087</v>
      </c>
      <c r="B1825" s="83">
        <v>2</v>
      </c>
      <c r="C1825" s="110">
        <v>0.0009720230393458755</v>
      </c>
      <c r="D1825" s="83" t="s">
        <v>2087</v>
      </c>
      <c r="E1825" s="83" t="b">
        <v>0</v>
      </c>
      <c r="F1825" s="83" t="b">
        <v>0</v>
      </c>
      <c r="G1825" s="83" t="b">
        <v>0</v>
      </c>
    </row>
    <row r="1826" spans="1:7" ht="15">
      <c r="A1826" s="84" t="s">
        <v>2654</v>
      </c>
      <c r="B1826" s="83">
        <v>2</v>
      </c>
      <c r="C1826" s="110">
        <v>0.0008639526765155107</v>
      </c>
      <c r="D1826" s="83" t="s">
        <v>2087</v>
      </c>
      <c r="E1826" s="83" t="b">
        <v>0</v>
      </c>
      <c r="F1826" s="83" t="b">
        <v>0</v>
      </c>
      <c r="G1826" s="83" t="b">
        <v>0</v>
      </c>
    </row>
    <row r="1827" spans="1:7" ht="15">
      <c r="A1827" s="84" t="s">
        <v>3089</v>
      </c>
      <c r="B1827" s="83">
        <v>2</v>
      </c>
      <c r="C1827" s="110">
        <v>0.0008639526765155107</v>
      </c>
      <c r="D1827" s="83" t="s">
        <v>2087</v>
      </c>
      <c r="E1827" s="83" t="b">
        <v>0</v>
      </c>
      <c r="F1827" s="83" t="b">
        <v>0</v>
      </c>
      <c r="G1827" s="83" t="b">
        <v>0</v>
      </c>
    </row>
    <row r="1828" spans="1:7" ht="15">
      <c r="A1828" s="84" t="s">
        <v>3090</v>
      </c>
      <c r="B1828" s="83">
        <v>2</v>
      </c>
      <c r="C1828" s="110">
        <v>0.0008639526765155107</v>
      </c>
      <c r="D1828" s="83" t="s">
        <v>2087</v>
      </c>
      <c r="E1828" s="83" t="b">
        <v>0</v>
      </c>
      <c r="F1828" s="83" t="b">
        <v>0</v>
      </c>
      <c r="G1828" s="83" t="b">
        <v>0</v>
      </c>
    </row>
    <row r="1829" spans="1:7" ht="15">
      <c r="A1829" s="84" t="s">
        <v>2651</v>
      </c>
      <c r="B1829" s="83">
        <v>2</v>
      </c>
      <c r="C1829" s="110">
        <v>0.0008639526765155107</v>
      </c>
      <c r="D1829" s="83" t="s">
        <v>2087</v>
      </c>
      <c r="E1829" s="83" t="b">
        <v>0</v>
      </c>
      <c r="F1829" s="83" t="b">
        <v>0</v>
      </c>
      <c r="G1829" s="83" t="b">
        <v>0</v>
      </c>
    </row>
    <row r="1830" spans="1:7" ht="15">
      <c r="A1830" s="84" t="s">
        <v>3091</v>
      </c>
      <c r="B1830" s="83">
        <v>2</v>
      </c>
      <c r="C1830" s="110">
        <v>0.0009720230393458755</v>
      </c>
      <c r="D1830" s="83" t="s">
        <v>2087</v>
      </c>
      <c r="E1830" s="83" t="b">
        <v>0</v>
      </c>
      <c r="F1830" s="83" t="b">
        <v>0</v>
      </c>
      <c r="G1830" s="83" t="b">
        <v>0</v>
      </c>
    </row>
    <row r="1831" spans="1:7" ht="15">
      <c r="A1831" s="84" t="s">
        <v>3092</v>
      </c>
      <c r="B1831" s="83">
        <v>2</v>
      </c>
      <c r="C1831" s="110">
        <v>0.0008639526765155107</v>
      </c>
      <c r="D1831" s="83" t="s">
        <v>2087</v>
      </c>
      <c r="E1831" s="83" t="b">
        <v>1</v>
      </c>
      <c r="F1831" s="83" t="b">
        <v>0</v>
      </c>
      <c r="G1831" s="83" t="b">
        <v>0</v>
      </c>
    </row>
    <row r="1832" spans="1:7" ht="15">
      <c r="A1832" s="84" t="s">
        <v>3093</v>
      </c>
      <c r="B1832" s="83">
        <v>2</v>
      </c>
      <c r="C1832" s="110">
        <v>0.0008639526765155107</v>
      </c>
      <c r="D1832" s="83" t="s">
        <v>2087</v>
      </c>
      <c r="E1832" s="83" t="b">
        <v>0</v>
      </c>
      <c r="F1832" s="83" t="b">
        <v>0</v>
      </c>
      <c r="G1832" s="83" t="b">
        <v>0</v>
      </c>
    </row>
    <row r="1833" spans="1:7" ht="15">
      <c r="A1833" s="84" t="s">
        <v>3094</v>
      </c>
      <c r="B1833" s="83">
        <v>2</v>
      </c>
      <c r="C1833" s="110">
        <v>0.0008639526765155107</v>
      </c>
      <c r="D1833" s="83" t="s">
        <v>2087</v>
      </c>
      <c r="E1833" s="83" t="b">
        <v>0</v>
      </c>
      <c r="F1833" s="83" t="b">
        <v>0</v>
      </c>
      <c r="G1833" s="83" t="b">
        <v>0</v>
      </c>
    </row>
    <row r="1834" spans="1:7" ht="15">
      <c r="A1834" s="84" t="s">
        <v>3095</v>
      </c>
      <c r="B1834" s="83">
        <v>2</v>
      </c>
      <c r="C1834" s="110">
        <v>0.0008639526765155107</v>
      </c>
      <c r="D1834" s="83" t="s">
        <v>2087</v>
      </c>
      <c r="E1834" s="83" t="b">
        <v>0</v>
      </c>
      <c r="F1834" s="83" t="b">
        <v>0</v>
      </c>
      <c r="G1834" s="83" t="b">
        <v>0</v>
      </c>
    </row>
    <row r="1835" spans="1:7" ht="15">
      <c r="A1835" s="84" t="s">
        <v>2647</v>
      </c>
      <c r="B1835" s="83">
        <v>2</v>
      </c>
      <c r="C1835" s="110">
        <v>0.0008639526765155107</v>
      </c>
      <c r="D1835" s="83" t="s">
        <v>2087</v>
      </c>
      <c r="E1835" s="83" t="b">
        <v>0</v>
      </c>
      <c r="F1835" s="83" t="b">
        <v>0</v>
      </c>
      <c r="G1835" s="83" t="b">
        <v>0</v>
      </c>
    </row>
    <row r="1836" spans="1:7" ht="15">
      <c r="A1836" s="84" t="s">
        <v>3103</v>
      </c>
      <c r="B1836" s="83">
        <v>2</v>
      </c>
      <c r="C1836" s="110">
        <v>0.0008639526765155107</v>
      </c>
      <c r="D1836" s="83" t="s">
        <v>2087</v>
      </c>
      <c r="E1836" s="83" t="b">
        <v>0</v>
      </c>
      <c r="F1836" s="83" t="b">
        <v>0</v>
      </c>
      <c r="G1836" s="83" t="b">
        <v>0</v>
      </c>
    </row>
    <row r="1837" spans="1:7" ht="15">
      <c r="A1837" s="84" t="s">
        <v>3100</v>
      </c>
      <c r="B1837" s="83">
        <v>2</v>
      </c>
      <c r="C1837" s="110">
        <v>0.0008639526765155107</v>
      </c>
      <c r="D1837" s="83" t="s">
        <v>2087</v>
      </c>
      <c r="E1837" s="83" t="b">
        <v>0</v>
      </c>
      <c r="F1837" s="83" t="b">
        <v>0</v>
      </c>
      <c r="G1837" s="83" t="b">
        <v>0</v>
      </c>
    </row>
    <row r="1838" spans="1:7" ht="15">
      <c r="A1838" s="84" t="s">
        <v>3101</v>
      </c>
      <c r="B1838" s="83">
        <v>2</v>
      </c>
      <c r="C1838" s="110">
        <v>0.0008639526765155107</v>
      </c>
      <c r="D1838" s="83" t="s">
        <v>2087</v>
      </c>
      <c r="E1838" s="83" t="b">
        <v>0</v>
      </c>
      <c r="F1838" s="83" t="b">
        <v>0</v>
      </c>
      <c r="G1838" s="83" t="b">
        <v>0</v>
      </c>
    </row>
    <row r="1839" spans="1:7" ht="15">
      <c r="A1839" s="84" t="s">
        <v>3105</v>
      </c>
      <c r="B1839" s="83">
        <v>2</v>
      </c>
      <c r="C1839" s="110">
        <v>0.0008639526765155107</v>
      </c>
      <c r="D1839" s="83" t="s">
        <v>2087</v>
      </c>
      <c r="E1839" s="83" t="b">
        <v>0</v>
      </c>
      <c r="F1839" s="83" t="b">
        <v>0</v>
      </c>
      <c r="G1839" s="83" t="b">
        <v>0</v>
      </c>
    </row>
    <row r="1840" spans="1:7" ht="15">
      <c r="A1840" s="84" t="s">
        <v>3102</v>
      </c>
      <c r="B1840" s="83">
        <v>2</v>
      </c>
      <c r="C1840" s="110">
        <v>0.0008639526765155107</v>
      </c>
      <c r="D1840" s="83" t="s">
        <v>2087</v>
      </c>
      <c r="E1840" s="83" t="b">
        <v>0</v>
      </c>
      <c r="F1840" s="83" t="b">
        <v>0</v>
      </c>
      <c r="G1840" s="83" t="b">
        <v>0</v>
      </c>
    </row>
    <row r="1841" spans="1:7" ht="15">
      <c r="A1841" s="84" t="s">
        <v>3096</v>
      </c>
      <c r="B1841" s="83">
        <v>2</v>
      </c>
      <c r="C1841" s="110">
        <v>0.0008639526765155107</v>
      </c>
      <c r="D1841" s="83" t="s">
        <v>2087</v>
      </c>
      <c r="E1841" s="83" t="b">
        <v>0</v>
      </c>
      <c r="F1841" s="83" t="b">
        <v>0</v>
      </c>
      <c r="G1841" s="83" t="b">
        <v>0</v>
      </c>
    </row>
    <row r="1842" spans="1:7" ht="15">
      <c r="A1842" s="84" t="s">
        <v>3099</v>
      </c>
      <c r="B1842" s="83">
        <v>2</v>
      </c>
      <c r="C1842" s="110">
        <v>0.0008639526765155107</v>
      </c>
      <c r="D1842" s="83" t="s">
        <v>2087</v>
      </c>
      <c r="E1842" s="83" t="b">
        <v>0</v>
      </c>
      <c r="F1842" s="83" t="b">
        <v>0</v>
      </c>
      <c r="G1842" s="83" t="b">
        <v>0</v>
      </c>
    </row>
    <row r="1843" spans="1:7" ht="15">
      <c r="A1843" s="84" t="s">
        <v>3097</v>
      </c>
      <c r="B1843" s="83">
        <v>2</v>
      </c>
      <c r="C1843" s="110">
        <v>0.0009720230393458755</v>
      </c>
      <c r="D1843" s="83" t="s">
        <v>2087</v>
      </c>
      <c r="E1843" s="83" t="b">
        <v>0</v>
      </c>
      <c r="F1843" s="83" t="b">
        <v>0</v>
      </c>
      <c r="G1843" s="83" t="b">
        <v>0</v>
      </c>
    </row>
    <row r="1844" spans="1:7" ht="15">
      <c r="A1844" s="84" t="s">
        <v>2710</v>
      </c>
      <c r="B1844" s="83">
        <v>2</v>
      </c>
      <c r="C1844" s="110">
        <v>0.0008639526765155107</v>
      </c>
      <c r="D1844" s="83" t="s">
        <v>2087</v>
      </c>
      <c r="E1844" s="83" t="b">
        <v>0</v>
      </c>
      <c r="F1844" s="83" t="b">
        <v>0</v>
      </c>
      <c r="G1844" s="83" t="b">
        <v>0</v>
      </c>
    </row>
    <row r="1845" spans="1:7" ht="15">
      <c r="A1845" s="84" t="s">
        <v>3098</v>
      </c>
      <c r="B1845" s="83">
        <v>2</v>
      </c>
      <c r="C1845" s="110">
        <v>0.0008639526765155107</v>
      </c>
      <c r="D1845" s="83" t="s">
        <v>2087</v>
      </c>
      <c r="E1845" s="83" t="b">
        <v>0</v>
      </c>
      <c r="F1845" s="83" t="b">
        <v>0</v>
      </c>
      <c r="G1845" s="83" t="b">
        <v>0</v>
      </c>
    </row>
    <row r="1846" spans="1:7" ht="15">
      <c r="A1846" s="84" t="s">
        <v>2711</v>
      </c>
      <c r="B1846" s="83">
        <v>2</v>
      </c>
      <c r="C1846" s="110">
        <v>0.0008639526765155107</v>
      </c>
      <c r="D1846" s="83" t="s">
        <v>2087</v>
      </c>
      <c r="E1846" s="83" t="b">
        <v>0</v>
      </c>
      <c r="F1846" s="83" t="b">
        <v>0</v>
      </c>
      <c r="G1846" s="83" t="b">
        <v>0</v>
      </c>
    </row>
    <row r="1847" spans="1:7" ht="15">
      <c r="A1847" s="84" t="s">
        <v>3106</v>
      </c>
      <c r="B1847" s="83">
        <v>2</v>
      </c>
      <c r="C1847" s="110">
        <v>0.0008639526765155107</v>
      </c>
      <c r="D1847" s="83" t="s">
        <v>2087</v>
      </c>
      <c r="E1847" s="83" t="b">
        <v>0</v>
      </c>
      <c r="F1847" s="83" t="b">
        <v>0</v>
      </c>
      <c r="G1847" s="83" t="b">
        <v>0</v>
      </c>
    </row>
    <row r="1848" spans="1:7" ht="15">
      <c r="A1848" s="84" t="s">
        <v>2499</v>
      </c>
      <c r="B1848" s="83">
        <v>2</v>
      </c>
      <c r="C1848" s="110">
        <v>0.0008639526765155107</v>
      </c>
      <c r="D1848" s="83" t="s">
        <v>2087</v>
      </c>
      <c r="E1848" s="83" t="b">
        <v>0</v>
      </c>
      <c r="F1848" s="83" t="b">
        <v>0</v>
      </c>
      <c r="G1848" s="83" t="b">
        <v>0</v>
      </c>
    </row>
    <row r="1849" spans="1:7" ht="15">
      <c r="A1849" s="84" t="s">
        <v>3108</v>
      </c>
      <c r="B1849" s="83">
        <v>2</v>
      </c>
      <c r="C1849" s="110">
        <v>0.0009720230393458755</v>
      </c>
      <c r="D1849" s="83" t="s">
        <v>2087</v>
      </c>
      <c r="E1849" s="83" t="b">
        <v>0</v>
      </c>
      <c r="F1849" s="83" t="b">
        <v>0</v>
      </c>
      <c r="G1849" s="83" t="b">
        <v>0</v>
      </c>
    </row>
    <row r="1850" spans="1:7" ht="15">
      <c r="A1850" s="84" t="s">
        <v>3109</v>
      </c>
      <c r="B1850" s="83">
        <v>2</v>
      </c>
      <c r="C1850" s="110">
        <v>0.0008639526765155107</v>
      </c>
      <c r="D1850" s="83" t="s">
        <v>2087</v>
      </c>
      <c r="E1850" s="83" t="b">
        <v>0</v>
      </c>
      <c r="F1850" s="83" t="b">
        <v>0</v>
      </c>
      <c r="G1850" s="83" t="b">
        <v>0</v>
      </c>
    </row>
    <row r="1851" spans="1:7" ht="15">
      <c r="A1851" s="84" t="s">
        <v>3111</v>
      </c>
      <c r="B1851" s="83">
        <v>2</v>
      </c>
      <c r="C1851" s="110">
        <v>0.0009720230393458755</v>
      </c>
      <c r="D1851" s="83" t="s">
        <v>2087</v>
      </c>
      <c r="E1851" s="83" t="b">
        <v>0</v>
      </c>
      <c r="F1851" s="83" t="b">
        <v>0</v>
      </c>
      <c r="G1851" s="83" t="b">
        <v>0</v>
      </c>
    </row>
    <row r="1852" spans="1:7" ht="15">
      <c r="A1852" s="84" t="s">
        <v>3112</v>
      </c>
      <c r="B1852" s="83">
        <v>2</v>
      </c>
      <c r="C1852" s="110">
        <v>0.0009720230393458755</v>
      </c>
      <c r="D1852" s="83" t="s">
        <v>2087</v>
      </c>
      <c r="E1852" s="83" t="b">
        <v>0</v>
      </c>
      <c r="F1852" s="83" t="b">
        <v>0</v>
      </c>
      <c r="G1852" s="83" t="b">
        <v>0</v>
      </c>
    </row>
    <row r="1853" spans="1:7" ht="15">
      <c r="A1853" s="84" t="s">
        <v>3113</v>
      </c>
      <c r="B1853" s="83">
        <v>2</v>
      </c>
      <c r="C1853" s="110">
        <v>0.0008639526765155107</v>
      </c>
      <c r="D1853" s="83" t="s">
        <v>2087</v>
      </c>
      <c r="E1853" s="83" t="b">
        <v>1</v>
      </c>
      <c r="F1853" s="83" t="b">
        <v>0</v>
      </c>
      <c r="G1853" s="83" t="b">
        <v>0</v>
      </c>
    </row>
    <row r="1854" spans="1:7" ht="15">
      <c r="A1854" s="84" t="s">
        <v>3114</v>
      </c>
      <c r="B1854" s="83">
        <v>2</v>
      </c>
      <c r="C1854" s="110">
        <v>0.0008639526765155107</v>
      </c>
      <c r="D1854" s="83" t="s">
        <v>2087</v>
      </c>
      <c r="E1854" s="83" t="b">
        <v>1</v>
      </c>
      <c r="F1854" s="83" t="b">
        <v>0</v>
      </c>
      <c r="G1854" s="83" t="b">
        <v>0</v>
      </c>
    </row>
    <row r="1855" spans="1:7" ht="15">
      <c r="A1855" s="84" t="s">
        <v>3115</v>
      </c>
      <c r="B1855" s="83">
        <v>2</v>
      </c>
      <c r="C1855" s="110">
        <v>0.0008639526765155107</v>
      </c>
      <c r="D1855" s="83" t="s">
        <v>2087</v>
      </c>
      <c r="E1855" s="83" t="b">
        <v>0</v>
      </c>
      <c r="F1855" s="83" t="b">
        <v>0</v>
      </c>
      <c r="G1855" s="83" t="b">
        <v>0</v>
      </c>
    </row>
    <row r="1856" spans="1:7" ht="15">
      <c r="A1856" s="84" t="s">
        <v>3116</v>
      </c>
      <c r="B1856" s="83">
        <v>2</v>
      </c>
      <c r="C1856" s="110">
        <v>0.0009720230393458755</v>
      </c>
      <c r="D1856" s="83" t="s">
        <v>2087</v>
      </c>
      <c r="E1856" s="83" t="b">
        <v>0</v>
      </c>
      <c r="F1856" s="83" t="b">
        <v>0</v>
      </c>
      <c r="G1856" s="83" t="b">
        <v>0</v>
      </c>
    </row>
    <row r="1857" spans="1:7" ht="15">
      <c r="A1857" s="84" t="s">
        <v>3117</v>
      </c>
      <c r="B1857" s="83">
        <v>2</v>
      </c>
      <c r="C1857" s="110">
        <v>0.0008639526765155107</v>
      </c>
      <c r="D1857" s="83" t="s">
        <v>2087</v>
      </c>
      <c r="E1857" s="83" t="b">
        <v>0</v>
      </c>
      <c r="F1857" s="83" t="b">
        <v>0</v>
      </c>
      <c r="G1857" s="83" t="b">
        <v>0</v>
      </c>
    </row>
    <row r="1858" spans="1:7" ht="15">
      <c r="A1858" s="84" t="s">
        <v>3118</v>
      </c>
      <c r="B1858" s="83">
        <v>2</v>
      </c>
      <c r="C1858" s="110">
        <v>0.0008639526765155107</v>
      </c>
      <c r="D1858" s="83" t="s">
        <v>2087</v>
      </c>
      <c r="E1858" s="83" t="b">
        <v>0</v>
      </c>
      <c r="F1858" s="83" t="b">
        <v>0</v>
      </c>
      <c r="G1858" s="83" t="b">
        <v>0</v>
      </c>
    </row>
    <row r="1859" spans="1:7" ht="15">
      <c r="A1859" s="84" t="s">
        <v>3119</v>
      </c>
      <c r="B1859" s="83">
        <v>2</v>
      </c>
      <c r="C1859" s="110">
        <v>0.0009720230393458755</v>
      </c>
      <c r="D1859" s="83" t="s">
        <v>2087</v>
      </c>
      <c r="E1859" s="83" t="b">
        <v>0</v>
      </c>
      <c r="F1859" s="83" t="b">
        <v>0</v>
      </c>
      <c r="G1859" s="83" t="b">
        <v>0</v>
      </c>
    </row>
    <row r="1860" spans="1:7" ht="15">
      <c r="A1860" s="84" t="s">
        <v>3120</v>
      </c>
      <c r="B1860" s="83">
        <v>2</v>
      </c>
      <c r="C1860" s="110">
        <v>0.0008639526765155107</v>
      </c>
      <c r="D1860" s="83" t="s">
        <v>2087</v>
      </c>
      <c r="E1860" s="83" t="b">
        <v>0</v>
      </c>
      <c r="F1860" s="83" t="b">
        <v>0</v>
      </c>
      <c r="G1860" s="83" t="b">
        <v>0</v>
      </c>
    </row>
    <row r="1861" spans="1:7" ht="15">
      <c r="A1861" s="84" t="s">
        <v>3121</v>
      </c>
      <c r="B1861" s="83">
        <v>2</v>
      </c>
      <c r="C1861" s="110">
        <v>0.0008639526765155107</v>
      </c>
      <c r="D1861" s="83" t="s">
        <v>2087</v>
      </c>
      <c r="E1861" s="83" t="b">
        <v>0</v>
      </c>
      <c r="F1861" s="83" t="b">
        <v>0</v>
      </c>
      <c r="G1861" s="83" t="b">
        <v>0</v>
      </c>
    </row>
    <row r="1862" spans="1:7" ht="15">
      <c r="A1862" s="84" t="s">
        <v>3122</v>
      </c>
      <c r="B1862" s="83">
        <v>2</v>
      </c>
      <c r="C1862" s="110">
        <v>0.0008639526765155107</v>
      </c>
      <c r="D1862" s="83" t="s">
        <v>2087</v>
      </c>
      <c r="E1862" s="83" t="b">
        <v>0</v>
      </c>
      <c r="F1862" s="83" t="b">
        <v>0</v>
      </c>
      <c r="G1862" s="83" t="b">
        <v>0</v>
      </c>
    </row>
    <row r="1863" spans="1:7" ht="15">
      <c r="A1863" s="84" t="s">
        <v>2664</v>
      </c>
      <c r="B1863" s="83">
        <v>2</v>
      </c>
      <c r="C1863" s="110">
        <v>0.0008639526765155107</v>
      </c>
      <c r="D1863" s="83" t="s">
        <v>2087</v>
      </c>
      <c r="E1863" s="83" t="b">
        <v>0</v>
      </c>
      <c r="F1863" s="83" t="b">
        <v>0</v>
      </c>
      <c r="G1863" s="83" t="b">
        <v>0</v>
      </c>
    </row>
    <row r="1864" spans="1:7" ht="15">
      <c r="A1864" s="84" t="s">
        <v>3123</v>
      </c>
      <c r="B1864" s="83">
        <v>2</v>
      </c>
      <c r="C1864" s="110">
        <v>0.0008639526765155107</v>
      </c>
      <c r="D1864" s="83" t="s">
        <v>2087</v>
      </c>
      <c r="E1864" s="83" t="b">
        <v>0</v>
      </c>
      <c r="F1864" s="83" t="b">
        <v>0</v>
      </c>
      <c r="G1864" s="83" t="b">
        <v>0</v>
      </c>
    </row>
    <row r="1865" spans="1:7" ht="15">
      <c r="A1865" s="84" t="s">
        <v>3124</v>
      </c>
      <c r="B1865" s="83">
        <v>2</v>
      </c>
      <c r="C1865" s="110">
        <v>0.0009720230393458755</v>
      </c>
      <c r="D1865" s="83" t="s">
        <v>2087</v>
      </c>
      <c r="E1865" s="83" t="b">
        <v>0</v>
      </c>
      <c r="F1865" s="83" t="b">
        <v>0</v>
      </c>
      <c r="G1865" s="83" t="b">
        <v>0</v>
      </c>
    </row>
    <row r="1866" spans="1:7" ht="15">
      <c r="A1866" s="84" t="s">
        <v>3125</v>
      </c>
      <c r="B1866" s="83">
        <v>2</v>
      </c>
      <c r="C1866" s="110">
        <v>0.0008639526765155107</v>
      </c>
      <c r="D1866" s="83" t="s">
        <v>2087</v>
      </c>
      <c r="E1866" s="83" t="b">
        <v>0</v>
      </c>
      <c r="F1866" s="83" t="b">
        <v>0</v>
      </c>
      <c r="G1866" s="83" t="b">
        <v>0</v>
      </c>
    </row>
    <row r="1867" spans="1:7" ht="15">
      <c r="A1867" s="84" t="s">
        <v>3126</v>
      </c>
      <c r="B1867" s="83">
        <v>2</v>
      </c>
      <c r="C1867" s="110">
        <v>0.0008639526765155107</v>
      </c>
      <c r="D1867" s="83" t="s">
        <v>2087</v>
      </c>
      <c r="E1867" s="83" t="b">
        <v>0</v>
      </c>
      <c r="F1867" s="83" t="b">
        <v>0</v>
      </c>
      <c r="G1867" s="83" t="b">
        <v>0</v>
      </c>
    </row>
    <row r="1868" spans="1:7" ht="15">
      <c r="A1868" s="84" t="s">
        <v>3127</v>
      </c>
      <c r="B1868" s="83">
        <v>2</v>
      </c>
      <c r="C1868" s="110">
        <v>0.0008639526765155107</v>
      </c>
      <c r="D1868" s="83" t="s">
        <v>2087</v>
      </c>
      <c r="E1868" s="83" t="b">
        <v>0</v>
      </c>
      <c r="F1868" s="83" t="b">
        <v>0</v>
      </c>
      <c r="G1868" s="83" t="b">
        <v>0</v>
      </c>
    </row>
    <row r="1869" spans="1:7" ht="15">
      <c r="A1869" s="84" t="s">
        <v>3128</v>
      </c>
      <c r="B1869" s="83">
        <v>2</v>
      </c>
      <c r="C1869" s="110">
        <v>0.0008639526765155107</v>
      </c>
      <c r="D1869" s="83" t="s">
        <v>2087</v>
      </c>
      <c r="E1869" s="83" t="b">
        <v>0</v>
      </c>
      <c r="F1869" s="83" t="b">
        <v>0</v>
      </c>
      <c r="G1869" s="83" t="b">
        <v>0</v>
      </c>
    </row>
    <row r="1870" spans="1:7" ht="15">
      <c r="A1870" s="84" t="s">
        <v>3135</v>
      </c>
      <c r="B1870" s="83">
        <v>2</v>
      </c>
      <c r="C1870" s="110">
        <v>0.0008639526765155107</v>
      </c>
      <c r="D1870" s="83" t="s">
        <v>2087</v>
      </c>
      <c r="E1870" s="83" t="b">
        <v>0</v>
      </c>
      <c r="F1870" s="83" t="b">
        <v>0</v>
      </c>
      <c r="G1870" s="83" t="b">
        <v>0</v>
      </c>
    </row>
    <row r="1871" spans="1:7" ht="15">
      <c r="A1871" s="84" t="s">
        <v>2714</v>
      </c>
      <c r="B1871" s="83">
        <v>2</v>
      </c>
      <c r="C1871" s="110">
        <v>0.0008639526765155107</v>
      </c>
      <c r="D1871" s="83" t="s">
        <v>2087</v>
      </c>
      <c r="E1871" s="83" t="b">
        <v>0</v>
      </c>
      <c r="F1871" s="83" t="b">
        <v>0</v>
      </c>
      <c r="G1871" s="83" t="b">
        <v>0</v>
      </c>
    </row>
    <row r="1872" spans="1:7" ht="15">
      <c r="A1872" s="84" t="s">
        <v>3138</v>
      </c>
      <c r="B1872" s="83">
        <v>2</v>
      </c>
      <c r="C1872" s="110">
        <v>0.0008639526765155107</v>
      </c>
      <c r="D1872" s="83" t="s">
        <v>2087</v>
      </c>
      <c r="E1872" s="83" t="b">
        <v>0</v>
      </c>
      <c r="F1872" s="83" t="b">
        <v>0</v>
      </c>
      <c r="G1872" s="83" t="b">
        <v>0</v>
      </c>
    </row>
    <row r="1873" spans="1:7" ht="15">
      <c r="A1873" s="84" t="s">
        <v>3136</v>
      </c>
      <c r="B1873" s="83">
        <v>2</v>
      </c>
      <c r="C1873" s="110">
        <v>0.0009720230393458755</v>
      </c>
      <c r="D1873" s="83" t="s">
        <v>2087</v>
      </c>
      <c r="E1873" s="83" t="b">
        <v>0</v>
      </c>
      <c r="F1873" s="83" t="b">
        <v>0</v>
      </c>
      <c r="G1873" s="83" t="b">
        <v>0</v>
      </c>
    </row>
    <row r="1874" spans="1:7" ht="15">
      <c r="A1874" s="84" t="s">
        <v>3137</v>
      </c>
      <c r="B1874" s="83">
        <v>2</v>
      </c>
      <c r="C1874" s="110">
        <v>0.0008639526765155107</v>
      </c>
      <c r="D1874" s="83" t="s">
        <v>2087</v>
      </c>
      <c r="E1874" s="83" t="b">
        <v>1</v>
      </c>
      <c r="F1874" s="83" t="b">
        <v>0</v>
      </c>
      <c r="G1874" s="83" t="b">
        <v>0</v>
      </c>
    </row>
    <row r="1875" spans="1:7" ht="15">
      <c r="A1875" s="84" t="s">
        <v>3133</v>
      </c>
      <c r="B1875" s="83">
        <v>2</v>
      </c>
      <c r="C1875" s="110">
        <v>0.0009720230393458755</v>
      </c>
      <c r="D1875" s="83" t="s">
        <v>2087</v>
      </c>
      <c r="E1875" s="83" t="b">
        <v>0</v>
      </c>
      <c r="F1875" s="83" t="b">
        <v>0</v>
      </c>
      <c r="G1875" s="83" t="b">
        <v>0</v>
      </c>
    </row>
    <row r="1876" spans="1:7" ht="15">
      <c r="A1876" s="84" t="s">
        <v>3134</v>
      </c>
      <c r="B1876" s="83">
        <v>2</v>
      </c>
      <c r="C1876" s="110">
        <v>0.0009720230393458755</v>
      </c>
      <c r="D1876" s="83" t="s">
        <v>2087</v>
      </c>
      <c r="E1876" s="83" t="b">
        <v>0</v>
      </c>
      <c r="F1876" s="83" t="b">
        <v>0</v>
      </c>
      <c r="G1876" s="83" t="b">
        <v>0</v>
      </c>
    </row>
    <row r="1877" spans="1:7" ht="15">
      <c r="A1877" s="84" t="s">
        <v>2410</v>
      </c>
      <c r="B1877" s="83">
        <v>2</v>
      </c>
      <c r="C1877" s="110">
        <v>0.0008639526765155107</v>
      </c>
      <c r="D1877" s="83" t="s">
        <v>2087</v>
      </c>
      <c r="E1877" s="83" t="b">
        <v>0</v>
      </c>
      <c r="F1877" s="83" t="b">
        <v>0</v>
      </c>
      <c r="G1877" s="83" t="b">
        <v>0</v>
      </c>
    </row>
    <row r="1878" spans="1:7" ht="15">
      <c r="A1878" s="84" t="s">
        <v>3130</v>
      </c>
      <c r="B1878" s="83">
        <v>2</v>
      </c>
      <c r="C1878" s="110">
        <v>0.0008639526765155107</v>
      </c>
      <c r="D1878" s="83" t="s">
        <v>2087</v>
      </c>
      <c r="E1878" s="83" t="b">
        <v>0</v>
      </c>
      <c r="F1878" s="83" t="b">
        <v>0</v>
      </c>
      <c r="G1878" s="83" t="b">
        <v>0</v>
      </c>
    </row>
    <row r="1879" spans="1:7" ht="15">
      <c r="A1879" s="84" t="s">
        <v>3131</v>
      </c>
      <c r="B1879" s="83">
        <v>2</v>
      </c>
      <c r="C1879" s="110">
        <v>0.0009720230393458755</v>
      </c>
      <c r="D1879" s="83" t="s">
        <v>2087</v>
      </c>
      <c r="E1879" s="83" t="b">
        <v>0</v>
      </c>
      <c r="F1879" s="83" t="b">
        <v>0</v>
      </c>
      <c r="G1879" s="83" t="b">
        <v>0</v>
      </c>
    </row>
    <row r="1880" spans="1:7" ht="15">
      <c r="A1880" s="84" t="s">
        <v>3132</v>
      </c>
      <c r="B1880" s="83">
        <v>2</v>
      </c>
      <c r="C1880" s="110">
        <v>0.0009720230393458755</v>
      </c>
      <c r="D1880" s="83" t="s">
        <v>2087</v>
      </c>
      <c r="E1880" s="83" t="b">
        <v>0</v>
      </c>
      <c r="F1880" s="83" t="b">
        <v>0</v>
      </c>
      <c r="G1880" s="83" t="b">
        <v>0</v>
      </c>
    </row>
    <row r="1881" spans="1:7" ht="15">
      <c r="A1881" s="84" t="s">
        <v>3139</v>
      </c>
      <c r="B1881" s="83">
        <v>2</v>
      </c>
      <c r="C1881" s="110">
        <v>0.0009720230393458755</v>
      </c>
      <c r="D1881" s="83" t="s">
        <v>2087</v>
      </c>
      <c r="E1881" s="83" t="b">
        <v>0</v>
      </c>
      <c r="F1881" s="83" t="b">
        <v>0</v>
      </c>
      <c r="G1881" s="83" t="b">
        <v>0</v>
      </c>
    </row>
    <row r="1882" spans="1:7" ht="15">
      <c r="A1882" s="84" t="s">
        <v>3141</v>
      </c>
      <c r="B1882" s="83">
        <v>2</v>
      </c>
      <c r="C1882" s="110">
        <v>0.0009720230393458755</v>
      </c>
      <c r="D1882" s="83" t="s">
        <v>2087</v>
      </c>
      <c r="E1882" s="83" t="b">
        <v>0</v>
      </c>
      <c r="F1882" s="83" t="b">
        <v>0</v>
      </c>
      <c r="G1882" s="83" t="b">
        <v>0</v>
      </c>
    </row>
    <row r="1883" spans="1:7" ht="15">
      <c r="A1883" s="84" t="s">
        <v>3140</v>
      </c>
      <c r="B1883" s="83">
        <v>2</v>
      </c>
      <c r="C1883" s="110">
        <v>0.0008639526765155107</v>
      </c>
      <c r="D1883" s="83" t="s">
        <v>2087</v>
      </c>
      <c r="E1883" s="83" t="b">
        <v>0</v>
      </c>
      <c r="F1883" s="83" t="b">
        <v>0</v>
      </c>
      <c r="G1883" s="83" t="b">
        <v>0</v>
      </c>
    </row>
    <row r="1884" spans="1:7" ht="15">
      <c r="A1884" s="84" t="s">
        <v>3142</v>
      </c>
      <c r="B1884" s="83">
        <v>2</v>
      </c>
      <c r="C1884" s="110">
        <v>0.0008639526765155107</v>
      </c>
      <c r="D1884" s="83" t="s">
        <v>2087</v>
      </c>
      <c r="E1884" s="83" t="b">
        <v>0</v>
      </c>
      <c r="F1884" s="83" t="b">
        <v>0</v>
      </c>
      <c r="G1884" s="83" t="b">
        <v>0</v>
      </c>
    </row>
    <row r="1885" spans="1:7" ht="15">
      <c r="A1885" s="84" t="s">
        <v>2646</v>
      </c>
      <c r="B1885" s="83">
        <v>2</v>
      </c>
      <c r="C1885" s="110">
        <v>0.0009720230393458755</v>
      </c>
      <c r="D1885" s="83" t="s">
        <v>2087</v>
      </c>
      <c r="E1885" s="83" t="b">
        <v>0</v>
      </c>
      <c r="F1885" s="83" t="b">
        <v>1</v>
      </c>
      <c r="G1885" s="83" t="b">
        <v>0</v>
      </c>
    </row>
    <row r="1886" spans="1:7" ht="15">
      <c r="A1886" s="84" t="s">
        <v>2715</v>
      </c>
      <c r="B1886" s="83">
        <v>2</v>
      </c>
      <c r="C1886" s="110">
        <v>0.0008639526765155107</v>
      </c>
      <c r="D1886" s="83" t="s">
        <v>2087</v>
      </c>
      <c r="E1886" s="83" t="b">
        <v>0</v>
      </c>
      <c r="F1886" s="83" t="b">
        <v>0</v>
      </c>
      <c r="G1886" s="83" t="b">
        <v>0</v>
      </c>
    </row>
    <row r="1887" spans="1:7" ht="15">
      <c r="A1887" s="84" t="s">
        <v>2341</v>
      </c>
      <c r="B1887" s="83">
        <v>2</v>
      </c>
      <c r="C1887" s="110">
        <v>0.0008639526765155107</v>
      </c>
      <c r="D1887" s="83" t="s">
        <v>2087</v>
      </c>
      <c r="E1887" s="83" t="b">
        <v>0</v>
      </c>
      <c r="F1887" s="83" t="b">
        <v>0</v>
      </c>
      <c r="G1887" s="83" t="b">
        <v>0</v>
      </c>
    </row>
    <row r="1888" spans="1:7" ht="15">
      <c r="A1888" s="84" t="s">
        <v>3144</v>
      </c>
      <c r="B1888" s="83">
        <v>2</v>
      </c>
      <c r="C1888" s="110">
        <v>0.0008639526765155107</v>
      </c>
      <c r="D1888" s="83" t="s">
        <v>2087</v>
      </c>
      <c r="E1888" s="83" t="b">
        <v>0</v>
      </c>
      <c r="F1888" s="83" t="b">
        <v>0</v>
      </c>
      <c r="G1888" s="83" t="b">
        <v>0</v>
      </c>
    </row>
    <row r="1889" spans="1:7" ht="15">
      <c r="A1889" s="84" t="s">
        <v>3145</v>
      </c>
      <c r="B1889" s="83">
        <v>2</v>
      </c>
      <c r="C1889" s="110">
        <v>0.0008639526765155107</v>
      </c>
      <c r="D1889" s="83" t="s">
        <v>2087</v>
      </c>
      <c r="E1889" s="83" t="b">
        <v>0</v>
      </c>
      <c r="F1889" s="83" t="b">
        <v>0</v>
      </c>
      <c r="G1889" s="83" t="b">
        <v>0</v>
      </c>
    </row>
    <row r="1890" spans="1:7" ht="15">
      <c r="A1890" s="84" t="s">
        <v>3146</v>
      </c>
      <c r="B1890" s="83">
        <v>2</v>
      </c>
      <c r="C1890" s="110">
        <v>0.0009720230393458755</v>
      </c>
      <c r="D1890" s="83" t="s">
        <v>2087</v>
      </c>
      <c r="E1890" s="83" t="b">
        <v>0</v>
      </c>
      <c r="F1890" s="83" t="b">
        <v>1</v>
      </c>
      <c r="G1890" s="83" t="b">
        <v>0</v>
      </c>
    </row>
    <row r="1891" spans="1:7" ht="15">
      <c r="A1891" s="84" t="s">
        <v>2712</v>
      </c>
      <c r="B1891" s="83">
        <v>2</v>
      </c>
      <c r="C1891" s="110">
        <v>0.0008639526765155107</v>
      </c>
      <c r="D1891" s="83" t="s">
        <v>2087</v>
      </c>
      <c r="E1891" s="83" t="b">
        <v>0</v>
      </c>
      <c r="F1891" s="83" t="b">
        <v>0</v>
      </c>
      <c r="G1891" s="83" t="b">
        <v>0</v>
      </c>
    </row>
    <row r="1892" spans="1:7" ht="15">
      <c r="A1892" s="84" t="s">
        <v>3147</v>
      </c>
      <c r="B1892" s="83">
        <v>2</v>
      </c>
      <c r="C1892" s="110">
        <v>0.0008639526765155107</v>
      </c>
      <c r="D1892" s="83" t="s">
        <v>2087</v>
      </c>
      <c r="E1892" s="83" t="b">
        <v>0</v>
      </c>
      <c r="F1892" s="83" t="b">
        <v>0</v>
      </c>
      <c r="G1892" s="83" t="b">
        <v>0</v>
      </c>
    </row>
    <row r="1893" spans="1:7" ht="15">
      <c r="A1893" s="84" t="s">
        <v>3148</v>
      </c>
      <c r="B1893" s="83">
        <v>2</v>
      </c>
      <c r="C1893" s="110">
        <v>0.0008639526765155107</v>
      </c>
      <c r="D1893" s="83" t="s">
        <v>2087</v>
      </c>
      <c r="E1893" s="83" t="b">
        <v>0</v>
      </c>
      <c r="F1893" s="83" t="b">
        <v>1</v>
      </c>
      <c r="G1893" s="83" t="b">
        <v>0</v>
      </c>
    </row>
    <row r="1894" spans="1:7" ht="15">
      <c r="A1894" s="84" t="s">
        <v>3149</v>
      </c>
      <c r="B1894" s="83">
        <v>2</v>
      </c>
      <c r="C1894" s="110">
        <v>0.0008639526765155107</v>
      </c>
      <c r="D1894" s="83" t="s">
        <v>2087</v>
      </c>
      <c r="E1894" s="83" t="b">
        <v>0</v>
      </c>
      <c r="F1894" s="83" t="b">
        <v>1</v>
      </c>
      <c r="G1894" s="83" t="b">
        <v>0</v>
      </c>
    </row>
    <row r="1895" spans="1:7" ht="15">
      <c r="A1895" s="84" t="s">
        <v>2657</v>
      </c>
      <c r="B1895" s="83">
        <v>2</v>
      </c>
      <c r="C1895" s="110">
        <v>0.0008639526765155107</v>
      </c>
      <c r="D1895" s="83" t="s">
        <v>2087</v>
      </c>
      <c r="E1895" s="83" t="b">
        <v>0</v>
      </c>
      <c r="F1895" s="83" t="b">
        <v>1</v>
      </c>
      <c r="G1895" s="83" t="b">
        <v>0</v>
      </c>
    </row>
    <row r="1896" spans="1:7" ht="15">
      <c r="A1896" s="84" t="s">
        <v>3150</v>
      </c>
      <c r="B1896" s="83">
        <v>2</v>
      </c>
      <c r="C1896" s="110">
        <v>0.0008639526765155107</v>
      </c>
      <c r="D1896" s="83" t="s">
        <v>2087</v>
      </c>
      <c r="E1896" s="83" t="b">
        <v>0</v>
      </c>
      <c r="F1896" s="83" t="b">
        <v>0</v>
      </c>
      <c r="G1896" s="83" t="b">
        <v>0</v>
      </c>
    </row>
    <row r="1897" spans="1:7" ht="15">
      <c r="A1897" s="84" t="s">
        <v>3151</v>
      </c>
      <c r="B1897" s="83">
        <v>2</v>
      </c>
      <c r="C1897" s="110">
        <v>0.0008639526765155107</v>
      </c>
      <c r="D1897" s="83" t="s">
        <v>2087</v>
      </c>
      <c r="E1897" s="83" t="b">
        <v>0</v>
      </c>
      <c r="F1897" s="83" t="b">
        <v>0</v>
      </c>
      <c r="G1897" s="83" t="b">
        <v>0</v>
      </c>
    </row>
    <row r="1898" spans="1:7" ht="15">
      <c r="A1898" s="84" t="s">
        <v>3152</v>
      </c>
      <c r="B1898" s="83">
        <v>2</v>
      </c>
      <c r="C1898" s="110">
        <v>0.0009720230393458755</v>
      </c>
      <c r="D1898" s="83" t="s">
        <v>2087</v>
      </c>
      <c r="E1898" s="83" t="b">
        <v>0</v>
      </c>
      <c r="F1898" s="83" t="b">
        <v>0</v>
      </c>
      <c r="G1898" s="83" t="b">
        <v>0</v>
      </c>
    </row>
    <row r="1899" spans="1:7" ht="15">
      <c r="A1899" s="84" t="s">
        <v>3153</v>
      </c>
      <c r="B1899" s="83">
        <v>2</v>
      </c>
      <c r="C1899" s="110">
        <v>0.0008639526765155107</v>
      </c>
      <c r="D1899" s="83" t="s">
        <v>2087</v>
      </c>
      <c r="E1899" s="83" t="b">
        <v>0</v>
      </c>
      <c r="F1899" s="83" t="b">
        <v>0</v>
      </c>
      <c r="G1899" s="83" t="b">
        <v>0</v>
      </c>
    </row>
    <row r="1900" spans="1:7" ht="15">
      <c r="A1900" s="84" t="s">
        <v>3154</v>
      </c>
      <c r="B1900" s="83">
        <v>2</v>
      </c>
      <c r="C1900" s="110">
        <v>0.0009720230393458755</v>
      </c>
      <c r="D1900" s="83" t="s">
        <v>2087</v>
      </c>
      <c r="E1900" s="83" t="b">
        <v>0</v>
      </c>
      <c r="F1900" s="83" t="b">
        <v>0</v>
      </c>
      <c r="G1900" s="83" t="b">
        <v>0</v>
      </c>
    </row>
    <row r="1901" spans="1:7" ht="15">
      <c r="A1901" s="84" t="s">
        <v>3155</v>
      </c>
      <c r="B1901" s="83">
        <v>2</v>
      </c>
      <c r="C1901" s="110">
        <v>0.0008639526765155107</v>
      </c>
      <c r="D1901" s="83" t="s">
        <v>2087</v>
      </c>
      <c r="E1901" s="83" t="b">
        <v>0</v>
      </c>
      <c r="F1901" s="83" t="b">
        <v>0</v>
      </c>
      <c r="G1901" s="83" t="b">
        <v>0</v>
      </c>
    </row>
    <row r="1902" spans="1:7" ht="15">
      <c r="A1902" s="84" t="s">
        <v>3161</v>
      </c>
      <c r="B1902" s="83">
        <v>2</v>
      </c>
      <c r="C1902" s="110">
        <v>0.0009720230393458755</v>
      </c>
      <c r="D1902" s="83" t="s">
        <v>2087</v>
      </c>
      <c r="E1902" s="83" t="b">
        <v>0</v>
      </c>
      <c r="F1902" s="83" t="b">
        <v>0</v>
      </c>
      <c r="G1902" s="83" t="b">
        <v>0</v>
      </c>
    </row>
    <row r="1903" spans="1:7" ht="15">
      <c r="A1903" s="84" t="s">
        <v>3156</v>
      </c>
      <c r="B1903" s="83">
        <v>2</v>
      </c>
      <c r="C1903" s="110">
        <v>0.0009720230393458755</v>
      </c>
      <c r="D1903" s="83" t="s">
        <v>2087</v>
      </c>
      <c r="E1903" s="83" t="b">
        <v>0</v>
      </c>
      <c r="F1903" s="83" t="b">
        <v>1</v>
      </c>
      <c r="G1903" s="83" t="b">
        <v>0</v>
      </c>
    </row>
    <row r="1904" spans="1:7" ht="15">
      <c r="A1904" s="84" t="s">
        <v>3157</v>
      </c>
      <c r="B1904" s="83">
        <v>2</v>
      </c>
      <c r="C1904" s="110">
        <v>0.0009720230393458755</v>
      </c>
      <c r="D1904" s="83" t="s">
        <v>2087</v>
      </c>
      <c r="E1904" s="83" t="b">
        <v>1</v>
      </c>
      <c r="F1904" s="83" t="b">
        <v>0</v>
      </c>
      <c r="G1904" s="83" t="b">
        <v>0</v>
      </c>
    </row>
    <row r="1905" spans="1:7" ht="15">
      <c r="A1905" s="84" t="s">
        <v>3158</v>
      </c>
      <c r="B1905" s="83">
        <v>2</v>
      </c>
      <c r="C1905" s="110">
        <v>0.0009720230393458755</v>
      </c>
      <c r="D1905" s="83" t="s">
        <v>2087</v>
      </c>
      <c r="E1905" s="83" t="b">
        <v>0</v>
      </c>
      <c r="F1905" s="83" t="b">
        <v>0</v>
      </c>
      <c r="G1905" s="83" t="b">
        <v>0</v>
      </c>
    </row>
    <row r="1906" spans="1:7" ht="15">
      <c r="A1906" s="84" t="s">
        <v>3159</v>
      </c>
      <c r="B1906" s="83">
        <v>2</v>
      </c>
      <c r="C1906" s="110">
        <v>0.0009720230393458755</v>
      </c>
      <c r="D1906" s="83" t="s">
        <v>2087</v>
      </c>
      <c r="E1906" s="83" t="b">
        <v>0</v>
      </c>
      <c r="F1906" s="83" t="b">
        <v>0</v>
      </c>
      <c r="G1906" s="83" t="b">
        <v>0</v>
      </c>
    </row>
    <row r="1907" spans="1:7" ht="15">
      <c r="A1907" s="84" t="s">
        <v>3160</v>
      </c>
      <c r="B1907" s="83">
        <v>2</v>
      </c>
      <c r="C1907" s="110">
        <v>0.0008639526765155107</v>
      </c>
      <c r="D1907" s="83" t="s">
        <v>2087</v>
      </c>
      <c r="E1907" s="83" t="b">
        <v>0</v>
      </c>
      <c r="F1907" s="83" t="b">
        <v>1</v>
      </c>
      <c r="G1907" s="83" t="b">
        <v>0</v>
      </c>
    </row>
    <row r="1908" spans="1:7" ht="15">
      <c r="A1908" s="84" t="s">
        <v>2655</v>
      </c>
      <c r="B1908" s="83">
        <v>2</v>
      </c>
      <c r="C1908" s="110">
        <v>0.0009720230393458755</v>
      </c>
      <c r="D1908" s="83" t="s">
        <v>2087</v>
      </c>
      <c r="E1908" s="83" t="b">
        <v>0</v>
      </c>
      <c r="F1908" s="83" t="b">
        <v>0</v>
      </c>
      <c r="G1908" s="83" t="b">
        <v>0</v>
      </c>
    </row>
    <row r="1909" spans="1:7" ht="15">
      <c r="A1909" s="84" t="s">
        <v>3163</v>
      </c>
      <c r="B1909" s="83">
        <v>2</v>
      </c>
      <c r="C1909" s="110">
        <v>0.0009720230393458755</v>
      </c>
      <c r="D1909" s="83" t="s">
        <v>2087</v>
      </c>
      <c r="E1909" s="83" t="b">
        <v>0</v>
      </c>
      <c r="F1909" s="83" t="b">
        <v>1</v>
      </c>
      <c r="G1909" s="83" t="b">
        <v>0</v>
      </c>
    </row>
    <row r="1910" spans="1:7" ht="15">
      <c r="A1910" s="84" t="s">
        <v>3162</v>
      </c>
      <c r="B1910" s="83">
        <v>2</v>
      </c>
      <c r="C1910" s="110">
        <v>0.0008639526765155107</v>
      </c>
      <c r="D1910" s="83" t="s">
        <v>2087</v>
      </c>
      <c r="E1910" s="83" t="b">
        <v>0</v>
      </c>
      <c r="F1910" s="83" t="b">
        <v>0</v>
      </c>
      <c r="G1910" s="83" t="b">
        <v>0</v>
      </c>
    </row>
    <row r="1911" spans="1:7" ht="15">
      <c r="A1911" s="84" t="s">
        <v>3164</v>
      </c>
      <c r="B1911" s="83">
        <v>2</v>
      </c>
      <c r="C1911" s="110">
        <v>0.0008639526765155107</v>
      </c>
      <c r="D1911" s="83" t="s">
        <v>2087</v>
      </c>
      <c r="E1911" s="83" t="b">
        <v>0</v>
      </c>
      <c r="F1911" s="83" t="b">
        <v>0</v>
      </c>
      <c r="G1911" s="83" t="b">
        <v>0</v>
      </c>
    </row>
    <row r="1912" spans="1:7" ht="15">
      <c r="A1912" s="84" t="s">
        <v>3165</v>
      </c>
      <c r="B1912" s="83">
        <v>2</v>
      </c>
      <c r="C1912" s="110">
        <v>0.0009720230393458755</v>
      </c>
      <c r="D1912" s="83" t="s">
        <v>2087</v>
      </c>
      <c r="E1912" s="83" t="b">
        <v>0</v>
      </c>
      <c r="F1912" s="83" t="b">
        <v>0</v>
      </c>
      <c r="G1912" s="83" t="b">
        <v>0</v>
      </c>
    </row>
    <row r="1913" spans="1:7" ht="15">
      <c r="A1913" s="84" t="s">
        <v>3166</v>
      </c>
      <c r="B1913" s="83">
        <v>2</v>
      </c>
      <c r="C1913" s="110">
        <v>0.0008639526765155107</v>
      </c>
      <c r="D1913" s="83" t="s">
        <v>2087</v>
      </c>
      <c r="E1913" s="83" t="b">
        <v>0</v>
      </c>
      <c r="F1913" s="83" t="b">
        <v>1</v>
      </c>
      <c r="G1913" s="83" t="b">
        <v>0</v>
      </c>
    </row>
    <row r="1914" spans="1:7" ht="15">
      <c r="A1914" s="84" t="s">
        <v>2660</v>
      </c>
      <c r="B1914" s="83">
        <v>2</v>
      </c>
      <c r="C1914" s="110">
        <v>0.0009720230393458755</v>
      </c>
      <c r="D1914" s="83" t="s">
        <v>2087</v>
      </c>
      <c r="E1914" s="83" t="b">
        <v>1</v>
      </c>
      <c r="F1914" s="83" t="b">
        <v>0</v>
      </c>
      <c r="G1914" s="83" t="b">
        <v>0</v>
      </c>
    </row>
    <row r="1915" spans="1:7" ht="15">
      <c r="A1915" s="84" t="s">
        <v>2168</v>
      </c>
      <c r="B1915" s="83">
        <v>13</v>
      </c>
      <c r="C1915" s="110">
        <v>0.020802601695745836</v>
      </c>
      <c r="D1915" s="83" t="s">
        <v>2088</v>
      </c>
      <c r="E1915" s="83" t="b">
        <v>0</v>
      </c>
      <c r="F1915" s="83" t="b">
        <v>0</v>
      </c>
      <c r="G1915" s="83" t="b">
        <v>0</v>
      </c>
    </row>
    <row r="1916" spans="1:7" ht="15">
      <c r="A1916" s="84" t="s">
        <v>2133</v>
      </c>
      <c r="B1916" s="83">
        <v>12</v>
      </c>
      <c r="C1916" s="110">
        <v>0.02199703377874943</v>
      </c>
      <c r="D1916" s="83" t="s">
        <v>2088</v>
      </c>
      <c r="E1916" s="83" t="b">
        <v>0</v>
      </c>
      <c r="F1916" s="83" t="b">
        <v>0</v>
      </c>
      <c r="G1916" s="83" t="b">
        <v>0</v>
      </c>
    </row>
    <row r="1917" spans="1:7" ht="15">
      <c r="A1917" s="84" t="s">
        <v>2159</v>
      </c>
      <c r="B1917" s="83">
        <v>9</v>
      </c>
      <c r="C1917" s="110">
        <v>0.01906304038427533</v>
      </c>
      <c r="D1917" s="83" t="s">
        <v>2088</v>
      </c>
      <c r="E1917" s="83" t="b">
        <v>0</v>
      </c>
      <c r="F1917" s="83" t="b">
        <v>0</v>
      </c>
      <c r="G1917" s="83" t="b">
        <v>0</v>
      </c>
    </row>
    <row r="1918" spans="1:7" ht="15">
      <c r="A1918" s="84" t="s">
        <v>2130</v>
      </c>
      <c r="B1918" s="83">
        <v>9</v>
      </c>
      <c r="C1918" s="110">
        <v>0.01649777533406207</v>
      </c>
      <c r="D1918" s="83" t="s">
        <v>2088</v>
      </c>
      <c r="E1918" s="83" t="b">
        <v>0</v>
      </c>
      <c r="F1918" s="83" t="b">
        <v>0</v>
      </c>
      <c r="G1918" s="83" t="b">
        <v>0</v>
      </c>
    </row>
    <row r="1919" spans="1:7" ht="15">
      <c r="A1919" s="84" t="s">
        <v>2184</v>
      </c>
      <c r="B1919" s="83">
        <v>8</v>
      </c>
      <c r="C1919" s="110">
        <v>0.014664689185832951</v>
      </c>
      <c r="D1919" s="83" t="s">
        <v>2088</v>
      </c>
      <c r="E1919" s="83" t="b">
        <v>0</v>
      </c>
      <c r="F1919" s="83" t="b">
        <v>0</v>
      </c>
      <c r="G1919" s="83" t="b">
        <v>0</v>
      </c>
    </row>
    <row r="1920" spans="1:7" ht="15">
      <c r="A1920" s="84" t="s">
        <v>2148</v>
      </c>
      <c r="B1920" s="83">
        <v>8</v>
      </c>
      <c r="C1920" s="110">
        <v>0.016944924786022515</v>
      </c>
      <c r="D1920" s="83" t="s">
        <v>2088</v>
      </c>
      <c r="E1920" s="83" t="b">
        <v>0</v>
      </c>
      <c r="F1920" s="83" t="b">
        <v>0</v>
      </c>
      <c r="G1920" s="83" t="b">
        <v>0</v>
      </c>
    </row>
    <row r="1921" spans="1:7" ht="15">
      <c r="A1921" s="84" t="s">
        <v>2262</v>
      </c>
      <c r="B1921" s="83">
        <v>8</v>
      </c>
      <c r="C1921" s="110">
        <v>0.024027983507527953</v>
      </c>
      <c r="D1921" s="83" t="s">
        <v>2088</v>
      </c>
      <c r="E1921" s="83" t="b">
        <v>0</v>
      </c>
      <c r="F1921" s="83" t="b">
        <v>0</v>
      </c>
      <c r="G1921" s="83" t="b">
        <v>0</v>
      </c>
    </row>
    <row r="1922" spans="1:7" ht="15">
      <c r="A1922" s="84" t="s">
        <v>2176</v>
      </c>
      <c r="B1922" s="83">
        <v>5</v>
      </c>
      <c r="C1922" s="110">
        <v>0.019444401393145874</v>
      </c>
      <c r="D1922" s="83" t="s">
        <v>2088</v>
      </c>
      <c r="E1922" s="83" t="b">
        <v>0</v>
      </c>
      <c r="F1922" s="83" t="b">
        <v>0</v>
      </c>
      <c r="G1922" s="83" t="b">
        <v>0</v>
      </c>
    </row>
    <row r="1923" spans="1:7" ht="15">
      <c r="A1923" s="84" t="s">
        <v>2129</v>
      </c>
      <c r="B1923" s="83">
        <v>4</v>
      </c>
      <c r="C1923" s="110">
        <v>0.009942329882520667</v>
      </c>
      <c r="D1923" s="83" t="s">
        <v>2088</v>
      </c>
      <c r="E1923" s="83" t="b">
        <v>0</v>
      </c>
      <c r="F1923" s="83" t="b">
        <v>0</v>
      </c>
      <c r="G1923" s="83" t="b">
        <v>0</v>
      </c>
    </row>
    <row r="1924" spans="1:7" ht="15">
      <c r="A1924" s="84" t="s">
        <v>2179</v>
      </c>
      <c r="B1924" s="83">
        <v>4</v>
      </c>
      <c r="C1924" s="110">
        <v>0.009942329882520667</v>
      </c>
      <c r="D1924" s="83" t="s">
        <v>2088</v>
      </c>
      <c r="E1924" s="83" t="b">
        <v>0</v>
      </c>
      <c r="F1924" s="83" t="b">
        <v>0</v>
      </c>
      <c r="G1924" s="83" t="b">
        <v>0</v>
      </c>
    </row>
    <row r="1925" spans="1:7" ht="15">
      <c r="A1925" s="84" t="s">
        <v>2144</v>
      </c>
      <c r="B1925" s="83">
        <v>4</v>
      </c>
      <c r="C1925" s="110">
        <v>0.009942329882520667</v>
      </c>
      <c r="D1925" s="83" t="s">
        <v>2088</v>
      </c>
      <c r="E1925" s="83" t="b">
        <v>0</v>
      </c>
      <c r="F1925" s="83" t="b">
        <v>0</v>
      </c>
      <c r="G1925" s="83" t="b">
        <v>0</v>
      </c>
    </row>
    <row r="1926" spans="1:7" ht="15">
      <c r="A1926" s="84" t="s">
        <v>2413</v>
      </c>
      <c r="B1926" s="83">
        <v>4</v>
      </c>
      <c r="C1926" s="110">
        <v>0.012013991753763976</v>
      </c>
      <c r="D1926" s="83" t="s">
        <v>2088</v>
      </c>
      <c r="E1926" s="83" t="b">
        <v>0</v>
      </c>
      <c r="F1926" s="83" t="b">
        <v>0</v>
      </c>
      <c r="G1926" s="83" t="b">
        <v>0</v>
      </c>
    </row>
    <row r="1927" spans="1:7" ht="15">
      <c r="A1927" s="84" t="s">
        <v>2152</v>
      </c>
      <c r="B1927" s="83">
        <v>3</v>
      </c>
      <c r="C1927" s="110">
        <v>0.007456747411890501</v>
      </c>
      <c r="D1927" s="83" t="s">
        <v>2088</v>
      </c>
      <c r="E1927" s="83" t="b">
        <v>1</v>
      </c>
      <c r="F1927" s="83" t="b">
        <v>0</v>
      </c>
      <c r="G1927" s="83" t="b">
        <v>0</v>
      </c>
    </row>
    <row r="1928" spans="1:7" ht="15">
      <c r="A1928" s="84" t="s">
        <v>2213</v>
      </c>
      <c r="B1928" s="83">
        <v>3</v>
      </c>
      <c r="C1928" s="110">
        <v>0.007456747411890501</v>
      </c>
      <c r="D1928" s="83" t="s">
        <v>2088</v>
      </c>
      <c r="E1928" s="83" t="b">
        <v>0</v>
      </c>
      <c r="F1928" s="83" t="b">
        <v>0</v>
      </c>
      <c r="G1928" s="83" t="b">
        <v>0</v>
      </c>
    </row>
    <row r="1929" spans="1:7" ht="15">
      <c r="A1929" s="84" t="s">
        <v>2341</v>
      </c>
      <c r="B1929" s="83">
        <v>3</v>
      </c>
      <c r="C1929" s="110">
        <v>0.009010493815322982</v>
      </c>
      <c r="D1929" s="83" t="s">
        <v>2088</v>
      </c>
      <c r="E1929" s="83" t="b">
        <v>0</v>
      </c>
      <c r="F1929" s="83" t="b">
        <v>0</v>
      </c>
      <c r="G1929" s="83" t="b">
        <v>0</v>
      </c>
    </row>
    <row r="1930" spans="1:7" ht="15">
      <c r="A1930" s="84" t="s">
        <v>2411</v>
      </c>
      <c r="B1930" s="83">
        <v>3</v>
      </c>
      <c r="C1930" s="110">
        <v>0.009010493815322982</v>
      </c>
      <c r="D1930" s="83" t="s">
        <v>2088</v>
      </c>
      <c r="E1930" s="83" t="b">
        <v>0</v>
      </c>
      <c r="F1930" s="83" t="b">
        <v>0</v>
      </c>
      <c r="G1930" s="83" t="b">
        <v>0</v>
      </c>
    </row>
    <row r="1931" spans="1:7" ht="15">
      <c r="A1931" s="84" t="s">
        <v>2465</v>
      </c>
      <c r="B1931" s="83">
        <v>3</v>
      </c>
      <c r="C1931" s="110">
        <v>0.007456747411890501</v>
      </c>
      <c r="D1931" s="83" t="s">
        <v>2088</v>
      </c>
      <c r="E1931" s="83" t="b">
        <v>0</v>
      </c>
      <c r="F1931" s="83" t="b">
        <v>0</v>
      </c>
      <c r="G1931" s="83" t="b">
        <v>0</v>
      </c>
    </row>
    <row r="1932" spans="1:7" ht="15">
      <c r="A1932" s="84" t="s">
        <v>2410</v>
      </c>
      <c r="B1932" s="83">
        <v>3</v>
      </c>
      <c r="C1932" s="110">
        <v>0.007456747411890501</v>
      </c>
      <c r="D1932" s="83" t="s">
        <v>2088</v>
      </c>
      <c r="E1932" s="83" t="b">
        <v>0</v>
      </c>
      <c r="F1932" s="83" t="b">
        <v>0</v>
      </c>
      <c r="G1932" s="83" t="b">
        <v>0</v>
      </c>
    </row>
    <row r="1933" spans="1:7" ht="15">
      <c r="A1933" s="84" t="s">
        <v>2131</v>
      </c>
      <c r="B1933" s="83">
        <v>3</v>
      </c>
      <c r="C1933" s="110">
        <v>0.007456747411890501</v>
      </c>
      <c r="D1933" s="83" t="s">
        <v>2088</v>
      </c>
      <c r="E1933" s="83" t="b">
        <v>1</v>
      </c>
      <c r="F1933" s="83" t="b">
        <v>0</v>
      </c>
      <c r="G1933" s="83" t="b">
        <v>0</v>
      </c>
    </row>
    <row r="1934" spans="1:7" ht="15">
      <c r="A1934" s="84" t="s">
        <v>2284</v>
      </c>
      <c r="B1934" s="83">
        <v>3</v>
      </c>
      <c r="C1934" s="110">
        <v>0.009010493815322982</v>
      </c>
      <c r="D1934" s="83" t="s">
        <v>2088</v>
      </c>
      <c r="E1934" s="83" t="b">
        <v>0</v>
      </c>
      <c r="F1934" s="83" t="b">
        <v>0</v>
      </c>
      <c r="G1934" s="83" t="b">
        <v>0</v>
      </c>
    </row>
    <row r="1935" spans="1:7" ht="15">
      <c r="A1935" s="84" t="s">
        <v>2652</v>
      </c>
      <c r="B1935" s="83">
        <v>2</v>
      </c>
      <c r="C1935" s="110">
        <v>0.006006995876881988</v>
      </c>
      <c r="D1935" s="83" t="s">
        <v>2088</v>
      </c>
      <c r="E1935" s="83" t="b">
        <v>0</v>
      </c>
      <c r="F1935" s="83" t="b">
        <v>0</v>
      </c>
      <c r="G1935" s="83" t="b">
        <v>0</v>
      </c>
    </row>
    <row r="1936" spans="1:7" ht="15">
      <c r="A1936" s="84" t="s">
        <v>2308</v>
      </c>
      <c r="B1936" s="83">
        <v>2</v>
      </c>
      <c r="C1936" s="110">
        <v>0.006006995876881988</v>
      </c>
      <c r="D1936" s="83" t="s">
        <v>2088</v>
      </c>
      <c r="E1936" s="83" t="b">
        <v>0</v>
      </c>
      <c r="F1936" s="83" t="b">
        <v>0</v>
      </c>
      <c r="G1936" s="83" t="b">
        <v>0</v>
      </c>
    </row>
    <row r="1937" spans="1:7" ht="15">
      <c r="A1937" s="84" t="s">
        <v>2922</v>
      </c>
      <c r="B1937" s="83">
        <v>2</v>
      </c>
      <c r="C1937" s="110">
        <v>0.007777760557258349</v>
      </c>
      <c r="D1937" s="83" t="s">
        <v>2088</v>
      </c>
      <c r="E1937" s="83" t="b">
        <v>0</v>
      </c>
      <c r="F1937" s="83" t="b">
        <v>1</v>
      </c>
      <c r="G1937" s="83" t="b">
        <v>0</v>
      </c>
    </row>
    <row r="1938" spans="1:7" ht="15">
      <c r="A1938" s="84" t="s">
        <v>2194</v>
      </c>
      <c r="B1938" s="83">
        <v>2</v>
      </c>
      <c r="C1938" s="110">
        <v>0.006006995876881988</v>
      </c>
      <c r="D1938" s="83" t="s">
        <v>2088</v>
      </c>
      <c r="E1938" s="83" t="b">
        <v>0</v>
      </c>
      <c r="F1938" s="83" t="b">
        <v>0</v>
      </c>
      <c r="G1938" s="83" t="b">
        <v>0</v>
      </c>
    </row>
    <row r="1939" spans="1:7" ht="15">
      <c r="A1939" s="84" t="s">
        <v>2353</v>
      </c>
      <c r="B1939" s="83">
        <v>2</v>
      </c>
      <c r="C1939" s="110">
        <v>0.006006995876881988</v>
      </c>
      <c r="D1939" s="83" t="s">
        <v>2088</v>
      </c>
      <c r="E1939" s="83" t="b">
        <v>0</v>
      </c>
      <c r="F1939" s="83" t="b">
        <v>0</v>
      </c>
      <c r="G1939" s="83" t="b">
        <v>0</v>
      </c>
    </row>
    <row r="1940" spans="1:7" ht="15">
      <c r="A1940" s="84" t="s">
        <v>2137</v>
      </c>
      <c r="B1940" s="83">
        <v>2</v>
      </c>
      <c r="C1940" s="110">
        <v>0.006006995876881988</v>
      </c>
      <c r="D1940" s="83" t="s">
        <v>2088</v>
      </c>
      <c r="E1940" s="83" t="b">
        <v>0</v>
      </c>
      <c r="F1940" s="83" t="b">
        <v>0</v>
      </c>
      <c r="G1940" s="83" t="b">
        <v>0</v>
      </c>
    </row>
    <row r="1941" spans="1:7" ht="15">
      <c r="A1941" s="84" t="s">
        <v>2310</v>
      </c>
      <c r="B1941" s="83">
        <v>2</v>
      </c>
      <c r="C1941" s="110">
        <v>0.007777760557258349</v>
      </c>
      <c r="D1941" s="83" t="s">
        <v>2088</v>
      </c>
      <c r="E1941" s="83" t="b">
        <v>0</v>
      </c>
      <c r="F1941" s="83" t="b">
        <v>0</v>
      </c>
      <c r="G1941" s="83" t="b">
        <v>0</v>
      </c>
    </row>
    <row r="1942" spans="1:7" ht="15">
      <c r="A1942" s="84" t="s">
        <v>2221</v>
      </c>
      <c r="B1942" s="83">
        <v>2</v>
      </c>
      <c r="C1942" s="110">
        <v>0.007777760557258349</v>
      </c>
      <c r="D1942" s="83" t="s">
        <v>2088</v>
      </c>
      <c r="E1942" s="83" t="b">
        <v>0</v>
      </c>
      <c r="F1942" s="83" t="b">
        <v>0</v>
      </c>
      <c r="G1942" s="83" t="b">
        <v>0</v>
      </c>
    </row>
    <row r="1943" spans="1:7" ht="15">
      <c r="A1943" s="84" t="s">
        <v>2154</v>
      </c>
      <c r="B1943" s="83">
        <v>2</v>
      </c>
      <c r="C1943" s="110">
        <v>0.007777760557258349</v>
      </c>
      <c r="D1943" s="83" t="s">
        <v>2088</v>
      </c>
      <c r="E1943" s="83" t="b">
        <v>0</v>
      </c>
      <c r="F1943" s="83" t="b">
        <v>0</v>
      </c>
      <c r="G1943" s="83" t="b">
        <v>0</v>
      </c>
    </row>
    <row r="1944" spans="1:7" ht="15">
      <c r="A1944" s="84" t="s">
        <v>2146</v>
      </c>
      <c r="B1944" s="83">
        <v>2</v>
      </c>
      <c r="C1944" s="110">
        <v>0.007777760557258349</v>
      </c>
      <c r="D1944" s="83" t="s">
        <v>2088</v>
      </c>
      <c r="E1944" s="83" t="b">
        <v>0</v>
      </c>
      <c r="F1944" s="83" t="b">
        <v>1</v>
      </c>
      <c r="G1944" s="83" t="b">
        <v>0</v>
      </c>
    </row>
    <row r="1945" spans="1:7" ht="15">
      <c r="A1945" s="84" t="s">
        <v>2261</v>
      </c>
      <c r="B1945" s="83">
        <v>2</v>
      </c>
      <c r="C1945" s="110">
        <v>0.006006995876881988</v>
      </c>
      <c r="D1945" s="83" t="s">
        <v>2088</v>
      </c>
      <c r="E1945" s="83" t="b">
        <v>1</v>
      </c>
      <c r="F1945" s="83" t="b">
        <v>0</v>
      </c>
      <c r="G1945" s="83" t="b">
        <v>0</v>
      </c>
    </row>
    <row r="1946" spans="1:7" ht="15">
      <c r="A1946" s="84" t="s">
        <v>2365</v>
      </c>
      <c r="B1946" s="83">
        <v>2</v>
      </c>
      <c r="C1946" s="110">
        <v>0.006006995876881988</v>
      </c>
      <c r="D1946" s="83" t="s">
        <v>2088</v>
      </c>
      <c r="E1946" s="83" t="b">
        <v>0</v>
      </c>
      <c r="F1946" s="83" t="b">
        <v>0</v>
      </c>
      <c r="G1946" s="83" t="b">
        <v>0</v>
      </c>
    </row>
    <row r="1947" spans="1:7" ht="15">
      <c r="A1947" s="84" t="s">
        <v>2625</v>
      </c>
      <c r="B1947" s="83">
        <v>2</v>
      </c>
      <c r="C1947" s="110">
        <v>0.006006995876881988</v>
      </c>
      <c r="D1947" s="83" t="s">
        <v>2088</v>
      </c>
      <c r="E1947" s="83" t="b">
        <v>0</v>
      </c>
      <c r="F1947" s="83" t="b">
        <v>0</v>
      </c>
      <c r="G1947" s="83" t="b">
        <v>0</v>
      </c>
    </row>
    <row r="1948" spans="1:7" ht="15">
      <c r="A1948" s="84" t="s">
        <v>2666</v>
      </c>
      <c r="B1948" s="83">
        <v>2</v>
      </c>
      <c r="C1948" s="110">
        <v>0.006006995876881988</v>
      </c>
      <c r="D1948" s="83" t="s">
        <v>2088</v>
      </c>
      <c r="E1948" s="83" t="b">
        <v>0</v>
      </c>
      <c r="F1948" s="83" t="b">
        <v>0</v>
      </c>
      <c r="G1948" s="83" t="b">
        <v>0</v>
      </c>
    </row>
    <row r="1949" spans="1:7" ht="15">
      <c r="A1949" s="84" t="s">
        <v>2198</v>
      </c>
      <c r="B1949" s="83">
        <v>2</v>
      </c>
      <c r="C1949" s="110">
        <v>0.006006995876881988</v>
      </c>
      <c r="D1949" s="83" t="s">
        <v>2088</v>
      </c>
      <c r="E1949" s="83" t="b">
        <v>0</v>
      </c>
      <c r="F1949" s="83" t="b">
        <v>0</v>
      </c>
      <c r="G1949" s="83" t="b">
        <v>0</v>
      </c>
    </row>
    <row r="1950" spans="1:7" ht="15">
      <c r="A1950" s="84" t="s">
        <v>2957</v>
      </c>
      <c r="B1950" s="83">
        <v>2</v>
      </c>
      <c r="C1950" s="110">
        <v>0.007777760557258349</v>
      </c>
      <c r="D1950" s="83" t="s">
        <v>2088</v>
      </c>
      <c r="E1950" s="83" t="b">
        <v>0</v>
      </c>
      <c r="F1950" s="83" t="b">
        <v>1</v>
      </c>
      <c r="G1950" s="83" t="b">
        <v>0</v>
      </c>
    </row>
    <row r="1951" spans="1:7" ht="15">
      <c r="A1951" s="84" t="s">
        <v>2668</v>
      </c>
      <c r="B1951" s="83">
        <v>2</v>
      </c>
      <c r="C1951" s="110">
        <v>0.007777760557258349</v>
      </c>
      <c r="D1951" s="83" t="s">
        <v>2088</v>
      </c>
      <c r="E1951" s="83" t="b">
        <v>0</v>
      </c>
      <c r="F1951" s="83" t="b">
        <v>0</v>
      </c>
      <c r="G1951" s="83" t="b">
        <v>0</v>
      </c>
    </row>
    <row r="1952" spans="1:7" ht="15">
      <c r="A1952" s="84" t="s">
        <v>2355</v>
      </c>
      <c r="B1952" s="83">
        <v>2</v>
      </c>
      <c r="C1952" s="110">
        <v>0.006006995876881988</v>
      </c>
      <c r="D1952" s="83" t="s">
        <v>2088</v>
      </c>
      <c r="E1952" s="83" t="b">
        <v>1</v>
      </c>
      <c r="F1952" s="83" t="b">
        <v>0</v>
      </c>
      <c r="G1952" s="83" t="b">
        <v>0</v>
      </c>
    </row>
    <row r="1953" spans="1:7" ht="15">
      <c r="A1953" s="84" t="s">
        <v>2953</v>
      </c>
      <c r="B1953" s="83">
        <v>2</v>
      </c>
      <c r="C1953" s="110">
        <v>0.006006995876881988</v>
      </c>
      <c r="D1953" s="83" t="s">
        <v>2088</v>
      </c>
      <c r="E1953" s="83" t="b">
        <v>0</v>
      </c>
      <c r="F1953" s="83" t="b">
        <v>0</v>
      </c>
      <c r="G1953" s="83" t="b">
        <v>0</v>
      </c>
    </row>
    <row r="1954" spans="1:7" ht="15">
      <c r="A1954" s="84" t="s">
        <v>2217</v>
      </c>
      <c r="B1954" s="83">
        <v>2</v>
      </c>
      <c r="C1954" s="110">
        <v>0.006006995876881988</v>
      </c>
      <c r="D1954" s="83" t="s">
        <v>2088</v>
      </c>
      <c r="E1954" s="83" t="b">
        <v>0</v>
      </c>
      <c r="F1954" s="83" t="b">
        <v>0</v>
      </c>
      <c r="G1954" s="83" t="b">
        <v>0</v>
      </c>
    </row>
    <row r="1955" spans="1:7" ht="15">
      <c r="A1955" s="84" t="s">
        <v>2263</v>
      </c>
      <c r="B1955" s="83">
        <v>2</v>
      </c>
      <c r="C1955" s="110">
        <v>0.006006995876881988</v>
      </c>
      <c r="D1955" s="83" t="s">
        <v>2088</v>
      </c>
      <c r="E1955" s="83" t="b">
        <v>0</v>
      </c>
      <c r="F1955" s="83" t="b">
        <v>0</v>
      </c>
      <c r="G1955" s="83" t="b">
        <v>0</v>
      </c>
    </row>
    <row r="1956" spans="1:7" ht="15">
      <c r="A1956" s="84" t="s">
        <v>2312</v>
      </c>
      <c r="B1956" s="83">
        <v>2</v>
      </c>
      <c r="C1956" s="110">
        <v>0.006006995876881988</v>
      </c>
      <c r="D1956" s="83" t="s">
        <v>2088</v>
      </c>
      <c r="E1956" s="83" t="b">
        <v>0</v>
      </c>
      <c r="F1956" s="83" t="b">
        <v>0</v>
      </c>
      <c r="G1956" s="83" t="b">
        <v>0</v>
      </c>
    </row>
    <row r="1957" spans="1:7" ht="15">
      <c r="A1957" s="84" t="s">
        <v>2240</v>
      </c>
      <c r="B1957" s="83">
        <v>2</v>
      </c>
      <c r="C1957" s="110">
        <v>0.006006995876881988</v>
      </c>
      <c r="D1957" s="83" t="s">
        <v>2088</v>
      </c>
      <c r="E1957" s="83" t="b">
        <v>0</v>
      </c>
      <c r="F1957" s="83" t="b">
        <v>0</v>
      </c>
      <c r="G1957" s="83" t="b">
        <v>0</v>
      </c>
    </row>
    <row r="1958" spans="1:7" ht="15">
      <c r="A1958" s="84" t="s">
        <v>2667</v>
      </c>
      <c r="B1958" s="83">
        <v>2</v>
      </c>
      <c r="C1958" s="110">
        <v>0.007777760557258349</v>
      </c>
      <c r="D1958" s="83" t="s">
        <v>2088</v>
      </c>
      <c r="E1958" s="83" t="b">
        <v>0</v>
      </c>
      <c r="F1958" s="83" t="b">
        <v>0</v>
      </c>
      <c r="G1958" s="83" t="b">
        <v>0</v>
      </c>
    </row>
    <row r="1959" spans="1:7" ht="15">
      <c r="A1959" s="84" t="s">
        <v>2959</v>
      </c>
      <c r="B1959" s="83">
        <v>2</v>
      </c>
      <c r="C1959" s="110">
        <v>0.006006995876881988</v>
      </c>
      <c r="D1959" s="83" t="s">
        <v>2088</v>
      </c>
      <c r="E1959" s="83" t="b">
        <v>0</v>
      </c>
      <c r="F1959" s="83" t="b">
        <v>0</v>
      </c>
      <c r="G1959" s="83" t="b">
        <v>0</v>
      </c>
    </row>
    <row r="1960" spans="1:7" ht="15">
      <c r="A1960" s="84" t="s">
        <v>2962</v>
      </c>
      <c r="B1960" s="83">
        <v>2</v>
      </c>
      <c r="C1960" s="110">
        <v>0.007777760557258349</v>
      </c>
      <c r="D1960" s="83" t="s">
        <v>2088</v>
      </c>
      <c r="E1960" s="83" t="b">
        <v>0</v>
      </c>
      <c r="F1960" s="83" t="b">
        <v>0</v>
      </c>
      <c r="G1960" s="83" t="b">
        <v>0</v>
      </c>
    </row>
    <row r="1961" spans="1:7" ht="15">
      <c r="A1961" s="84" t="s">
        <v>2289</v>
      </c>
      <c r="B1961" s="83">
        <v>2</v>
      </c>
      <c r="C1961" s="110">
        <v>0.007777760557258349</v>
      </c>
      <c r="D1961" s="83" t="s">
        <v>2088</v>
      </c>
      <c r="E1961" s="83" t="b">
        <v>1</v>
      </c>
      <c r="F1961" s="83" t="b">
        <v>0</v>
      </c>
      <c r="G1961" s="83" t="b">
        <v>0</v>
      </c>
    </row>
    <row r="1962" spans="1:7" ht="15">
      <c r="A1962" s="84" t="s">
        <v>2637</v>
      </c>
      <c r="B1962" s="83">
        <v>2</v>
      </c>
      <c r="C1962" s="110">
        <v>0.007777760557258349</v>
      </c>
      <c r="D1962" s="83" t="s">
        <v>2088</v>
      </c>
      <c r="E1962" s="83" t="b">
        <v>0</v>
      </c>
      <c r="F1962" s="83" t="b">
        <v>0</v>
      </c>
      <c r="G1962" s="83" t="b">
        <v>0</v>
      </c>
    </row>
    <row r="1963" spans="1:7" ht="15">
      <c r="A1963" s="84" t="s">
        <v>2577</v>
      </c>
      <c r="B1963" s="83">
        <v>2</v>
      </c>
      <c r="C1963" s="110">
        <v>0.006006995876881988</v>
      </c>
      <c r="D1963" s="83" t="s">
        <v>2088</v>
      </c>
      <c r="E1963" s="83" t="b">
        <v>0</v>
      </c>
      <c r="F1963" s="83" t="b">
        <v>0</v>
      </c>
      <c r="G1963" s="83" t="b">
        <v>0</v>
      </c>
    </row>
    <row r="1964" spans="1:7" ht="15">
      <c r="A1964" s="84" t="s">
        <v>2218</v>
      </c>
      <c r="B1964" s="83">
        <v>8</v>
      </c>
      <c r="C1964" s="110">
        <v>0.023610195738351467</v>
      </c>
      <c r="D1964" s="83" t="s">
        <v>2089</v>
      </c>
      <c r="E1964" s="83" t="b">
        <v>0</v>
      </c>
      <c r="F1964" s="83" t="b">
        <v>0</v>
      </c>
      <c r="G1964" s="83" t="b">
        <v>0</v>
      </c>
    </row>
    <row r="1965" spans="1:7" ht="15">
      <c r="A1965" s="84" t="s">
        <v>2167</v>
      </c>
      <c r="B1965" s="83">
        <v>6</v>
      </c>
      <c r="C1965" s="110">
        <v>0.017707646803763598</v>
      </c>
      <c r="D1965" s="83" t="s">
        <v>2089</v>
      </c>
      <c r="E1965" s="83" t="b">
        <v>0</v>
      </c>
      <c r="F1965" s="83" t="b">
        <v>0</v>
      </c>
      <c r="G1965" s="83" t="b">
        <v>0</v>
      </c>
    </row>
    <row r="1966" spans="1:7" ht="15">
      <c r="A1966" s="84" t="s">
        <v>2343</v>
      </c>
      <c r="B1966" s="83">
        <v>6</v>
      </c>
      <c r="C1966" s="110">
        <v>0.017707646803763598</v>
      </c>
      <c r="D1966" s="83" t="s">
        <v>2089</v>
      </c>
      <c r="E1966" s="83" t="b">
        <v>0</v>
      </c>
      <c r="F1966" s="83" t="b">
        <v>0</v>
      </c>
      <c r="G1966" s="83" t="b">
        <v>0</v>
      </c>
    </row>
    <row r="1967" spans="1:7" ht="15">
      <c r="A1967" s="84" t="s">
        <v>2129</v>
      </c>
      <c r="B1967" s="83">
        <v>5</v>
      </c>
      <c r="C1967" s="110">
        <v>0.011879064181965071</v>
      </c>
      <c r="D1967" s="83" t="s">
        <v>2089</v>
      </c>
      <c r="E1967" s="83" t="b">
        <v>0</v>
      </c>
      <c r="F1967" s="83" t="b">
        <v>0</v>
      </c>
      <c r="G1967" s="83" t="b">
        <v>0</v>
      </c>
    </row>
    <row r="1968" spans="1:7" ht="15">
      <c r="A1968" s="84" t="s">
        <v>2134</v>
      </c>
      <c r="B1968" s="83">
        <v>5</v>
      </c>
      <c r="C1968" s="110">
        <v>0.011879064181965071</v>
      </c>
      <c r="D1968" s="83" t="s">
        <v>2089</v>
      </c>
      <c r="E1968" s="83" t="b">
        <v>0</v>
      </c>
      <c r="F1968" s="83" t="b">
        <v>0</v>
      </c>
      <c r="G1968" s="83" t="b">
        <v>0</v>
      </c>
    </row>
    <row r="1969" spans="1:7" ht="15">
      <c r="A1969" s="84" t="s">
        <v>2504</v>
      </c>
      <c r="B1969" s="83">
        <v>4</v>
      </c>
      <c r="C1969" s="110">
        <v>0.011805097869175734</v>
      </c>
      <c r="D1969" s="83" t="s">
        <v>2089</v>
      </c>
      <c r="E1969" s="83" t="b">
        <v>0</v>
      </c>
      <c r="F1969" s="83" t="b">
        <v>0</v>
      </c>
      <c r="G1969" s="83" t="b">
        <v>0</v>
      </c>
    </row>
    <row r="1970" spans="1:7" ht="15">
      <c r="A1970" s="84" t="s">
        <v>2414</v>
      </c>
      <c r="B1970" s="83">
        <v>4</v>
      </c>
      <c r="C1970" s="110">
        <v>0.011805097869175734</v>
      </c>
      <c r="D1970" s="83" t="s">
        <v>2089</v>
      </c>
      <c r="E1970" s="83" t="b">
        <v>0</v>
      </c>
      <c r="F1970" s="83" t="b">
        <v>0</v>
      </c>
      <c r="G1970" s="83" t="b">
        <v>0</v>
      </c>
    </row>
    <row r="1971" spans="1:7" ht="15">
      <c r="A1971" s="84" t="s">
        <v>2173</v>
      </c>
      <c r="B1971" s="83">
        <v>4</v>
      </c>
      <c r="C1971" s="110">
        <v>0.011805097869175734</v>
      </c>
      <c r="D1971" s="83" t="s">
        <v>2089</v>
      </c>
      <c r="E1971" s="83" t="b">
        <v>0</v>
      </c>
      <c r="F1971" s="83" t="b">
        <v>0</v>
      </c>
      <c r="G1971" s="83" t="b">
        <v>0</v>
      </c>
    </row>
    <row r="1972" spans="1:7" ht="15">
      <c r="A1972" s="84" t="s">
        <v>2196</v>
      </c>
      <c r="B1972" s="83">
        <v>4</v>
      </c>
      <c r="C1972" s="110">
        <v>0.011805097869175734</v>
      </c>
      <c r="D1972" s="83" t="s">
        <v>2089</v>
      </c>
      <c r="E1972" s="83" t="b">
        <v>0</v>
      </c>
      <c r="F1972" s="83" t="b">
        <v>0</v>
      </c>
      <c r="G1972" s="83" t="b">
        <v>0</v>
      </c>
    </row>
    <row r="1973" spans="1:7" ht="15">
      <c r="A1973" s="84" t="s">
        <v>2260</v>
      </c>
      <c r="B1973" s="83">
        <v>4</v>
      </c>
      <c r="C1973" s="110">
        <v>0.011805097869175734</v>
      </c>
      <c r="D1973" s="83" t="s">
        <v>2089</v>
      </c>
      <c r="E1973" s="83" t="b">
        <v>0</v>
      </c>
      <c r="F1973" s="83" t="b">
        <v>0</v>
      </c>
      <c r="G1973" s="83" t="b">
        <v>0</v>
      </c>
    </row>
    <row r="1974" spans="1:7" ht="15">
      <c r="A1974" s="84" t="s">
        <v>2290</v>
      </c>
      <c r="B1974" s="83">
        <v>4</v>
      </c>
      <c r="C1974" s="110">
        <v>0.011805097869175734</v>
      </c>
      <c r="D1974" s="83" t="s">
        <v>2089</v>
      </c>
      <c r="E1974" s="83" t="b">
        <v>0</v>
      </c>
      <c r="F1974" s="83" t="b">
        <v>0</v>
      </c>
      <c r="G1974" s="83" t="b">
        <v>0</v>
      </c>
    </row>
    <row r="1975" spans="1:7" ht="15">
      <c r="A1975" s="84" t="s">
        <v>2250</v>
      </c>
      <c r="B1975" s="83">
        <v>4</v>
      </c>
      <c r="C1975" s="110">
        <v>0.011805097869175734</v>
      </c>
      <c r="D1975" s="83" t="s">
        <v>2089</v>
      </c>
      <c r="E1975" s="83" t="b">
        <v>0</v>
      </c>
      <c r="F1975" s="83" t="b">
        <v>1</v>
      </c>
      <c r="G1975" s="83" t="b">
        <v>0</v>
      </c>
    </row>
    <row r="1976" spans="1:7" ht="15">
      <c r="A1976" s="84" t="s">
        <v>2509</v>
      </c>
      <c r="B1976" s="83">
        <v>4</v>
      </c>
      <c r="C1976" s="110">
        <v>0.011805097869175734</v>
      </c>
      <c r="D1976" s="83" t="s">
        <v>2089</v>
      </c>
      <c r="E1976" s="83" t="b">
        <v>0</v>
      </c>
      <c r="F1976" s="83" t="b">
        <v>0</v>
      </c>
      <c r="G1976" s="83" t="b">
        <v>0</v>
      </c>
    </row>
    <row r="1977" spans="1:7" ht="15">
      <c r="A1977" s="84" t="s">
        <v>2344</v>
      </c>
      <c r="B1977" s="83">
        <v>4</v>
      </c>
      <c r="C1977" s="110">
        <v>0.011805097869175734</v>
      </c>
      <c r="D1977" s="83" t="s">
        <v>2089</v>
      </c>
      <c r="E1977" s="83" t="b">
        <v>0</v>
      </c>
      <c r="F1977" s="83" t="b">
        <v>0</v>
      </c>
      <c r="G1977" s="83" t="b">
        <v>0</v>
      </c>
    </row>
    <row r="1978" spans="1:7" ht="15">
      <c r="A1978" s="84" t="s">
        <v>2198</v>
      </c>
      <c r="B1978" s="83">
        <v>4</v>
      </c>
      <c r="C1978" s="110">
        <v>0.01574013049223431</v>
      </c>
      <c r="D1978" s="83" t="s">
        <v>2089</v>
      </c>
      <c r="E1978" s="83" t="b">
        <v>0</v>
      </c>
      <c r="F1978" s="83" t="b">
        <v>0</v>
      </c>
      <c r="G1978" s="83" t="b">
        <v>0</v>
      </c>
    </row>
    <row r="1979" spans="1:7" ht="15">
      <c r="A1979" s="84" t="s">
        <v>2166</v>
      </c>
      <c r="B1979" s="83">
        <v>3</v>
      </c>
      <c r="C1979" s="110">
        <v>0.007127438509179042</v>
      </c>
      <c r="D1979" s="83" t="s">
        <v>2089</v>
      </c>
      <c r="E1979" s="83" t="b">
        <v>0</v>
      </c>
      <c r="F1979" s="83" t="b">
        <v>0</v>
      </c>
      <c r="G1979" s="83" t="b">
        <v>0</v>
      </c>
    </row>
    <row r="1980" spans="1:7" ht="15">
      <c r="A1980" s="84" t="s">
        <v>2674</v>
      </c>
      <c r="B1980" s="83">
        <v>3</v>
      </c>
      <c r="C1980" s="110">
        <v>0.007127438509179042</v>
      </c>
      <c r="D1980" s="83" t="s">
        <v>2089</v>
      </c>
      <c r="E1980" s="83" t="b">
        <v>0</v>
      </c>
      <c r="F1980" s="83" t="b">
        <v>0</v>
      </c>
      <c r="G1980" s="83" t="b">
        <v>0</v>
      </c>
    </row>
    <row r="1981" spans="1:7" ht="15">
      <c r="A1981" s="84" t="s">
        <v>2146</v>
      </c>
      <c r="B1981" s="83">
        <v>3</v>
      </c>
      <c r="C1981" s="110">
        <v>0.007127438509179042</v>
      </c>
      <c r="D1981" s="83" t="s">
        <v>2089</v>
      </c>
      <c r="E1981" s="83" t="b">
        <v>0</v>
      </c>
      <c r="F1981" s="83" t="b">
        <v>1</v>
      </c>
      <c r="G1981" s="83" t="b">
        <v>0</v>
      </c>
    </row>
    <row r="1982" spans="1:7" ht="15">
      <c r="A1982" s="84" t="s">
        <v>2329</v>
      </c>
      <c r="B1982" s="83">
        <v>3</v>
      </c>
      <c r="C1982" s="110">
        <v>0.008853823401881799</v>
      </c>
      <c r="D1982" s="83" t="s">
        <v>2089</v>
      </c>
      <c r="E1982" s="83" t="b">
        <v>0</v>
      </c>
      <c r="F1982" s="83" t="b">
        <v>0</v>
      </c>
      <c r="G1982" s="83" t="b">
        <v>0</v>
      </c>
    </row>
    <row r="1983" spans="1:7" ht="15">
      <c r="A1983" s="84" t="s">
        <v>2234</v>
      </c>
      <c r="B1983" s="83">
        <v>3</v>
      </c>
      <c r="C1983" s="110">
        <v>0.008853823401881799</v>
      </c>
      <c r="D1983" s="83" t="s">
        <v>2089</v>
      </c>
      <c r="E1983" s="83" t="b">
        <v>0</v>
      </c>
      <c r="F1983" s="83" t="b">
        <v>0</v>
      </c>
      <c r="G1983" s="83" t="b">
        <v>0</v>
      </c>
    </row>
    <row r="1984" spans="1:7" ht="15">
      <c r="A1984" s="84" t="s">
        <v>2145</v>
      </c>
      <c r="B1984" s="83">
        <v>3</v>
      </c>
      <c r="C1984" s="110">
        <v>0.007127438509179042</v>
      </c>
      <c r="D1984" s="83" t="s">
        <v>2089</v>
      </c>
      <c r="E1984" s="83" t="b">
        <v>0</v>
      </c>
      <c r="F1984" s="83" t="b">
        <v>0</v>
      </c>
      <c r="G1984" s="83" t="b">
        <v>0</v>
      </c>
    </row>
    <row r="1985" spans="1:7" ht="15">
      <c r="A1985" s="84" t="s">
        <v>2133</v>
      </c>
      <c r="B1985" s="83">
        <v>3</v>
      </c>
      <c r="C1985" s="110">
        <v>0.007127438509179042</v>
      </c>
      <c r="D1985" s="83" t="s">
        <v>2089</v>
      </c>
      <c r="E1985" s="83" t="b">
        <v>0</v>
      </c>
      <c r="F1985" s="83" t="b">
        <v>0</v>
      </c>
      <c r="G1985" s="83" t="b">
        <v>0</v>
      </c>
    </row>
    <row r="1986" spans="1:7" ht="15">
      <c r="A1986" s="84" t="s">
        <v>2137</v>
      </c>
      <c r="B1986" s="83">
        <v>3</v>
      </c>
      <c r="C1986" s="110">
        <v>0.008853823401881799</v>
      </c>
      <c r="D1986" s="83" t="s">
        <v>2089</v>
      </c>
      <c r="E1986" s="83" t="b">
        <v>0</v>
      </c>
      <c r="F1986" s="83" t="b">
        <v>0</v>
      </c>
      <c r="G1986" s="83" t="b">
        <v>0</v>
      </c>
    </row>
    <row r="1987" spans="1:7" ht="15">
      <c r="A1987" s="84" t="s">
        <v>2788</v>
      </c>
      <c r="B1987" s="83">
        <v>2</v>
      </c>
      <c r="C1987" s="110">
        <v>0.005902548934587867</v>
      </c>
      <c r="D1987" s="83" t="s">
        <v>2089</v>
      </c>
      <c r="E1987" s="83" t="b">
        <v>0</v>
      </c>
      <c r="F1987" s="83" t="b">
        <v>0</v>
      </c>
      <c r="G1987" s="83" t="b">
        <v>0</v>
      </c>
    </row>
    <row r="1988" spans="1:7" ht="15">
      <c r="A1988" s="84" t="s">
        <v>2177</v>
      </c>
      <c r="B1988" s="83">
        <v>2</v>
      </c>
      <c r="C1988" s="110">
        <v>0.005902548934587867</v>
      </c>
      <c r="D1988" s="83" t="s">
        <v>2089</v>
      </c>
      <c r="E1988" s="83" t="b">
        <v>0</v>
      </c>
      <c r="F1988" s="83" t="b">
        <v>0</v>
      </c>
      <c r="G1988" s="83" t="b">
        <v>0</v>
      </c>
    </row>
    <row r="1989" spans="1:7" ht="15">
      <c r="A1989" s="84" t="s">
        <v>2967</v>
      </c>
      <c r="B1989" s="83">
        <v>2</v>
      </c>
      <c r="C1989" s="110">
        <v>0.005902548934587867</v>
      </c>
      <c r="D1989" s="83" t="s">
        <v>2089</v>
      </c>
      <c r="E1989" s="83" t="b">
        <v>0</v>
      </c>
      <c r="F1989" s="83" t="b">
        <v>1</v>
      </c>
      <c r="G1989" s="83" t="b">
        <v>0</v>
      </c>
    </row>
    <row r="1990" spans="1:7" ht="15">
      <c r="A1990" s="84" t="s">
        <v>2968</v>
      </c>
      <c r="B1990" s="83">
        <v>2</v>
      </c>
      <c r="C1990" s="110">
        <v>0.005902548934587867</v>
      </c>
      <c r="D1990" s="83" t="s">
        <v>2089</v>
      </c>
      <c r="E1990" s="83" t="b">
        <v>0</v>
      </c>
      <c r="F1990" s="83" t="b">
        <v>0</v>
      </c>
      <c r="G1990" s="83" t="b">
        <v>0</v>
      </c>
    </row>
    <row r="1991" spans="1:7" ht="15">
      <c r="A1991" s="84" t="s">
        <v>2969</v>
      </c>
      <c r="B1991" s="83">
        <v>2</v>
      </c>
      <c r="C1991" s="110">
        <v>0.005902548934587867</v>
      </c>
      <c r="D1991" s="83" t="s">
        <v>2089</v>
      </c>
      <c r="E1991" s="83" t="b">
        <v>0</v>
      </c>
      <c r="F1991" s="83" t="b">
        <v>0</v>
      </c>
      <c r="G1991" s="83" t="b">
        <v>0</v>
      </c>
    </row>
    <row r="1992" spans="1:7" ht="15">
      <c r="A1992" s="84" t="s">
        <v>2188</v>
      </c>
      <c r="B1992" s="83">
        <v>2</v>
      </c>
      <c r="C1992" s="110">
        <v>0.005902548934587867</v>
      </c>
      <c r="D1992" s="83" t="s">
        <v>2089</v>
      </c>
      <c r="E1992" s="83" t="b">
        <v>1</v>
      </c>
      <c r="F1992" s="83" t="b">
        <v>0</v>
      </c>
      <c r="G1992" s="83" t="b">
        <v>0</v>
      </c>
    </row>
    <row r="1993" spans="1:7" ht="15">
      <c r="A1993" s="84" t="s">
        <v>2392</v>
      </c>
      <c r="B1993" s="83">
        <v>2</v>
      </c>
      <c r="C1993" s="110">
        <v>0.005902548934587867</v>
      </c>
      <c r="D1993" s="83" t="s">
        <v>2089</v>
      </c>
      <c r="E1993" s="83" t="b">
        <v>0</v>
      </c>
      <c r="F1993" s="83" t="b">
        <v>0</v>
      </c>
      <c r="G1993" s="83" t="b">
        <v>0</v>
      </c>
    </row>
    <row r="1994" spans="1:7" ht="15">
      <c r="A1994" s="84" t="s">
        <v>2970</v>
      </c>
      <c r="B1994" s="83">
        <v>2</v>
      </c>
      <c r="C1994" s="110">
        <v>0.005902548934587867</v>
      </c>
      <c r="D1994" s="83" t="s">
        <v>2089</v>
      </c>
      <c r="E1994" s="83" t="b">
        <v>0</v>
      </c>
      <c r="F1994" s="83" t="b">
        <v>0</v>
      </c>
      <c r="G1994" s="83" t="b">
        <v>0</v>
      </c>
    </row>
    <row r="1995" spans="1:7" ht="15">
      <c r="A1995" s="84" t="s">
        <v>2505</v>
      </c>
      <c r="B1995" s="83">
        <v>2</v>
      </c>
      <c r="C1995" s="110">
        <v>0.005902548934587867</v>
      </c>
      <c r="D1995" s="83" t="s">
        <v>2089</v>
      </c>
      <c r="E1995" s="83" t="b">
        <v>0</v>
      </c>
      <c r="F1995" s="83" t="b">
        <v>0</v>
      </c>
      <c r="G1995" s="83" t="b">
        <v>0</v>
      </c>
    </row>
    <row r="1996" spans="1:7" ht="15">
      <c r="A1996" s="84" t="s">
        <v>2971</v>
      </c>
      <c r="B1996" s="83">
        <v>2</v>
      </c>
      <c r="C1996" s="110">
        <v>0.005902548934587867</v>
      </c>
      <c r="D1996" s="83" t="s">
        <v>2089</v>
      </c>
      <c r="E1996" s="83" t="b">
        <v>0</v>
      </c>
      <c r="F1996" s="83" t="b">
        <v>0</v>
      </c>
      <c r="G1996" s="83" t="b">
        <v>0</v>
      </c>
    </row>
    <row r="1997" spans="1:7" ht="15">
      <c r="A1997" s="84" t="s">
        <v>2673</v>
      </c>
      <c r="B1997" s="83">
        <v>2</v>
      </c>
      <c r="C1997" s="110">
        <v>0.005902548934587867</v>
      </c>
      <c r="D1997" s="83" t="s">
        <v>2089</v>
      </c>
      <c r="E1997" s="83" t="b">
        <v>0</v>
      </c>
      <c r="F1997" s="83" t="b">
        <v>0</v>
      </c>
      <c r="G1997" s="83" t="b">
        <v>0</v>
      </c>
    </row>
    <row r="1998" spans="1:7" ht="15">
      <c r="A1998" s="84" t="s">
        <v>2230</v>
      </c>
      <c r="B1998" s="83">
        <v>2</v>
      </c>
      <c r="C1998" s="110">
        <v>0.005902548934587867</v>
      </c>
      <c r="D1998" s="83" t="s">
        <v>2089</v>
      </c>
      <c r="E1998" s="83" t="b">
        <v>0</v>
      </c>
      <c r="F1998" s="83" t="b">
        <v>0</v>
      </c>
      <c r="G1998" s="83" t="b">
        <v>0</v>
      </c>
    </row>
    <row r="1999" spans="1:7" ht="15">
      <c r="A1999" s="84" t="s">
        <v>2972</v>
      </c>
      <c r="B1999" s="83">
        <v>2</v>
      </c>
      <c r="C1999" s="110">
        <v>0.005902548934587867</v>
      </c>
      <c r="D1999" s="83" t="s">
        <v>2089</v>
      </c>
      <c r="E1999" s="83" t="b">
        <v>0</v>
      </c>
      <c r="F1999" s="83" t="b">
        <v>0</v>
      </c>
      <c r="G1999" s="83" t="b">
        <v>0</v>
      </c>
    </row>
    <row r="2000" spans="1:7" ht="15">
      <c r="A2000" s="84" t="s">
        <v>2973</v>
      </c>
      <c r="B2000" s="83">
        <v>2</v>
      </c>
      <c r="C2000" s="110">
        <v>0.005902548934587867</v>
      </c>
      <c r="D2000" s="83" t="s">
        <v>2089</v>
      </c>
      <c r="E2000" s="83" t="b">
        <v>0</v>
      </c>
      <c r="F2000" s="83" t="b">
        <v>0</v>
      </c>
      <c r="G2000" s="83" t="b">
        <v>0</v>
      </c>
    </row>
    <row r="2001" spans="1:7" ht="15">
      <c r="A2001" s="84" t="s">
        <v>2332</v>
      </c>
      <c r="B2001" s="83">
        <v>2</v>
      </c>
      <c r="C2001" s="110">
        <v>0.005902548934587867</v>
      </c>
      <c r="D2001" s="83" t="s">
        <v>2089</v>
      </c>
      <c r="E2001" s="83" t="b">
        <v>0</v>
      </c>
      <c r="F2001" s="83" t="b">
        <v>0</v>
      </c>
      <c r="G2001" s="83" t="b">
        <v>0</v>
      </c>
    </row>
    <row r="2002" spans="1:7" ht="15">
      <c r="A2002" s="84" t="s">
        <v>2240</v>
      </c>
      <c r="B2002" s="83">
        <v>2</v>
      </c>
      <c r="C2002" s="110">
        <v>0.005902548934587867</v>
      </c>
      <c r="D2002" s="83" t="s">
        <v>2089</v>
      </c>
      <c r="E2002" s="83" t="b">
        <v>0</v>
      </c>
      <c r="F2002" s="83" t="b">
        <v>0</v>
      </c>
      <c r="G2002" s="83" t="b">
        <v>0</v>
      </c>
    </row>
    <row r="2003" spans="1:7" ht="15">
      <c r="A2003" s="84" t="s">
        <v>2301</v>
      </c>
      <c r="B2003" s="83">
        <v>2</v>
      </c>
      <c r="C2003" s="110">
        <v>0.005902548934587867</v>
      </c>
      <c r="D2003" s="83" t="s">
        <v>2089</v>
      </c>
      <c r="E2003" s="83" t="b">
        <v>0</v>
      </c>
      <c r="F2003" s="83" t="b">
        <v>0</v>
      </c>
      <c r="G2003" s="83" t="b">
        <v>0</v>
      </c>
    </row>
    <row r="2004" spans="1:7" ht="15">
      <c r="A2004" s="84" t="s">
        <v>2212</v>
      </c>
      <c r="B2004" s="83">
        <v>2</v>
      </c>
      <c r="C2004" s="110">
        <v>0.005902548934587867</v>
      </c>
      <c r="D2004" s="83" t="s">
        <v>2089</v>
      </c>
      <c r="E2004" s="83" t="b">
        <v>0</v>
      </c>
      <c r="F2004" s="83" t="b">
        <v>0</v>
      </c>
      <c r="G2004" s="83" t="b">
        <v>0</v>
      </c>
    </row>
    <row r="2005" spans="1:7" ht="15">
      <c r="A2005" s="84" t="s">
        <v>2974</v>
      </c>
      <c r="B2005" s="83">
        <v>2</v>
      </c>
      <c r="C2005" s="110">
        <v>0.005902548934587867</v>
      </c>
      <c r="D2005" s="83" t="s">
        <v>2089</v>
      </c>
      <c r="E2005" s="83" t="b">
        <v>0</v>
      </c>
      <c r="F2005" s="83" t="b">
        <v>0</v>
      </c>
      <c r="G2005" s="83" t="b">
        <v>0</v>
      </c>
    </row>
    <row r="2006" spans="1:7" ht="15">
      <c r="A2006" s="84" t="s">
        <v>2506</v>
      </c>
      <c r="B2006" s="83">
        <v>2</v>
      </c>
      <c r="C2006" s="110">
        <v>0.005902548934587867</v>
      </c>
      <c r="D2006" s="83" t="s">
        <v>2089</v>
      </c>
      <c r="E2006" s="83" t="b">
        <v>0</v>
      </c>
      <c r="F2006" s="83" t="b">
        <v>0</v>
      </c>
      <c r="G2006" s="83" t="b">
        <v>0</v>
      </c>
    </row>
    <row r="2007" spans="1:7" ht="15">
      <c r="A2007" s="84" t="s">
        <v>2222</v>
      </c>
      <c r="B2007" s="83">
        <v>2</v>
      </c>
      <c r="C2007" s="110">
        <v>0.005902548934587867</v>
      </c>
      <c r="D2007" s="83" t="s">
        <v>2089</v>
      </c>
      <c r="E2007" s="83" t="b">
        <v>0</v>
      </c>
      <c r="F2007" s="83" t="b">
        <v>0</v>
      </c>
      <c r="G2007" s="83" t="b">
        <v>0</v>
      </c>
    </row>
    <row r="2008" spans="1:7" ht="15">
      <c r="A2008" s="84" t="s">
        <v>2975</v>
      </c>
      <c r="B2008" s="83">
        <v>2</v>
      </c>
      <c r="C2008" s="110">
        <v>0.005902548934587867</v>
      </c>
      <c r="D2008" s="83" t="s">
        <v>2089</v>
      </c>
      <c r="E2008" s="83" t="b">
        <v>0</v>
      </c>
      <c r="F2008" s="83" t="b">
        <v>0</v>
      </c>
      <c r="G2008" s="83" t="b">
        <v>0</v>
      </c>
    </row>
    <row r="2009" spans="1:7" ht="15">
      <c r="A2009" s="84" t="s">
        <v>2132</v>
      </c>
      <c r="B2009" s="83">
        <v>2</v>
      </c>
      <c r="C2009" s="110">
        <v>0.005902548934587867</v>
      </c>
      <c r="D2009" s="83" t="s">
        <v>2089</v>
      </c>
      <c r="E2009" s="83" t="b">
        <v>0</v>
      </c>
      <c r="F2009" s="83" t="b">
        <v>0</v>
      </c>
      <c r="G2009" s="83" t="b">
        <v>0</v>
      </c>
    </row>
    <row r="2010" spans="1:7" ht="15">
      <c r="A2010" s="84" t="s">
        <v>2976</v>
      </c>
      <c r="B2010" s="83">
        <v>2</v>
      </c>
      <c r="C2010" s="110">
        <v>0.005902548934587867</v>
      </c>
      <c r="D2010" s="83" t="s">
        <v>2089</v>
      </c>
      <c r="E2010" s="83" t="b">
        <v>0</v>
      </c>
      <c r="F2010" s="83" t="b">
        <v>0</v>
      </c>
      <c r="G2010" s="83" t="b">
        <v>0</v>
      </c>
    </row>
    <row r="2011" spans="1:7" ht="15">
      <c r="A2011" s="84" t="s">
        <v>2977</v>
      </c>
      <c r="B2011" s="83">
        <v>2</v>
      </c>
      <c r="C2011" s="110">
        <v>0.005902548934587867</v>
      </c>
      <c r="D2011" s="83" t="s">
        <v>2089</v>
      </c>
      <c r="E2011" s="83" t="b">
        <v>0</v>
      </c>
      <c r="F2011" s="83" t="b">
        <v>0</v>
      </c>
      <c r="G2011" s="83" t="b">
        <v>0</v>
      </c>
    </row>
    <row r="2012" spans="1:7" ht="15">
      <c r="A2012" s="84" t="s">
        <v>2675</v>
      </c>
      <c r="B2012" s="83">
        <v>2</v>
      </c>
      <c r="C2012" s="110">
        <v>0.005902548934587867</v>
      </c>
      <c r="D2012" s="83" t="s">
        <v>2089</v>
      </c>
      <c r="E2012" s="83" t="b">
        <v>0</v>
      </c>
      <c r="F2012" s="83" t="b">
        <v>0</v>
      </c>
      <c r="G2012" s="83" t="b">
        <v>0</v>
      </c>
    </row>
    <row r="2013" spans="1:7" ht="15">
      <c r="A2013" s="84" t="s">
        <v>2336</v>
      </c>
      <c r="B2013" s="83">
        <v>2</v>
      </c>
      <c r="C2013" s="110">
        <v>0.005902548934587867</v>
      </c>
      <c r="D2013" s="83" t="s">
        <v>2089</v>
      </c>
      <c r="E2013" s="83" t="b">
        <v>0</v>
      </c>
      <c r="F2013" s="83" t="b">
        <v>0</v>
      </c>
      <c r="G2013" s="83" t="b">
        <v>0</v>
      </c>
    </row>
    <row r="2014" spans="1:7" ht="15">
      <c r="A2014" s="84" t="s">
        <v>2507</v>
      </c>
      <c r="B2014" s="83">
        <v>2</v>
      </c>
      <c r="C2014" s="110">
        <v>0.005902548934587867</v>
      </c>
      <c r="D2014" s="83" t="s">
        <v>2089</v>
      </c>
      <c r="E2014" s="83" t="b">
        <v>0</v>
      </c>
      <c r="F2014" s="83" t="b">
        <v>0</v>
      </c>
      <c r="G2014" s="83" t="b">
        <v>0</v>
      </c>
    </row>
    <row r="2015" spans="1:7" ht="15">
      <c r="A2015" s="84" t="s">
        <v>2978</v>
      </c>
      <c r="B2015" s="83">
        <v>2</v>
      </c>
      <c r="C2015" s="110">
        <v>0.005902548934587867</v>
      </c>
      <c r="D2015" s="83" t="s">
        <v>2089</v>
      </c>
      <c r="E2015" s="83" t="b">
        <v>0</v>
      </c>
      <c r="F2015" s="83" t="b">
        <v>0</v>
      </c>
      <c r="G2015" s="83" t="b">
        <v>0</v>
      </c>
    </row>
    <row r="2016" spans="1:7" ht="15">
      <c r="A2016" s="84" t="s">
        <v>2179</v>
      </c>
      <c r="B2016" s="83">
        <v>2</v>
      </c>
      <c r="C2016" s="110">
        <v>0.005902548934587867</v>
      </c>
      <c r="D2016" s="83" t="s">
        <v>2089</v>
      </c>
      <c r="E2016" s="83" t="b">
        <v>0</v>
      </c>
      <c r="F2016" s="83" t="b">
        <v>0</v>
      </c>
      <c r="G2016" s="83" t="b">
        <v>0</v>
      </c>
    </row>
    <row r="2017" spans="1:7" ht="15">
      <c r="A2017" s="84" t="s">
        <v>2676</v>
      </c>
      <c r="B2017" s="83">
        <v>2</v>
      </c>
      <c r="C2017" s="110">
        <v>0.005902548934587867</v>
      </c>
      <c r="D2017" s="83" t="s">
        <v>2089</v>
      </c>
      <c r="E2017" s="83" t="b">
        <v>0</v>
      </c>
      <c r="F2017" s="83" t="b">
        <v>0</v>
      </c>
      <c r="G2017" s="83" t="b">
        <v>0</v>
      </c>
    </row>
    <row r="2018" spans="1:7" ht="15">
      <c r="A2018" s="84" t="s">
        <v>2302</v>
      </c>
      <c r="B2018" s="83">
        <v>2</v>
      </c>
      <c r="C2018" s="110">
        <v>0.005902548934587867</v>
      </c>
      <c r="D2018" s="83" t="s">
        <v>2089</v>
      </c>
      <c r="E2018" s="83" t="b">
        <v>0</v>
      </c>
      <c r="F2018" s="83" t="b">
        <v>0</v>
      </c>
      <c r="G2018" s="83" t="b">
        <v>0</v>
      </c>
    </row>
    <row r="2019" spans="1:7" ht="15">
      <c r="A2019" s="84" t="s">
        <v>2130</v>
      </c>
      <c r="B2019" s="83">
        <v>2</v>
      </c>
      <c r="C2019" s="110">
        <v>0.005902548934587867</v>
      </c>
      <c r="D2019" s="83" t="s">
        <v>2089</v>
      </c>
      <c r="E2019" s="83" t="b">
        <v>0</v>
      </c>
      <c r="F2019" s="83" t="b">
        <v>0</v>
      </c>
      <c r="G2019" s="83" t="b">
        <v>0</v>
      </c>
    </row>
    <row r="2020" spans="1:7" ht="15">
      <c r="A2020" s="84" t="s">
        <v>2159</v>
      </c>
      <c r="B2020" s="83">
        <v>2</v>
      </c>
      <c r="C2020" s="110">
        <v>0.005902548934587867</v>
      </c>
      <c r="D2020" s="83" t="s">
        <v>2089</v>
      </c>
      <c r="E2020" s="83" t="b">
        <v>0</v>
      </c>
      <c r="F2020" s="83" t="b">
        <v>0</v>
      </c>
      <c r="G2020" s="83" t="b">
        <v>0</v>
      </c>
    </row>
    <row r="2021" spans="1:7" ht="15">
      <c r="A2021" s="84" t="s">
        <v>2508</v>
      </c>
      <c r="B2021" s="83">
        <v>2</v>
      </c>
      <c r="C2021" s="110">
        <v>0.005902548934587867</v>
      </c>
      <c r="D2021" s="83" t="s">
        <v>2089</v>
      </c>
      <c r="E2021" s="83" t="b">
        <v>0</v>
      </c>
      <c r="F2021" s="83" t="b">
        <v>0</v>
      </c>
      <c r="G2021" s="83" t="b">
        <v>0</v>
      </c>
    </row>
    <row r="2022" spans="1:7" ht="15">
      <c r="A2022" s="84" t="s">
        <v>2415</v>
      </c>
      <c r="B2022" s="83">
        <v>2</v>
      </c>
      <c r="C2022" s="110">
        <v>0.005902548934587867</v>
      </c>
      <c r="D2022" s="83" t="s">
        <v>2089</v>
      </c>
      <c r="E2022" s="83" t="b">
        <v>0</v>
      </c>
      <c r="F2022" s="83" t="b">
        <v>0</v>
      </c>
      <c r="G2022" s="83" t="b">
        <v>0</v>
      </c>
    </row>
    <row r="2023" spans="1:7" ht="15">
      <c r="A2023" s="84" t="s">
        <v>2979</v>
      </c>
      <c r="B2023" s="83">
        <v>2</v>
      </c>
      <c r="C2023" s="110">
        <v>0.005902548934587867</v>
      </c>
      <c r="D2023" s="83" t="s">
        <v>2089</v>
      </c>
      <c r="E2023" s="83" t="b">
        <v>0</v>
      </c>
      <c r="F2023" s="83" t="b">
        <v>0</v>
      </c>
      <c r="G2023" s="83" t="b">
        <v>0</v>
      </c>
    </row>
    <row r="2024" spans="1:7" ht="15">
      <c r="A2024" s="84" t="s">
        <v>2980</v>
      </c>
      <c r="B2024" s="83">
        <v>2</v>
      </c>
      <c r="C2024" s="110">
        <v>0.005902548934587867</v>
      </c>
      <c r="D2024" s="83" t="s">
        <v>2089</v>
      </c>
      <c r="E2024" s="83" t="b">
        <v>0</v>
      </c>
      <c r="F2024" s="83" t="b">
        <v>0</v>
      </c>
      <c r="G2024" s="83" t="b">
        <v>0</v>
      </c>
    </row>
    <row r="2025" spans="1:7" ht="15">
      <c r="A2025" s="84" t="s">
        <v>2468</v>
      </c>
      <c r="B2025" s="83">
        <v>2</v>
      </c>
      <c r="C2025" s="110">
        <v>0.005902548934587867</v>
      </c>
      <c r="D2025" s="83" t="s">
        <v>2089</v>
      </c>
      <c r="E2025" s="83" t="b">
        <v>0</v>
      </c>
      <c r="F2025" s="83" t="b">
        <v>0</v>
      </c>
      <c r="G2025" s="83" t="b">
        <v>0</v>
      </c>
    </row>
    <row r="2026" spans="1:7" ht="15">
      <c r="A2026" s="84" t="s">
        <v>2677</v>
      </c>
      <c r="B2026" s="83">
        <v>2</v>
      </c>
      <c r="C2026" s="110">
        <v>0.005902548934587867</v>
      </c>
      <c r="D2026" s="83" t="s">
        <v>2089</v>
      </c>
      <c r="E2026" s="83" t="b">
        <v>0</v>
      </c>
      <c r="F2026" s="83" t="b">
        <v>0</v>
      </c>
      <c r="G2026" s="83" t="b">
        <v>0</v>
      </c>
    </row>
    <row r="2027" spans="1:7" ht="15">
      <c r="A2027" s="84" t="s">
        <v>2981</v>
      </c>
      <c r="B2027" s="83">
        <v>2</v>
      </c>
      <c r="C2027" s="110">
        <v>0.005902548934587867</v>
      </c>
      <c r="D2027" s="83" t="s">
        <v>2089</v>
      </c>
      <c r="E2027" s="83" t="b">
        <v>0</v>
      </c>
      <c r="F2027" s="83" t="b">
        <v>0</v>
      </c>
      <c r="G2027" s="83" t="b">
        <v>0</v>
      </c>
    </row>
    <row r="2028" spans="1:7" ht="15">
      <c r="A2028" s="84" t="s">
        <v>2982</v>
      </c>
      <c r="B2028" s="83">
        <v>2</v>
      </c>
      <c r="C2028" s="110">
        <v>0.005902548934587867</v>
      </c>
      <c r="D2028" s="83" t="s">
        <v>2089</v>
      </c>
      <c r="E2028" s="83" t="b">
        <v>0</v>
      </c>
      <c r="F2028" s="83" t="b">
        <v>1</v>
      </c>
      <c r="G2028" s="83" t="b">
        <v>0</v>
      </c>
    </row>
    <row r="2029" spans="1:7" ht="15">
      <c r="A2029" s="84" t="s">
        <v>2131</v>
      </c>
      <c r="B2029" s="83">
        <v>2</v>
      </c>
      <c r="C2029" s="110">
        <v>0.005902548934587867</v>
      </c>
      <c r="D2029" s="83" t="s">
        <v>2089</v>
      </c>
      <c r="E2029" s="83" t="b">
        <v>1</v>
      </c>
      <c r="F2029" s="83" t="b">
        <v>0</v>
      </c>
      <c r="G2029" s="83" t="b">
        <v>0</v>
      </c>
    </row>
    <row r="2030" spans="1:7" ht="15">
      <c r="A2030" s="84" t="s">
        <v>2147</v>
      </c>
      <c r="B2030" s="83">
        <v>2</v>
      </c>
      <c r="C2030" s="110">
        <v>0.005902548934587867</v>
      </c>
      <c r="D2030" s="83" t="s">
        <v>2089</v>
      </c>
      <c r="E2030" s="83" t="b">
        <v>0</v>
      </c>
      <c r="F2030" s="83" t="b">
        <v>0</v>
      </c>
      <c r="G2030" s="83" t="b">
        <v>0</v>
      </c>
    </row>
    <row r="2031" spans="1:7" ht="15">
      <c r="A2031" s="84" t="s">
        <v>2946</v>
      </c>
      <c r="B2031" s="83">
        <v>2</v>
      </c>
      <c r="C2031" s="110">
        <v>0.005902548934587867</v>
      </c>
      <c r="D2031" s="83" t="s">
        <v>2089</v>
      </c>
      <c r="E2031" s="83" t="b">
        <v>0</v>
      </c>
      <c r="F2031" s="83" t="b">
        <v>0</v>
      </c>
      <c r="G2031" s="83" t="b">
        <v>0</v>
      </c>
    </row>
    <row r="2032" spans="1:7" ht="15">
      <c r="A2032" s="84" t="s">
        <v>2237</v>
      </c>
      <c r="B2032" s="83">
        <v>2</v>
      </c>
      <c r="C2032" s="110">
        <v>0.005902548934587867</v>
      </c>
      <c r="D2032" s="83" t="s">
        <v>2089</v>
      </c>
      <c r="E2032" s="83" t="b">
        <v>0</v>
      </c>
      <c r="F2032" s="83" t="b">
        <v>0</v>
      </c>
      <c r="G2032" s="83" t="b">
        <v>0</v>
      </c>
    </row>
    <row r="2033" spans="1:7" ht="15">
      <c r="A2033" s="84" t="s">
        <v>2194</v>
      </c>
      <c r="B2033" s="83">
        <v>2</v>
      </c>
      <c r="C2033" s="110">
        <v>0.005902548934587867</v>
      </c>
      <c r="D2033" s="83" t="s">
        <v>2089</v>
      </c>
      <c r="E2033" s="83" t="b">
        <v>0</v>
      </c>
      <c r="F2033" s="83" t="b">
        <v>0</v>
      </c>
      <c r="G2033" s="83" t="b">
        <v>0</v>
      </c>
    </row>
    <row r="2034" spans="1:7" ht="15">
      <c r="A2034" s="84" t="s">
        <v>2142</v>
      </c>
      <c r="B2034" s="83">
        <v>2</v>
      </c>
      <c r="C2034" s="110">
        <v>0.005902548934587867</v>
      </c>
      <c r="D2034" s="83" t="s">
        <v>2089</v>
      </c>
      <c r="E2034" s="83" t="b">
        <v>0</v>
      </c>
      <c r="F2034" s="83" t="b">
        <v>0</v>
      </c>
      <c r="G2034" s="83" t="b">
        <v>0</v>
      </c>
    </row>
    <row r="2035" spans="1:7" ht="15">
      <c r="A2035" s="84" t="s">
        <v>2166</v>
      </c>
      <c r="B2035" s="83">
        <v>2</v>
      </c>
      <c r="C2035" s="110">
        <v>0.059857788491049516</v>
      </c>
      <c r="D2035" s="83" t="s">
        <v>2090</v>
      </c>
      <c r="E2035" s="83" t="b">
        <v>0</v>
      </c>
      <c r="F2035" s="83" t="b">
        <v>0</v>
      </c>
      <c r="G2035" s="83" t="b">
        <v>0</v>
      </c>
    </row>
    <row r="2036" spans="1:7" ht="15">
      <c r="A2036" s="84" t="s">
        <v>2942</v>
      </c>
      <c r="B2036" s="83">
        <v>2</v>
      </c>
      <c r="C2036" s="110">
        <v>0.059857788491049516</v>
      </c>
      <c r="D2036" s="83" t="s">
        <v>2090</v>
      </c>
      <c r="E2036" s="83" t="b">
        <v>0</v>
      </c>
      <c r="F2036" s="83" t="b">
        <v>0</v>
      </c>
      <c r="G2036" s="83" t="b">
        <v>0</v>
      </c>
    </row>
    <row r="2037" spans="1:7" ht="15">
      <c r="A2037" s="84" t="s">
        <v>2943</v>
      </c>
      <c r="B2037" s="83">
        <v>2</v>
      </c>
      <c r="C2037" s="110">
        <v>0.059857788491049516</v>
      </c>
      <c r="D2037" s="83" t="s">
        <v>2090</v>
      </c>
      <c r="E2037" s="83" t="b">
        <v>0</v>
      </c>
      <c r="F2037" s="83" t="b">
        <v>0</v>
      </c>
      <c r="G2037" s="83" t="b">
        <v>0</v>
      </c>
    </row>
    <row r="2038" spans="1:7" ht="15">
      <c r="A2038" s="84" t="s">
        <v>2143</v>
      </c>
      <c r="B2038" s="83">
        <v>5</v>
      </c>
      <c r="C2038" s="110">
        <v>0.03449628447341974</v>
      </c>
      <c r="D2038" s="83" t="s">
        <v>2091</v>
      </c>
      <c r="E2038" s="83" t="b">
        <v>1</v>
      </c>
      <c r="F2038" s="83" t="b">
        <v>0</v>
      </c>
      <c r="G2038" s="83" t="b">
        <v>0</v>
      </c>
    </row>
    <row r="2039" spans="1:7" ht="15">
      <c r="A2039" s="84" t="s">
        <v>2162</v>
      </c>
      <c r="B2039" s="83">
        <v>2</v>
      </c>
      <c r="C2039" s="110">
        <v>0.03530878452839696</v>
      </c>
      <c r="D2039" s="83" t="s">
        <v>2091</v>
      </c>
      <c r="E2039" s="83" t="b">
        <v>1</v>
      </c>
      <c r="F2039" s="83" t="b">
        <v>0</v>
      </c>
      <c r="G2039" s="83" t="b">
        <v>0</v>
      </c>
    </row>
    <row r="2040" spans="1:7" ht="15">
      <c r="A2040" s="84" t="s">
        <v>2133</v>
      </c>
      <c r="B2040" s="83">
        <v>2</v>
      </c>
      <c r="C2040" s="110">
        <v>0.03530878452839696</v>
      </c>
      <c r="D2040" s="83" t="s">
        <v>2091</v>
      </c>
      <c r="E2040" s="83" t="b">
        <v>0</v>
      </c>
      <c r="F2040" s="83" t="b">
        <v>0</v>
      </c>
      <c r="G2040" s="83" t="b">
        <v>0</v>
      </c>
    </row>
    <row r="2041" spans="1:7" ht="15">
      <c r="A2041" s="84" t="s">
        <v>2185</v>
      </c>
      <c r="B2041" s="83">
        <v>2</v>
      </c>
      <c r="C2041" s="110">
        <v>0.03530878452839696</v>
      </c>
      <c r="D2041" s="83" t="s">
        <v>2091</v>
      </c>
      <c r="E2041" s="83" t="b">
        <v>0</v>
      </c>
      <c r="F2041" s="83" t="b">
        <v>0</v>
      </c>
      <c r="G2041" s="83" t="b">
        <v>0</v>
      </c>
    </row>
    <row r="2042" spans="1:7" ht="15">
      <c r="A2042" s="84" t="s">
        <v>2140</v>
      </c>
      <c r="B2042" s="83">
        <v>2</v>
      </c>
      <c r="C2042" s="110">
        <v>0.03530878452839696</v>
      </c>
      <c r="D2042" s="83" t="s">
        <v>2091</v>
      </c>
      <c r="E2042" s="83" t="b">
        <v>1</v>
      </c>
      <c r="F2042" s="83" t="b">
        <v>0</v>
      </c>
      <c r="G2042" s="83" t="b">
        <v>0</v>
      </c>
    </row>
    <row r="2043" spans="1:7" ht="15">
      <c r="A2043" s="84" t="s">
        <v>2151</v>
      </c>
      <c r="B2043" s="83">
        <v>4</v>
      </c>
      <c r="C2043" s="110">
        <v>0.017301739507479895</v>
      </c>
      <c r="D2043" s="83" t="s">
        <v>2092</v>
      </c>
      <c r="E2043" s="83" t="b">
        <v>0</v>
      </c>
      <c r="F2043" s="83" t="b">
        <v>0</v>
      </c>
      <c r="G2043" s="83" t="b">
        <v>0</v>
      </c>
    </row>
    <row r="2044" spans="1:7" ht="15">
      <c r="A2044" s="84" t="s">
        <v>2135</v>
      </c>
      <c r="B2044" s="83">
        <v>3</v>
      </c>
      <c r="C2044" s="110">
        <v>0.012976304630609921</v>
      </c>
      <c r="D2044" s="83" t="s">
        <v>2092</v>
      </c>
      <c r="E2044" s="83" t="b">
        <v>1</v>
      </c>
      <c r="F2044" s="83" t="b">
        <v>0</v>
      </c>
      <c r="G2044" s="83" t="b">
        <v>0</v>
      </c>
    </row>
    <row r="2045" spans="1:7" ht="15">
      <c r="A2045" s="84" t="s">
        <v>2137</v>
      </c>
      <c r="B2045" s="83">
        <v>3</v>
      </c>
      <c r="C2045" s="110">
        <v>0.0072341983570551</v>
      </c>
      <c r="D2045" s="83" t="s">
        <v>2092</v>
      </c>
      <c r="E2045" s="83" t="b">
        <v>0</v>
      </c>
      <c r="F2045" s="83" t="b">
        <v>0</v>
      </c>
      <c r="G2045" s="83" t="b">
        <v>0</v>
      </c>
    </row>
    <row r="2046" spans="1:7" ht="15">
      <c r="A2046" s="84" t="s">
        <v>2339</v>
      </c>
      <c r="B2046" s="83">
        <v>2</v>
      </c>
      <c r="C2046" s="110">
        <v>0.008650869753739947</v>
      </c>
      <c r="D2046" s="83" t="s">
        <v>2092</v>
      </c>
      <c r="E2046" s="83" t="b">
        <v>0</v>
      </c>
      <c r="F2046" s="83" t="b">
        <v>1</v>
      </c>
      <c r="G2046" s="83" t="b">
        <v>0</v>
      </c>
    </row>
    <row r="2047" spans="1:7" ht="15">
      <c r="A2047" s="84" t="s">
        <v>2136</v>
      </c>
      <c r="B2047" s="83">
        <v>2</v>
      </c>
      <c r="C2047" s="110">
        <v>0.008650869753739947</v>
      </c>
      <c r="D2047" s="83" t="s">
        <v>2092</v>
      </c>
      <c r="E2047" s="83" t="b">
        <v>0</v>
      </c>
      <c r="F2047" s="83" t="b">
        <v>1</v>
      </c>
      <c r="G2047" s="83" t="b">
        <v>0</v>
      </c>
    </row>
    <row r="2048" spans="1:7" ht="15">
      <c r="A2048" s="84" t="s">
        <v>2173</v>
      </c>
      <c r="B2048" s="83">
        <v>2</v>
      </c>
      <c r="C2048" s="110">
        <v>0.008650869753739947</v>
      </c>
      <c r="D2048" s="83" t="s">
        <v>2092</v>
      </c>
      <c r="E2048" s="83" t="b">
        <v>0</v>
      </c>
      <c r="F2048" s="83" t="b">
        <v>0</v>
      </c>
      <c r="G2048" s="83" t="b">
        <v>0</v>
      </c>
    </row>
    <row r="2049" spans="1:7" ht="15">
      <c r="A2049" s="84" t="s">
        <v>2180</v>
      </c>
      <c r="B2049" s="83">
        <v>2</v>
      </c>
      <c r="C2049" s="110">
        <v>0.008650869753739947</v>
      </c>
      <c r="D2049" s="83" t="s">
        <v>2092</v>
      </c>
      <c r="E2049" s="83" t="b">
        <v>0</v>
      </c>
      <c r="F2049" s="83" t="b">
        <v>0</v>
      </c>
      <c r="G2049" s="83" t="b">
        <v>0</v>
      </c>
    </row>
    <row r="2050" spans="1:7" ht="15">
      <c r="A2050" s="84" t="s">
        <v>2590</v>
      </c>
      <c r="B2050" s="83">
        <v>2</v>
      </c>
      <c r="C2050" s="110">
        <v>0.008650869753739947</v>
      </c>
      <c r="D2050" s="83" t="s">
        <v>2092</v>
      </c>
      <c r="E2050" s="83" t="b">
        <v>0</v>
      </c>
      <c r="F2050" s="83" t="b">
        <v>0</v>
      </c>
      <c r="G2050" s="83" t="b">
        <v>0</v>
      </c>
    </row>
    <row r="2051" spans="1:7" ht="15">
      <c r="A2051" s="84" t="s">
        <v>2193</v>
      </c>
      <c r="B2051" s="83">
        <v>2</v>
      </c>
      <c r="C2051" s="110">
        <v>0.008650869753739947</v>
      </c>
      <c r="D2051" s="83" t="s">
        <v>2092</v>
      </c>
      <c r="E2051" s="83" t="b">
        <v>0</v>
      </c>
      <c r="F2051" s="83" t="b">
        <v>0</v>
      </c>
      <c r="G2051" s="83" t="b">
        <v>0</v>
      </c>
    </row>
    <row r="2052" spans="1:7" ht="15">
      <c r="A2052" s="84" t="s">
        <v>2132</v>
      </c>
      <c r="B2052" s="83">
        <v>2</v>
      </c>
      <c r="C2052" s="110">
        <v>0.008650869753739947</v>
      </c>
      <c r="D2052" s="83" t="s">
        <v>2092</v>
      </c>
      <c r="E2052" s="83" t="b">
        <v>0</v>
      </c>
      <c r="F2052" s="83" t="b">
        <v>0</v>
      </c>
      <c r="G2052" s="83" t="b">
        <v>0</v>
      </c>
    </row>
    <row r="2053" spans="1:7" ht="15">
      <c r="A2053" s="84" t="s">
        <v>2340</v>
      </c>
      <c r="B2053" s="83">
        <v>2</v>
      </c>
      <c r="C2053" s="110">
        <v>0.01519500009426128</v>
      </c>
      <c r="D2053" s="83" t="s">
        <v>2092</v>
      </c>
      <c r="E2053" s="83" t="b">
        <v>1</v>
      </c>
      <c r="F2053" s="83" t="b">
        <v>0</v>
      </c>
      <c r="G2053" s="83" t="b">
        <v>0</v>
      </c>
    </row>
    <row r="2054" spans="1:7" ht="15">
      <c r="A2054" s="84" t="s">
        <v>2142</v>
      </c>
      <c r="B2054" s="83">
        <v>2</v>
      </c>
      <c r="C2054" s="110">
        <v>0.01519500009426128</v>
      </c>
      <c r="D2054" s="83" t="s">
        <v>2092</v>
      </c>
      <c r="E2054" s="83" t="b">
        <v>0</v>
      </c>
      <c r="F2054" s="83" t="b">
        <v>0</v>
      </c>
      <c r="G2054" s="83" t="b">
        <v>0</v>
      </c>
    </row>
    <row r="2055" spans="1:7" ht="15">
      <c r="A2055" s="84" t="s">
        <v>2947</v>
      </c>
      <c r="B2055" s="83">
        <v>2</v>
      </c>
      <c r="C2055" s="110">
        <v>0.008650869753739947</v>
      </c>
      <c r="D2055" s="83" t="s">
        <v>2092</v>
      </c>
      <c r="E2055" s="83" t="b">
        <v>0</v>
      </c>
      <c r="F2055" s="83" t="b">
        <v>0</v>
      </c>
      <c r="G2055" s="83" t="b">
        <v>0</v>
      </c>
    </row>
    <row r="2056" spans="1:7" ht="15">
      <c r="A2056" s="84" t="s">
        <v>2131</v>
      </c>
      <c r="B2056" s="83">
        <v>2</v>
      </c>
      <c r="C2056" s="110">
        <v>0.01519500009426128</v>
      </c>
      <c r="D2056" s="83" t="s">
        <v>2092</v>
      </c>
      <c r="E2056" s="83" t="b">
        <v>1</v>
      </c>
      <c r="F2056" s="83" t="b">
        <v>0</v>
      </c>
      <c r="G2056" s="83" t="b">
        <v>0</v>
      </c>
    </row>
    <row r="2057" spans="1:7" ht="15">
      <c r="A2057" s="84" t="s">
        <v>2576</v>
      </c>
      <c r="B2057" s="83">
        <v>2</v>
      </c>
      <c r="C2057" s="110">
        <v>0.01519500009426128</v>
      </c>
      <c r="D2057" s="83" t="s">
        <v>2092</v>
      </c>
      <c r="E2057" s="83" t="b">
        <v>1</v>
      </c>
      <c r="F2057" s="83" t="b">
        <v>0</v>
      </c>
      <c r="G2057" s="83" t="b">
        <v>0</v>
      </c>
    </row>
    <row r="2058" spans="1:7" ht="15">
      <c r="A2058" s="84" t="s">
        <v>2602</v>
      </c>
      <c r="B2058" s="83">
        <v>2</v>
      </c>
      <c r="C2058" s="110">
        <v>0.01519500009426128</v>
      </c>
      <c r="D2058" s="83" t="s">
        <v>2092</v>
      </c>
      <c r="E2058" s="83" t="b">
        <v>1</v>
      </c>
      <c r="F2058" s="83" t="b">
        <v>0</v>
      </c>
      <c r="G2058" s="83" t="b">
        <v>0</v>
      </c>
    </row>
    <row r="2059" spans="1:7" ht="15">
      <c r="A2059" s="84" t="s">
        <v>2129</v>
      </c>
      <c r="B2059" s="83">
        <v>10</v>
      </c>
      <c r="C2059" s="110">
        <v>0.0077569492872851895</v>
      </c>
      <c r="D2059" s="83" t="s">
        <v>2093</v>
      </c>
      <c r="E2059" s="83" t="b">
        <v>0</v>
      </c>
      <c r="F2059" s="83" t="b">
        <v>0</v>
      </c>
      <c r="G2059" s="83" t="b">
        <v>0</v>
      </c>
    </row>
    <row r="2060" spans="1:7" ht="15">
      <c r="A2060" s="84" t="s">
        <v>2164</v>
      </c>
      <c r="B2060" s="83">
        <v>9</v>
      </c>
      <c r="C2060" s="110">
        <v>0.012522587685483703</v>
      </c>
      <c r="D2060" s="83" t="s">
        <v>2093</v>
      </c>
      <c r="E2060" s="83" t="b">
        <v>0</v>
      </c>
      <c r="F2060" s="83" t="b">
        <v>0</v>
      </c>
      <c r="G2060" s="83" t="b">
        <v>0</v>
      </c>
    </row>
    <row r="2061" spans="1:7" ht="15">
      <c r="A2061" s="84" t="s">
        <v>2130</v>
      </c>
      <c r="B2061" s="83">
        <v>6</v>
      </c>
      <c r="C2061" s="110">
        <v>0.0020330771959732115</v>
      </c>
      <c r="D2061" s="83" t="s">
        <v>2093</v>
      </c>
      <c r="E2061" s="83" t="b">
        <v>0</v>
      </c>
      <c r="F2061" s="83" t="b">
        <v>0</v>
      </c>
      <c r="G2061" s="83" t="b">
        <v>0</v>
      </c>
    </row>
    <row r="2062" spans="1:7" ht="15">
      <c r="A2062" s="84" t="s">
        <v>2393</v>
      </c>
      <c r="B2062" s="83">
        <v>5</v>
      </c>
      <c r="C2062" s="110">
        <v>0.012219755320559772</v>
      </c>
      <c r="D2062" s="83" t="s">
        <v>2093</v>
      </c>
      <c r="E2062" s="83" t="b">
        <v>0</v>
      </c>
      <c r="F2062" s="83" t="b">
        <v>1</v>
      </c>
      <c r="G2062" s="83" t="b">
        <v>0</v>
      </c>
    </row>
    <row r="2063" spans="1:7" ht="15">
      <c r="A2063" s="84" t="s">
        <v>2285</v>
      </c>
      <c r="B2063" s="83">
        <v>5</v>
      </c>
      <c r="C2063" s="110">
        <v>0.006956993158602057</v>
      </c>
      <c r="D2063" s="83" t="s">
        <v>2093</v>
      </c>
      <c r="E2063" s="83" t="b">
        <v>0</v>
      </c>
      <c r="F2063" s="83" t="b">
        <v>0</v>
      </c>
      <c r="G2063" s="83" t="b">
        <v>0</v>
      </c>
    </row>
    <row r="2064" spans="1:7" ht="15">
      <c r="A2064" s="84" t="s">
        <v>2189</v>
      </c>
      <c r="B2064" s="83">
        <v>4</v>
      </c>
      <c r="C2064" s="110">
        <v>0.0031027797149140754</v>
      </c>
      <c r="D2064" s="83" t="s">
        <v>2093</v>
      </c>
      <c r="E2064" s="83" t="b">
        <v>0</v>
      </c>
      <c r="F2064" s="83" t="b">
        <v>0</v>
      </c>
      <c r="G2064" s="83" t="b">
        <v>0</v>
      </c>
    </row>
    <row r="2065" spans="1:7" ht="15">
      <c r="A2065" s="84" t="s">
        <v>2157</v>
      </c>
      <c r="B2065" s="83">
        <v>4</v>
      </c>
      <c r="C2065" s="110">
        <v>0.009775804256447817</v>
      </c>
      <c r="D2065" s="83" t="s">
        <v>2093</v>
      </c>
      <c r="E2065" s="83" t="b">
        <v>1</v>
      </c>
      <c r="F2065" s="83" t="b">
        <v>0</v>
      </c>
      <c r="G2065" s="83" t="b">
        <v>0</v>
      </c>
    </row>
    <row r="2066" spans="1:7" ht="15">
      <c r="A2066" s="84" t="s">
        <v>2194</v>
      </c>
      <c r="B2066" s="83">
        <v>3</v>
      </c>
      <c r="C2066" s="110">
        <v>0.004174195895161234</v>
      </c>
      <c r="D2066" s="83" t="s">
        <v>2093</v>
      </c>
      <c r="E2066" s="83" t="b">
        <v>0</v>
      </c>
      <c r="F2066" s="83" t="b">
        <v>0</v>
      </c>
      <c r="G2066" s="83" t="b">
        <v>0</v>
      </c>
    </row>
    <row r="2067" spans="1:7" ht="15">
      <c r="A2067" s="84" t="s">
        <v>2179</v>
      </c>
      <c r="B2067" s="83">
        <v>3</v>
      </c>
      <c r="C2067" s="110">
        <v>0.007331853192335863</v>
      </c>
      <c r="D2067" s="83" t="s">
        <v>2093</v>
      </c>
      <c r="E2067" s="83" t="b">
        <v>0</v>
      </c>
      <c r="F2067" s="83" t="b">
        <v>0</v>
      </c>
      <c r="G2067" s="83" t="b">
        <v>0</v>
      </c>
    </row>
    <row r="2068" spans="1:7" ht="15">
      <c r="A2068" s="84" t="s">
        <v>2219</v>
      </c>
      <c r="B2068" s="83">
        <v>3</v>
      </c>
      <c r="C2068" s="110">
        <v>0.004174195895161234</v>
      </c>
      <c r="D2068" s="83" t="s">
        <v>2093</v>
      </c>
      <c r="E2068" s="83" t="b">
        <v>0</v>
      </c>
      <c r="F2068" s="83" t="b">
        <v>0</v>
      </c>
      <c r="G2068" s="83" t="b">
        <v>0</v>
      </c>
    </row>
    <row r="2069" spans="1:7" ht="15">
      <c r="A2069" s="84" t="s">
        <v>2133</v>
      </c>
      <c r="B2069" s="83">
        <v>3</v>
      </c>
      <c r="C2069" s="110">
        <v>0.007331853192335863</v>
      </c>
      <c r="D2069" s="83" t="s">
        <v>2093</v>
      </c>
      <c r="E2069" s="83" t="b">
        <v>0</v>
      </c>
      <c r="F2069" s="83" t="b">
        <v>0</v>
      </c>
      <c r="G2069" s="83" t="b">
        <v>0</v>
      </c>
    </row>
    <row r="2070" spans="1:7" ht="15">
      <c r="A2070" s="84" t="s">
        <v>2134</v>
      </c>
      <c r="B2070" s="83">
        <v>3</v>
      </c>
      <c r="C2070" s="110">
        <v>0.007331853192335863</v>
      </c>
      <c r="D2070" s="83" t="s">
        <v>2093</v>
      </c>
      <c r="E2070" s="83" t="b">
        <v>0</v>
      </c>
      <c r="F2070" s="83" t="b">
        <v>0</v>
      </c>
      <c r="G2070" s="83" t="b">
        <v>0</v>
      </c>
    </row>
    <row r="2071" spans="1:7" ht="15">
      <c r="A2071" s="84" t="s">
        <v>2484</v>
      </c>
      <c r="B2071" s="83">
        <v>3</v>
      </c>
      <c r="C2071" s="110">
        <v>0.007331853192335863</v>
      </c>
      <c r="D2071" s="83" t="s">
        <v>2093</v>
      </c>
      <c r="E2071" s="83" t="b">
        <v>0</v>
      </c>
      <c r="F2071" s="83" t="b">
        <v>0</v>
      </c>
      <c r="G2071" s="83" t="b">
        <v>0</v>
      </c>
    </row>
    <row r="2072" spans="1:7" ht="15">
      <c r="A2072" s="84" t="s">
        <v>2356</v>
      </c>
      <c r="B2072" s="83">
        <v>2</v>
      </c>
      <c r="C2072" s="110">
        <v>0.0027827972634408226</v>
      </c>
      <c r="D2072" s="83" t="s">
        <v>2093</v>
      </c>
      <c r="E2072" s="83" t="b">
        <v>0</v>
      </c>
      <c r="F2072" s="83" t="b">
        <v>0</v>
      </c>
      <c r="G2072" s="83" t="b">
        <v>0</v>
      </c>
    </row>
    <row r="2073" spans="1:7" ht="15">
      <c r="A2073" s="84" t="s">
        <v>2141</v>
      </c>
      <c r="B2073" s="83">
        <v>2</v>
      </c>
      <c r="C2073" s="110">
        <v>0.0048879021282239084</v>
      </c>
      <c r="D2073" s="83" t="s">
        <v>2093</v>
      </c>
      <c r="E2073" s="83" t="b">
        <v>1</v>
      </c>
      <c r="F2073" s="83" t="b">
        <v>0</v>
      </c>
      <c r="G2073" s="83" t="b">
        <v>0</v>
      </c>
    </row>
    <row r="2074" spans="1:7" ht="15">
      <c r="A2074" s="84" t="s">
        <v>2185</v>
      </c>
      <c r="B2074" s="83">
        <v>2</v>
      </c>
      <c r="C2074" s="110">
        <v>0.0027827972634408226</v>
      </c>
      <c r="D2074" s="83" t="s">
        <v>2093</v>
      </c>
      <c r="E2074" s="83" t="b">
        <v>0</v>
      </c>
      <c r="F2074" s="83" t="b">
        <v>0</v>
      </c>
      <c r="G2074" s="83" t="b">
        <v>0</v>
      </c>
    </row>
    <row r="2075" spans="1:7" ht="15">
      <c r="A2075" s="84" t="s">
        <v>2147</v>
      </c>
      <c r="B2075" s="83">
        <v>2</v>
      </c>
      <c r="C2075" s="110">
        <v>0.0048879021282239084</v>
      </c>
      <c r="D2075" s="83" t="s">
        <v>2093</v>
      </c>
      <c r="E2075" s="83" t="b">
        <v>0</v>
      </c>
      <c r="F2075" s="83" t="b">
        <v>0</v>
      </c>
      <c r="G2075" s="83" t="b">
        <v>0</v>
      </c>
    </row>
    <row r="2076" spans="1:7" ht="15">
      <c r="A2076" s="84" t="s">
        <v>2580</v>
      </c>
      <c r="B2076" s="83">
        <v>2</v>
      </c>
      <c r="C2076" s="110">
        <v>0.0027827972634408226</v>
      </c>
      <c r="D2076" s="83" t="s">
        <v>2093</v>
      </c>
      <c r="E2076" s="83" t="b">
        <v>0</v>
      </c>
      <c r="F2076" s="83" t="b">
        <v>0</v>
      </c>
      <c r="G2076" s="83" t="b">
        <v>0</v>
      </c>
    </row>
    <row r="2077" spans="1:7" ht="15">
      <c r="A2077" s="84" t="s">
        <v>2248</v>
      </c>
      <c r="B2077" s="83">
        <v>2</v>
      </c>
      <c r="C2077" s="110">
        <v>0.0048879021282239084</v>
      </c>
      <c r="D2077" s="83" t="s">
        <v>2093</v>
      </c>
      <c r="E2077" s="83" t="b">
        <v>0</v>
      </c>
      <c r="F2077" s="83" t="b">
        <v>0</v>
      </c>
      <c r="G2077" s="83" t="b">
        <v>0</v>
      </c>
    </row>
    <row r="2078" spans="1:7" ht="15">
      <c r="A2078" s="84" t="s">
        <v>2486</v>
      </c>
      <c r="B2078" s="83">
        <v>2</v>
      </c>
      <c r="C2078" s="110">
        <v>0.0027827972634408226</v>
      </c>
      <c r="D2078" s="83" t="s">
        <v>2093</v>
      </c>
      <c r="E2078" s="83" t="b">
        <v>0</v>
      </c>
      <c r="F2078" s="83" t="b">
        <v>0</v>
      </c>
      <c r="G2078" s="83" t="b">
        <v>0</v>
      </c>
    </row>
    <row r="2079" spans="1:7" ht="15">
      <c r="A2079" s="84" t="s">
        <v>2630</v>
      </c>
      <c r="B2079" s="83">
        <v>2</v>
      </c>
      <c r="C2079" s="110">
        <v>0.0027827972634408226</v>
      </c>
      <c r="D2079" s="83" t="s">
        <v>2093</v>
      </c>
      <c r="E2079" s="83" t="b">
        <v>0</v>
      </c>
      <c r="F2079" s="83" t="b">
        <v>0</v>
      </c>
      <c r="G2079" s="83" t="b">
        <v>0</v>
      </c>
    </row>
    <row r="2080" spans="1:7" ht="15">
      <c r="A2080" s="84" t="s">
        <v>2866</v>
      </c>
      <c r="B2080" s="83">
        <v>2</v>
      </c>
      <c r="C2080" s="110">
        <v>0.0048879021282239084</v>
      </c>
      <c r="D2080" s="83" t="s">
        <v>2093</v>
      </c>
      <c r="E2080" s="83" t="b">
        <v>0</v>
      </c>
      <c r="F2080" s="83" t="b">
        <v>1</v>
      </c>
      <c r="G2080" s="83" t="b">
        <v>0</v>
      </c>
    </row>
    <row r="2081" spans="1:7" ht="15">
      <c r="A2081" s="84" t="s">
        <v>2132</v>
      </c>
      <c r="B2081" s="83">
        <v>2</v>
      </c>
      <c r="C2081" s="110">
        <v>0.0048879021282239084</v>
      </c>
      <c r="D2081" s="83" t="s">
        <v>2093</v>
      </c>
      <c r="E2081" s="83" t="b">
        <v>0</v>
      </c>
      <c r="F2081" s="83" t="b">
        <v>0</v>
      </c>
      <c r="G2081" s="83" t="b">
        <v>0</v>
      </c>
    </row>
    <row r="2082" spans="1:7" ht="15">
      <c r="A2082" s="84" t="s">
        <v>2872</v>
      </c>
      <c r="B2082" s="83">
        <v>2</v>
      </c>
      <c r="C2082" s="110">
        <v>0.0048879021282239084</v>
      </c>
      <c r="D2082" s="83" t="s">
        <v>2093</v>
      </c>
      <c r="E2082" s="83" t="b">
        <v>0</v>
      </c>
      <c r="F2082" s="83" t="b">
        <v>0</v>
      </c>
      <c r="G2082" s="83" t="b">
        <v>0</v>
      </c>
    </row>
    <row r="2083" spans="1:7" ht="15">
      <c r="A2083" s="84" t="s">
        <v>2220</v>
      </c>
      <c r="B2083" s="83">
        <v>2</v>
      </c>
      <c r="C2083" s="110">
        <v>0.0048879021282239084</v>
      </c>
      <c r="D2083" s="83" t="s">
        <v>2093</v>
      </c>
      <c r="E2083" s="83" t="b">
        <v>0</v>
      </c>
      <c r="F2083" s="83" t="b">
        <v>0</v>
      </c>
      <c r="G2083" s="83" t="b">
        <v>0</v>
      </c>
    </row>
    <row r="2084" spans="1:7" ht="15">
      <c r="A2084" s="84" t="s">
        <v>2149</v>
      </c>
      <c r="B2084" s="83">
        <v>2</v>
      </c>
      <c r="C2084" s="110">
        <v>0.0048879021282239084</v>
      </c>
      <c r="D2084" s="83" t="s">
        <v>2093</v>
      </c>
      <c r="E2084" s="83" t="b">
        <v>0</v>
      </c>
      <c r="F2084" s="83" t="b">
        <v>0</v>
      </c>
      <c r="G2084" s="83" t="b">
        <v>0</v>
      </c>
    </row>
    <row r="2085" spans="1:7" ht="15">
      <c r="A2085" s="84" t="s">
        <v>2874</v>
      </c>
      <c r="B2085" s="83">
        <v>2</v>
      </c>
      <c r="C2085" s="110">
        <v>0.0048879021282239084</v>
      </c>
      <c r="D2085" s="83" t="s">
        <v>2093</v>
      </c>
      <c r="E2085" s="83" t="b">
        <v>1</v>
      </c>
      <c r="F2085" s="83" t="b">
        <v>0</v>
      </c>
      <c r="G2085" s="83" t="b">
        <v>0</v>
      </c>
    </row>
    <row r="2086" spans="1:7" ht="15">
      <c r="A2086" s="84" t="s">
        <v>2878</v>
      </c>
      <c r="B2086" s="83">
        <v>2</v>
      </c>
      <c r="C2086" s="110">
        <v>0.0048879021282239084</v>
      </c>
      <c r="D2086" s="83" t="s">
        <v>2093</v>
      </c>
      <c r="E2086" s="83" t="b">
        <v>0</v>
      </c>
      <c r="F2086" s="83" t="b">
        <v>0</v>
      </c>
      <c r="G2086" s="83" t="b">
        <v>0</v>
      </c>
    </row>
    <row r="2087" spans="1:7" ht="15">
      <c r="A2087" s="84" t="s">
        <v>2568</v>
      </c>
      <c r="B2087" s="83">
        <v>2</v>
      </c>
      <c r="C2087" s="110">
        <v>0.0048879021282239084</v>
      </c>
      <c r="D2087" s="83" t="s">
        <v>2093</v>
      </c>
      <c r="E2087" s="83" t="b">
        <v>0</v>
      </c>
      <c r="F2087" s="83" t="b">
        <v>0</v>
      </c>
      <c r="G2087" s="83" t="b">
        <v>0</v>
      </c>
    </row>
    <row r="2088" spans="1:7" ht="15">
      <c r="A2088" s="84" t="s">
        <v>2650</v>
      </c>
      <c r="B2088" s="83">
        <v>2</v>
      </c>
      <c r="C2088" s="110">
        <v>0.04681647160847501</v>
      </c>
      <c r="D2088" s="83" t="s">
        <v>2094</v>
      </c>
      <c r="E2088" s="83" t="b">
        <v>0</v>
      </c>
      <c r="F2088" s="83" t="b">
        <v>0</v>
      </c>
      <c r="G2088" s="83" t="b">
        <v>0</v>
      </c>
    </row>
    <row r="2089" spans="1:7" ht="15">
      <c r="A2089" s="84" t="s">
        <v>2381</v>
      </c>
      <c r="B2089" s="83">
        <v>2</v>
      </c>
      <c r="C2089" s="110">
        <v>0.04681647160847501</v>
      </c>
      <c r="D2089" s="83" t="s">
        <v>2094</v>
      </c>
      <c r="E2089" s="83" t="b">
        <v>0</v>
      </c>
      <c r="F2089" s="83" t="b">
        <v>0</v>
      </c>
      <c r="G2089" s="83" t="b">
        <v>0</v>
      </c>
    </row>
    <row r="2090" spans="1:7" ht="15">
      <c r="A2090" s="84" t="s">
        <v>2130</v>
      </c>
      <c r="B2090" s="83">
        <v>2</v>
      </c>
      <c r="C2090" s="110">
        <v>0.04681647160847501</v>
      </c>
      <c r="D2090" s="83" t="s">
        <v>2094</v>
      </c>
      <c r="E2090" s="83" t="b">
        <v>0</v>
      </c>
      <c r="F2090" s="83" t="b">
        <v>0</v>
      </c>
      <c r="G2090" s="83" t="b">
        <v>0</v>
      </c>
    </row>
    <row r="2091" spans="1:7" ht="15">
      <c r="A2091" s="84" t="s">
        <v>2182</v>
      </c>
      <c r="B2091" s="83">
        <v>2</v>
      </c>
      <c r="C2091" s="110">
        <v>0.04681647160847501</v>
      </c>
      <c r="D2091" s="83" t="s">
        <v>2094</v>
      </c>
      <c r="E2091" s="83" t="b">
        <v>0</v>
      </c>
      <c r="F2091" s="83" t="b">
        <v>0</v>
      </c>
      <c r="G2091" s="83" t="b">
        <v>0</v>
      </c>
    </row>
    <row r="2092" spans="1:7" ht="15">
      <c r="A2092" s="84" t="s">
        <v>2211</v>
      </c>
      <c r="B2092" s="83">
        <v>2</v>
      </c>
      <c r="C2092" s="110">
        <v>0.04681647160847501</v>
      </c>
      <c r="D2092" s="83" t="s">
        <v>2094</v>
      </c>
      <c r="E2092" s="83" t="b">
        <v>0</v>
      </c>
      <c r="F2092" s="83" t="b">
        <v>0</v>
      </c>
      <c r="G2092" s="83" t="b">
        <v>0</v>
      </c>
    </row>
    <row r="2093" spans="1:7" ht="15">
      <c r="A2093" s="84" t="s">
        <v>2133</v>
      </c>
      <c r="B2093" s="83">
        <v>4</v>
      </c>
      <c r="C2093" s="110">
        <v>0.014357038964156505</v>
      </c>
      <c r="D2093" s="83" t="s">
        <v>2095</v>
      </c>
      <c r="E2093" s="83" t="b">
        <v>0</v>
      </c>
      <c r="F2093" s="83" t="b">
        <v>0</v>
      </c>
      <c r="G2093" s="83" t="b">
        <v>0</v>
      </c>
    </row>
    <row r="2094" spans="1:7" ht="15">
      <c r="A2094" s="84" t="s">
        <v>2408</v>
      </c>
      <c r="B2094" s="83">
        <v>4</v>
      </c>
      <c r="C2094" s="110">
        <v>0.022719244955772166</v>
      </c>
      <c r="D2094" s="83" t="s">
        <v>2096</v>
      </c>
      <c r="E2094" s="83" t="b">
        <v>0</v>
      </c>
      <c r="F2094" s="83" t="b">
        <v>0</v>
      </c>
      <c r="G2094" s="83" t="b">
        <v>0</v>
      </c>
    </row>
    <row r="2095" spans="1:7" ht="15">
      <c r="A2095" s="84" t="s">
        <v>2129</v>
      </c>
      <c r="B2095" s="83">
        <v>3</v>
      </c>
      <c r="C2095" s="110">
        <v>0.008519716858414562</v>
      </c>
      <c r="D2095" s="83" t="s">
        <v>2096</v>
      </c>
      <c r="E2095" s="83" t="b">
        <v>0</v>
      </c>
      <c r="F2095" s="83" t="b">
        <v>0</v>
      </c>
      <c r="G2095" s="83" t="b">
        <v>0</v>
      </c>
    </row>
    <row r="2096" spans="1:7" ht="15">
      <c r="A2096" s="84" t="s">
        <v>2261</v>
      </c>
      <c r="B2096" s="83">
        <v>3</v>
      </c>
      <c r="C2096" s="110">
        <v>0.017039433716829123</v>
      </c>
      <c r="D2096" s="83" t="s">
        <v>2096</v>
      </c>
      <c r="E2096" s="83" t="b">
        <v>1</v>
      </c>
      <c r="F2096" s="83" t="b">
        <v>0</v>
      </c>
      <c r="G2096" s="83" t="b">
        <v>0</v>
      </c>
    </row>
    <row r="2097" spans="1:7" ht="15">
      <c r="A2097" s="84" t="s">
        <v>2336</v>
      </c>
      <c r="B2097" s="83">
        <v>3</v>
      </c>
      <c r="C2097" s="110">
        <v>0.008519716858414562</v>
      </c>
      <c r="D2097" s="83" t="s">
        <v>2096</v>
      </c>
      <c r="E2097" s="83" t="b">
        <v>0</v>
      </c>
      <c r="F2097" s="83" t="b">
        <v>0</v>
      </c>
      <c r="G2097" s="83" t="b">
        <v>0</v>
      </c>
    </row>
    <row r="2098" spans="1:7" ht="15">
      <c r="A2098" s="84" t="s">
        <v>2925</v>
      </c>
      <c r="B2098" s="83">
        <v>2</v>
      </c>
      <c r="C2098" s="110">
        <v>0.011359622477886083</v>
      </c>
      <c r="D2098" s="83" t="s">
        <v>2096</v>
      </c>
      <c r="E2098" s="83" t="b">
        <v>0</v>
      </c>
      <c r="F2098" s="83" t="b">
        <v>0</v>
      </c>
      <c r="G2098" s="83" t="b">
        <v>0</v>
      </c>
    </row>
    <row r="2099" spans="1:7" ht="15">
      <c r="A2099" s="84" t="s">
        <v>2927</v>
      </c>
      <c r="B2099" s="83">
        <v>2</v>
      </c>
      <c r="C2099" s="110">
        <v>0.011359622477886083</v>
      </c>
      <c r="D2099" s="83" t="s">
        <v>2096</v>
      </c>
      <c r="E2099" s="83" t="b">
        <v>1</v>
      </c>
      <c r="F2099" s="83" t="b">
        <v>0</v>
      </c>
      <c r="G2099" s="83" t="b">
        <v>0</v>
      </c>
    </row>
    <row r="2100" spans="1:7" ht="15">
      <c r="A2100" s="84" t="s">
        <v>2390</v>
      </c>
      <c r="B2100" s="83">
        <v>2</v>
      </c>
      <c r="C2100" s="110">
        <v>0.011359622477886083</v>
      </c>
      <c r="D2100" s="83" t="s">
        <v>2096</v>
      </c>
      <c r="E2100" s="83" t="b">
        <v>0</v>
      </c>
      <c r="F2100" s="83" t="b">
        <v>0</v>
      </c>
      <c r="G2100" s="83" t="b">
        <v>0</v>
      </c>
    </row>
    <row r="2101" spans="1:7" ht="15">
      <c r="A2101" s="84" t="s">
        <v>2131</v>
      </c>
      <c r="B2101" s="83">
        <v>2</v>
      </c>
      <c r="C2101" s="110">
        <v>0.0056798112389430415</v>
      </c>
      <c r="D2101" s="83" t="s">
        <v>2096</v>
      </c>
      <c r="E2101" s="83" t="b">
        <v>1</v>
      </c>
      <c r="F2101" s="83" t="b">
        <v>0</v>
      </c>
      <c r="G2101" s="83" t="b">
        <v>0</v>
      </c>
    </row>
    <row r="2102" spans="1:7" ht="15">
      <c r="A2102" s="84" t="s">
        <v>2297</v>
      </c>
      <c r="B2102" s="83">
        <v>2</v>
      </c>
      <c r="C2102" s="110">
        <v>0.011359622477886083</v>
      </c>
      <c r="D2102" s="83" t="s">
        <v>2096</v>
      </c>
      <c r="E2102" s="83" t="b">
        <v>0</v>
      </c>
      <c r="F2102" s="83" t="b">
        <v>0</v>
      </c>
      <c r="G2102" s="83" t="b">
        <v>0</v>
      </c>
    </row>
    <row r="2103" spans="1:7" ht="15">
      <c r="A2103" s="84" t="s">
        <v>2269</v>
      </c>
      <c r="B2103" s="83">
        <v>2</v>
      </c>
      <c r="C2103" s="110">
        <v>0.011359622477886083</v>
      </c>
      <c r="D2103" s="83" t="s">
        <v>2096</v>
      </c>
      <c r="E2103" s="83" t="b">
        <v>0</v>
      </c>
      <c r="F2103" s="83" t="b">
        <v>0</v>
      </c>
      <c r="G2103" s="83" t="b">
        <v>0</v>
      </c>
    </row>
    <row r="2104" spans="1:7" ht="15">
      <c r="A2104" s="84" t="s">
        <v>2363</v>
      </c>
      <c r="B2104" s="83">
        <v>2</v>
      </c>
      <c r="C2104" s="110">
        <v>0.011359622477886083</v>
      </c>
      <c r="D2104" s="83" t="s">
        <v>2096</v>
      </c>
      <c r="E2104" s="83" t="b">
        <v>0</v>
      </c>
      <c r="F2104" s="83" t="b">
        <v>0</v>
      </c>
      <c r="G2104" s="83" t="b">
        <v>0</v>
      </c>
    </row>
    <row r="2105" spans="1:7" ht="15">
      <c r="A2105" s="84" t="s">
        <v>2136</v>
      </c>
      <c r="B2105" s="83">
        <v>2</v>
      </c>
      <c r="C2105" s="110">
        <v>0.0056798112389430415</v>
      </c>
      <c r="D2105" s="83" t="s">
        <v>2096</v>
      </c>
      <c r="E2105" s="83" t="b">
        <v>0</v>
      </c>
      <c r="F2105" s="83" t="b">
        <v>1</v>
      </c>
      <c r="G2105" s="83" t="b">
        <v>0</v>
      </c>
    </row>
    <row r="2106" spans="1:7" ht="15">
      <c r="A2106" s="84" t="s">
        <v>3001</v>
      </c>
      <c r="B2106" s="83">
        <v>2</v>
      </c>
      <c r="C2106" s="110">
        <v>0.0056798112389430415</v>
      </c>
      <c r="D2106" s="83" t="s">
        <v>2096</v>
      </c>
      <c r="E2106" s="83" t="b">
        <v>0</v>
      </c>
      <c r="F2106" s="83" t="b">
        <v>0</v>
      </c>
      <c r="G2106" s="83" t="b">
        <v>0</v>
      </c>
    </row>
    <row r="2107" spans="1:7" ht="15">
      <c r="A2107" s="84" t="s">
        <v>2450</v>
      </c>
      <c r="B2107" s="83">
        <v>2</v>
      </c>
      <c r="C2107" s="110">
        <v>0.011359622477886083</v>
      </c>
      <c r="D2107" s="83" t="s">
        <v>2096</v>
      </c>
      <c r="E2107" s="83" t="b">
        <v>0</v>
      </c>
      <c r="F2107" s="83" t="b">
        <v>0</v>
      </c>
      <c r="G2107" s="83" t="b">
        <v>0</v>
      </c>
    </row>
    <row r="2108" spans="1:7" ht="15">
      <c r="A2108" s="84" t="s">
        <v>3000</v>
      </c>
      <c r="B2108" s="83">
        <v>2</v>
      </c>
      <c r="C2108" s="110">
        <v>0.011359622477886083</v>
      </c>
      <c r="D2108" s="83" t="s">
        <v>2096</v>
      </c>
      <c r="E2108" s="83" t="b">
        <v>0</v>
      </c>
      <c r="F2108" s="83" t="b">
        <v>0</v>
      </c>
      <c r="G2108" s="83" t="b">
        <v>0</v>
      </c>
    </row>
    <row r="2109" spans="1:7" ht="15">
      <c r="A2109" s="84" t="s">
        <v>2227</v>
      </c>
      <c r="B2109" s="83">
        <v>2</v>
      </c>
      <c r="C2109" s="110">
        <v>0.022011407381960155</v>
      </c>
      <c r="D2109" s="83" t="s">
        <v>2097</v>
      </c>
      <c r="E2109" s="83" t="b">
        <v>0</v>
      </c>
      <c r="F2109" s="83" t="b">
        <v>0</v>
      </c>
      <c r="G2109" s="83" t="b">
        <v>0</v>
      </c>
    </row>
    <row r="2110" spans="1:7" ht="15">
      <c r="A2110" s="84" t="s">
        <v>2141</v>
      </c>
      <c r="B2110" s="83">
        <v>4</v>
      </c>
      <c r="C2110" s="110">
        <v>0.021124911976419733</v>
      </c>
      <c r="D2110" s="83" t="s">
        <v>2098</v>
      </c>
      <c r="E2110" s="83" t="b">
        <v>1</v>
      </c>
      <c r="F2110" s="83" t="b">
        <v>0</v>
      </c>
      <c r="G2110" s="83" t="b">
        <v>0</v>
      </c>
    </row>
    <row r="2111" spans="1:7" ht="15">
      <c r="A2111" s="84" t="s">
        <v>2347</v>
      </c>
      <c r="B2111" s="83">
        <v>3</v>
      </c>
      <c r="C2111" s="110">
        <v>0.0158436839823148</v>
      </c>
      <c r="D2111" s="83" t="s">
        <v>2098</v>
      </c>
      <c r="E2111" s="83" t="b">
        <v>0</v>
      </c>
      <c r="F2111" s="83" t="b">
        <v>0</v>
      </c>
      <c r="G2111" s="83" t="b">
        <v>0</v>
      </c>
    </row>
    <row r="2112" spans="1:7" ht="15">
      <c r="A2112" s="84" t="s">
        <v>2137</v>
      </c>
      <c r="B2112" s="83">
        <v>2</v>
      </c>
      <c r="C2112" s="110">
        <v>0.01674109665683026</v>
      </c>
      <c r="D2112" s="83" t="s">
        <v>2098</v>
      </c>
      <c r="E2112" s="83" t="b">
        <v>0</v>
      </c>
      <c r="F2112" s="83" t="b">
        <v>0</v>
      </c>
      <c r="G2112" s="83" t="b">
        <v>0</v>
      </c>
    </row>
    <row r="2113" spans="1:7" ht="15">
      <c r="A2113" s="84" t="s">
        <v>2516</v>
      </c>
      <c r="B2113" s="83">
        <v>2</v>
      </c>
      <c r="C2113" s="110">
        <v>0.027303552645040127</v>
      </c>
      <c r="D2113" s="83" t="s">
        <v>2098</v>
      </c>
      <c r="E2113" s="83" t="b">
        <v>0</v>
      </c>
      <c r="F2113" s="83" t="b">
        <v>0</v>
      </c>
      <c r="G2113" s="83" t="b">
        <v>0</v>
      </c>
    </row>
    <row r="2114" spans="1:7" ht="15">
      <c r="A2114" s="84" t="s">
        <v>2188</v>
      </c>
      <c r="B2114" s="83">
        <v>2</v>
      </c>
      <c r="C2114" s="110">
        <v>0.027303552645040127</v>
      </c>
      <c r="D2114" s="83" t="s">
        <v>2098</v>
      </c>
      <c r="E2114" s="83" t="b">
        <v>1</v>
      </c>
      <c r="F2114" s="83" t="b">
        <v>0</v>
      </c>
      <c r="G2114" s="83" t="b">
        <v>0</v>
      </c>
    </row>
    <row r="2115" spans="1:7" ht="15">
      <c r="A2115" s="84" t="s">
        <v>2478</v>
      </c>
      <c r="B2115" s="83">
        <v>2</v>
      </c>
      <c r="C2115" s="110">
        <v>0.01674109665683026</v>
      </c>
      <c r="D2115" s="83" t="s">
        <v>2098</v>
      </c>
      <c r="E2115" s="83" t="b">
        <v>0</v>
      </c>
      <c r="F2115" s="83" t="b">
        <v>0</v>
      </c>
      <c r="G2115" s="83" t="b">
        <v>0</v>
      </c>
    </row>
    <row r="2116" spans="1:7" ht="15">
      <c r="A2116" s="84" t="s">
        <v>3008</v>
      </c>
      <c r="B2116" s="83">
        <v>2</v>
      </c>
      <c r="C2116" s="110">
        <v>0.027303552645040127</v>
      </c>
      <c r="D2116" s="83" t="s">
        <v>2098</v>
      </c>
      <c r="E2116" s="83" t="b">
        <v>0</v>
      </c>
      <c r="F2116" s="83" t="b">
        <v>0</v>
      </c>
      <c r="G2116" s="83" t="b">
        <v>0</v>
      </c>
    </row>
    <row r="2117" spans="1:7" ht="15">
      <c r="A2117" s="84" t="s">
        <v>2226</v>
      </c>
      <c r="B2117" s="83">
        <v>3</v>
      </c>
      <c r="C2117" s="110">
        <v>0.026024795711981585</v>
      </c>
      <c r="D2117" s="83" t="s">
        <v>2099</v>
      </c>
      <c r="E2117" s="83" t="b">
        <v>0</v>
      </c>
      <c r="F2117" s="83" t="b">
        <v>0</v>
      </c>
      <c r="G2117" s="83" t="b">
        <v>0</v>
      </c>
    </row>
    <row r="2118" spans="1:7" ht="15">
      <c r="A2118" s="84" t="s">
        <v>2150</v>
      </c>
      <c r="B2118" s="83">
        <v>2</v>
      </c>
      <c r="C2118" s="110">
        <v>0.017349863807987725</v>
      </c>
      <c r="D2118" s="83" t="s">
        <v>2099</v>
      </c>
      <c r="E2118" s="83" t="b">
        <v>0</v>
      </c>
      <c r="F2118" s="83" t="b">
        <v>0</v>
      </c>
      <c r="G2118" s="83" t="b">
        <v>0</v>
      </c>
    </row>
    <row r="2119" spans="1:7" ht="15">
      <c r="A2119" s="84" t="s">
        <v>2129</v>
      </c>
      <c r="B2119" s="83">
        <v>2</v>
      </c>
      <c r="C2119" s="110">
        <v>0.017349863807987725</v>
      </c>
      <c r="D2119" s="83" t="s">
        <v>2099</v>
      </c>
      <c r="E2119" s="83" t="b">
        <v>0</v>
      </c>
      <c r="F2119" s="83" t="b">
        <v>0</v>
      </c>
      <c r="G2119" s="83" t="b">
        <v>0</v>
      </c>
    </row>
    <row r="2120" spans="1:7" ht="15">
      <c r="A2120" s="84" t="s">
        <v>2438</v>
      </c>
      <c r="B2120" s="83">
        <v>2</v>
      </c>
      <c r="C2120" s="110">
        <v>0.017349863807987725</v>
      </c>
      <c r="D2120" s="83" t="s">
        <v>2099</v>
      </c>
      <c r="E2120" s="83" t="b">
        <v>0</v>
      </c>
      <c r="F2120" s="83" t="b">
        <v>0</v>
      </c>
      <c r="G2120" s="83" t="b">
        <v>0</v>
      </c>
    </row>
    <row r="2121" spans="1:7" ht="15">
      <c r="A2121" s="84" t="s">
        <v>2191</v>
      </c>
      <c r="B2121" s="83">
        <v>2</v>
      </c>
      <c r="C2121" s="110">
        <v>0.017349863807987725</v>
      </c>
      <c r="D2121" s="83" t="s">
        <v>2099</v>
      </c>
      <c r="E2121" s="83" t="b">
        <v>0</v>
      </c>
      <c r="F2121" s="83" t="b">
        <v>0</v>
      </c>
      <c r="G2121" s="83" t="b">
        <v>0</v>
      </c>
    </row>
    <row r="2122" spans="1:7" ht="15">
      <c r="A2122" s="84" t="s">
        <v>2265</v>
      </c>
      <c r="B2122" s="83">
        <v>2</v>
      </c>
      <c r="C2122" s="110">
        <v>0.017349863807987725</v>
      </c>
      <c r="D2122" s="83" t="s">
        <v>2099</v>
      </c>
      <c r="E2122" s="83" t="b">
        <v>0</v>
      </c>
      <c r="F2122" s="83" t="b">
        <v>0</v>
      </c>
      <c r="G2122" s="83" t="b">
        <v>0</v>
      </c>
    </row>
    <row r="2123" spans="1:7" ht="15">
      <c r="A2123" s="84" t="s">
        <v>2496</v>
      </c>
      <c r="B2123" s="83">
        <v>2</v>
      </c>
      <c r="C2123" s="110">
        <v>0.017349863807987725</v>
      </c>
      <c r="D2123" s="83" t="s">
        <v>2099</v>
      </c>
      <c r="E2123" s="83" t="b">
        <v>0</v>
      </c>
      <c r="F2123" s="83" t="b">
        <v>0</v>
      </c>
      <c r="G2123" s="83" t="b">
        <v>0</v>
      </c>
    </row>
    <row r="2124" spans="1:7" ht="15">
      <c r="A2124" s="84" t="s">
        <v>2134</v>
      </c>
      <c r="B2124" s="83">
        <v>2</v>
      </c>
      <c r="C2124" s="110">
        <v>0.028296409104859768</v>
      </c>
      <c r="D2124" s="83" t="s">
        <v>2099</v>
      </c>
      <c r="E2124" s="83" t="b">
        <v>0</v>
      </c>
      <c r="F2124" s="83" t="b">
        <v>0</v>
      </c>
      <c r="G2124" s="83" t="b">
        <v>0</v>
      </c>
    </row>
    <row r="2125" spans="1:7" ht="15">
      <c r="A2125" s="84" t="s">
        <v>2269</v>
      </c>
      <c r="B2125" s="83">
        <v>3</v>
      </c>
      <c r="C2125" s="110">
        <v>0.0134789550297305</v>
      </c>
      <c r="D2125" s="83" t="s">
        <v>2100</v>
      </c>
      <c r="E2125" s="83" t="b">
        <v>0</v>
      </c>
      <c r="F2125" s="83" t="b">
        <v>0</v>
      </c>
      <c r="G2125" s="83" t="b">
        <v>0</v>
      </c>
    </row>
    <row r="2126" spans="1:7" ht="15">
      <c r="A2126" s="84" t="s">
        <v>2299</v>
      </c>
      <c r="B2126" s="83">
        <v>3</v>
      </c>
      <c r="C2126" s="110">
        <v>0.0134789550297305</v>
      </c>
      <c r="D2126" s="83" t="s">
        <v>2100</v>
      </c>
      <c r="E2126" s="83" t="b">
        <v>0</v>
      </c>
      <c r="F2126" s="83" t="b">
        <v>0</v>
      </c>
      <c r="G2126" s="83" t="b">
        <v>0</v>
      </c>
    </row>
    <row r="2127" spans="1:7" ht="15">
      <c r="A2127" s="84" t="s">
        <v>2270</v>
      </c>
      <c r="B2127" s="83">
        <v>3</v>
      </c>
      <c r="C2127" s="110">
        <v>0.0134789550297305</v>
      </c>
      <c r="D2127" s="83" t="s">
        <v>2100</v>
      </c>
      <c r="E2127" s="83" t="b">
        <v>0</v>
      </c>
      <c r="F2127" s="83" t="b">
        <v>0</v>
      </c>
      <c r="G2127" s="83" t="b">
        <v>0</v>
      </c>
    </row>
    <row r="2128" spans="1:7" ht="15">
      <c r="A2128" s="84" t="s">
        <v>2172</v>
      </c>
      <c r="B2128" s="83">
        <v>3</v>
      </c>
      <c r="C2128" s="110">
        <v>0.026957910059461</v>
      </c>
      <c r="D2128" s="83" t="s">
        <v>2100</v>
      </c>
      <c r="E2128" s="83" t="b">
        <v>0</v>
      </c>
      <c r="F2128" s="83" t="b">
        <v>0</v>
      </c>
      <c r="G2128" s="83" t="b">
        <v>0</v>
      </c>
    </row>
    <row r="2129" spans="1:7" ht="15">
      <c r="A2129" s="84" t="s">
        <v>2551</v>
      </c>
      <c r="B2129" s="83">
        <v>2</v>
      </c>
      <c r="C2129" s="110">
        <v>0.017971940039640668</v>
      </c>
      <c r="D2129" s="83" t="s">
        <v>2100</v>
      </c>
      <c r="E2129" s="83" t="b">
        <v>0</v>
      </c>
      <c r="F2129" s="83" t="b">
        <v>0</v>
      </c>
      <c r="G2129" s="83" t="b">
        <v>0</v>
      </c>
    </row>
    <row r="2130" spans="1:7" ht="15">
      <c r="A2130" s="84" t="s">
        <v>2363</v>
      </c>
      <c r="B2130" s="83">
        <v>2</v>
      </c>
      <c r="C2130" s="110">
        <v>0.008985970019820334</v>
      </c>
      <c r="D2130" s="83" t="s">
        <v>2100</v>
      </c>
      <c r="E2130" s="83" t="b">
        <v>0</v>
      </c>
      <c r="F2130" s="83" t="b">
        <v>0</v>
      </c>
      <c r="G2130" s="83" t="b">
        <v>0</v>
      </c>
    </row>
    <row r="2131" spans="1:7" ht="15">
      <c r="A2131" s="84" t="s">
        <v>2131</v>
      </c>
      <c r="B2131" s="83">
        <v>2</v>
      </c>
      <c r="C2131" s="110">
        <v>0.008985970019820334</v>
      </c>
      <c r="D2131" s="83" t="s">
        <v>2100</v>
      </c>
      <c r="E2131" s="83" t="b">
        <v>1</v>
      </c>
      <c r="F2131" s="83" t="b">
        <v>0</v>
      </c>
      <c r="G2131" s="83" t="b">
        <v>0</v>
      </c>
    </row>
    <row r="2132" spans="1:7" ht="15">
      <c r="A2132" s="84" t="s">
        <v>2365</v>
      </c>
      <c r="B2132" s="83">
        <v>2</v>
      </c>
      <c r="C2132" s="110">
        <v>0.008985970019820334</v>
      </c>
      <c r="D2132" s="83" t="s">
        <v>2100</v>
      </c>
      <c r="E2132" s="83" t="b">
        <v>0</v>
      </c>
      <c r="F2132" s="83" t="b">
        <v>0</v>
      </c>
      <c r="G2132" s="83" t="b">
        <v>0</v>
      </c>
    </row>
    <row r="2133" spans="1:7" ht="15">
      <c r="A2133" s="84" t="s">
        <v>2307</v>
      </c>
      <c r="B2133" s="83">
        <v>2</v>
      </c>
      <c r="C2133" s="110">
        <v>0.008985970019820334</v>
      </c>
      <c r="D2133" s="83" t="s">
        <v>2100</v>
      </c>
      <c r="E2133" s="83" t="b">
        <v>0</v>
      </c>
      <c r="F2133" s="83" t="b">
        <v>0</v>
      </c>
      <c r="G2133" s="83" t="b">
        <v>0</v>
      </c>
    </row>
    <row r="2134" spans="1:7" ht="15">
      <c r="A2134" s="84" t="s">
        <v>2246</v>
      </c>
      <c r="B2134" s="83">
        <v>2</v>
      </c>
      <c r="C2134" s="110">
        <v>0.008985970019820334</v>
      </c>
      <c r="D2134" s="83" t="s">
        <v>2100</v>
      </c>
      <c r="E2134" s="83" t="b">
        <v>0</v>
      </c>
      <c r="F2134" s="83" t="b">
        <v>0</v>
      </c>
      <c r="G2134" s="83" t="b">
        <v>0</v>
      </c>
    </row>
    <row r="2135" spans="1:7" ht="15">
      <c r="A2135" s="84" t="s">
        <v>2494</v>
      </c>
      <c r="B2135" s="83">
        <v>4</v>
      </c>
      <c r="C2135" s="110">
        <v>0.03469972761597545</v>
      </c>
      <c r="D2135" s="83" t="s">
        <v>2102</v>
      </c>
      <c r="E2135" s="83" t="b">
        <v>0</v>
      </c>
      <c r="F2135" s="83" t="b">
        <v>1</v>
      </c>
      <c r="G2135" s="83" t="b">
        <v>0</v>
      </c>
    </row>
    <row r="2136" spans="1:7" ht="15">
      <c r="A2136" s="84" t="s">
        <v>2130</v>
      </c>
      <c r="B2136" s="83">
        <v>4</v>
      </c>
      <c r="C2136" s="110">
        <v>0.03469972761597545</v>
      </c>
      <c r="D2136" s="83" t="s">
        <v>2102</v>
      </c>
      <c r="E2136" s="83" t="b">
        <v>0</v>
      </c>
      <c r="F2136" s="83" t="b">
        <v>0</v>
      </c>
      <c r="G2136" s="83" t="b">
        <v>0</v>
      </c>
    </row>
    <row r="2137" spans="1:7" ht="15">
      <c r="A2137" s="84" t="s">
        <v>2645</v>
      </c>
      <c r="B2137" s="83">
        <v>2</v>
      </c>
      <c r="C2137" s="110">
        <v>0.017349863807987725</v>
      </c>
      <c r="D2137" s="83" t="s">
        <v>2102</v>
      </c>
      <c r="E2137" s="83" t="b">
        <v>0</v>
      </c>
      <c r="F2137" s="83" t="b">
        <v>0</v>
      </c>
      <c r="G2137" s="83" t="b">
        <v>0</v>
      </c>
    </row>
    <row r="2138" spans="1:7" ht="15">
      <c r="A2138" s="84" t="s">
        <v>2208</v>
      </c>
      <c r="B2138" s="83">
        <v>2</v>
      </c>
      <c r="C2138" s="110">
        <v>0.017349863807987725</v>
      </c>
      <c r="D2138" s="83" t="s">
        <v>2102</v>
      </c>
      <c r="E2138" s="83" t="b">
        <v>0</v>
      </c>
      <c r="F2138" s="83" t="b">
        <v>0</v>
      </c>
      <c r="G2138" s="83" t="b">
        <v>0</v>
      </c>
    </row>
    <row r="2139" spans="1:7" ht="15">
      <c r="A2139" s="84" t="s">
        <v>2228</v>
      </c>
      <c r="B2139" s="83">
        <v>2</v>
      </c>
      <c r="C2139" s="110">
        <v>0.017349863807987725</v>
      </c>
      <c r="D2139" s="83" t="s">
        <v>2102</v>
      </c>
      <c r="E2139" s="83" t="b">
        <v>0</v>
      </c>
      <c r="F2139" s="83" t="b">
        <v>0</v>
      </c>
      <c r="G2139" s="83" t="b">
        <v>0</v>
      </c>
    </row>
    <row r="2140" spans="1:7" ht="15">
      <c r="A2140" s="84" t="s">
        <v>2129</v>
      </c>
      <c r="B2140" s="83">
        <v>2</v>
      </c>
      <c r="C2140" s="110">
        <v>0.017349863807987725</v>
      </c>
      <c r="D2140" s="83" t="s">
        <v>2102</v>
      </c>
      <c r="E2140" s="83" t="b">
        <v>0</v>
      </c>
      <c r="F2140" s="83" t="b">
        <v>0</v>
      </c>
      <c r="G2140" s="83" t="b">
        <v>0</v>
      </c>
    </row>
    <row r="2141" spans="1:7" ht="15">
      <c r="A2141" s="84" t="s">
        <v>2147</v>
      </c>
      <c r="B2141" s="83">
        <v>2</v>
      </c>
      <c r="C2141" s="110">
        <v>0.10034333188799373</v>
      </c>
      <c r="D2141" s="83" t="s">
        <v>2104</v>
      </c>
      <c r="E2141" s="83" t="b">
        <v>0</v>
      </c>
      <c r="F2141" s="83" t="b">
        <v>0</v>
      </c>
      <c r="G21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19C0-B45F-4290-AFDB-B6670565C0D3}">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3179</v>
      </c>
      <c r="B1" s="13" t="s">
        <v>3180</v>
      </c>
      <c r="C1" s="13" t="s">
        <v>3170</v>
      </c>
      <c r="D1" s="13" t="s">
        <v>3174</v>
      </c>
      <c r="E1" s="13" t="s">
        <v>3181</v>
      </c>
      <c r="F1" s="13" t="s">
        <v>144</v>
      </c>
      <c r="G1" s="13" t="s">
        <v>3182</v>
      </c>
      <c r="H1" s="13" t="s">
        <v>3183</v>
      </c>
      <c r="I1" s="13" t="s">
        <v>3184</v>
      </c>
      <c r="J1" s="13" t="s">
        <v>3185</v>
      </c>
      <c r="K1" s="13" t="s">
        <v>3186</v>
      </c>
      <c r="L1" s="13" t="s">
        <v>3187</v>
      </c>
    </row>
    <row r="2" spans="1:12" ht="15">
      <c r="A2" s="83" t="s">
        <v>2138</v>
      </c>
      <c r="B2" s="83" t="s">
        <v>2138</v>
      </c>
      <c r="C2" s="83">
        <v>24</v>
      </c>
      <c r="D2" s="110">
        <v>0.008451262282971385</v>
      </c>
      <c r="E2" s="110">
        <v>2.1314178350447017</v>
      </c>
      <c r="F2" s="83" t="s">
        <v>3175</v>
      </c>
      <c r="G2" s="83" t="b">
        <v>0</v>
      </c>
      <c r="H2" s="83" t="b">
        <v>0</v>
      </c>
      <c r="I2" s="83" t="b">
        <v>0</v>
      </c>
      <c r="J2" s="83" t="b">
        <v>0</v>
      </c>
      <c r="K2" s="83" t="b">
        <v>0</v>
      </c>
      <c r="L2" s="83" t="b">
        <v>0</v>
      </c>
    </row>
    <row r="3" spans="1:12" ht="15">
      <c r="A3" s="84" t="s">
        <v>2130</v>
      </c>
      <c r="B3" s="83" t="s">
        <v>2182</v>
      </c>
      <c r="C3" s="83">
        <v>9</v>
      </c>
      <c r="D3" s="110">
        <v>0.0023382816424777895</v>
      </c>
      <c r="E3" s="110">
        <v>1.6646419755561255</v>
      </c>
      <c r="F3" s="83" t="s">
        <v>3175</v>
      </c>
      <c r="G3" s="83" t="b">
        <v>0</v>
      </c>
      <c r="H3" s="83" t="b">
        <v>0</v>
      </c>
      <c r="I3" s="83" t="b">
        <v>0</v>
      </c>
      <c r="J3" s="83" t="b">
        <v>0</v>
      </c>
      <c r="K3" s="83" t="b">
        <v>0</v>
      </c>
      <c r="L3" s="83" t="b">
        <v>0</v>
      </c>
    </row>
    <row r="4" spans="1:12" ht="15">
      <c r="A4" s="84" t="s">
        <v>2130</v>
      </c>
      <c r="B4" s="83" t="s">
        <v>2155</v>
      </c>
      <c r="C4" s="83">
        <v>8</v>
      </c>
      <c r="D4" s="110">
        <v>0.002136312879159079</v>
      </c>
      <c r="E4" s="110">
        <v>1.5108271112115965</v>
      </c>
      <c r="F4" s="83" t="s">
        <v>3175</v>
      </c>
      <c r="G4" s="83" t="b">
        <v>0</v>
      </c>
      <c r="H4" s="83" t="b">
        <v>0</v>
      </c>
      <c r="I4" s="83" t="b">
        <v>0</v>
      </c>
      <c r="J4" s="83" t="b">
        <v>0</v>
      </c>
      <c r="K4" s="83" t="b">
        <v>0</v>
      </c>
      <c r="L4" s="83" t="b">
        <v>0</v>
      </c>
    </row>
    <row r="5" spans="1:12" ht="15">
      <c r="A5" s="84" t="s">
        <v>2199</v>
      </c>
      <c r="B5" s="83" t="s">
        <v>2132</v>
      </c>
      <c r="C5" s="83">
        <v>6</v>
      </c>
      <c r="D5" s="110">
        <v>0.0017081897716873019</v>
      </c>
      <c r="E5" s="110">
        <v>1.8565275017950387</v>
      </c>
      <c r="F5" s="83" t="s">
        <v>3175</v>
      </c>
      <c r="G5" s="83" t="b">
        <v>0</v>
      </c>
      <c r="H5" s="83" t="b">
        <v>0</v>
      </c>
      <c r="I5" s="83" t="b">
        <v>0</v>
      </c>
      <c r="J5" s="83" t="b">
        <v>0</v>
      </c>
      <c r="K5" s="83" t="b">
        <v>0</v>
      </c>
      <c r="L5" s="83" t="b">
        <v>0</v>
      </c>
    </row>
    <row r="6" spans="1:12" ht="15">
      <c r="A6" s="84" t="s">
        <v>2157</v>
      </c>
      <c r="B6" s="83" t="s">
        <v>2164</v>
      </c>
      <c r="C6" s="83">
        <v>5</v>
      </c>
      <c r="D6" s="110">
        <v>0.001760679642285705</v>
      </c>
      <c r="E6" s="110">
        <v>2.0240185890888025</v>
      </c>
      <c r="F6" s="83" t="s">
        <v>3175</v>
      </c>
      <c r="G6" s="83" t="b">
        <v>1</v>
      </c>
      <c r="H6" s="83" t="b">
        <v>0</v>
      </c>
      <c r="I6" s="83" t="b">
        <v>0</v>
      </c>
      <c r="J6" s="83" t="b">
        <v>0</v>
      </c>
      <c r="K6" s="83" t="b">
        <v>0</v>
      </c>
      <c r="L6" s="83" t="b">
        <v>0</v>
      </c>
    </row>
    <row r="7" spans="1:12" ht="15">
      <c r="A7" s="84" t="s">
        <v>2130</v>
      </c>
      <c r="B7" s="83" t="s">
        <v>2159</v>
      </c>
      <c r="C7" s="83">
        <v>5</v>
      </c>
      <c r="D7" s="110">
        <v>0.001479449954178258</v>
      </c>
      <c r="E7" s="110">
        <v>1.3067071285556717</v>
      </c>
      <c r="F7" s="83" t="s">
        <v>3175</v>
      </c>
      <c r="G7" s="83" t="b">
        <v>0</v>
      </c>
      <c r="H7" s="83" t="b">
        <v>0</v>
      </c>
      <c r="I7" s="83" t="b">
        <v>0</v>
      </c>
      <c r="J7" s="83" t="b">
        <v>0</v>
      </c>
      <c r="K7" s="83" t="b">
        <v>0</v>
      </c>
      <c r="L7" s="83" t="b">
        <v>0</v>
      </c>
    </row>
    <row r="8" spans="1:12" ht="15">
      <c r="A8" s="84" t="s">
        <v>2184</v>
      </c>
      <c r="B8" s="83" t="s">
        <v>2168</v>
      </c>
      <c r="C8" s="83">
        <v>5</v>
      </c>
      <c r="D8" s="110">
        <v>0.001479449954178258</v>
      </c>
      <c r="E8" s="110">
        <v>2.1331630585138703</v>
      </c>
      <c r="F8" s="83" t="s">
        <v>3175</v>
      </c>
      <c r="G8" s="83" t="b">
        <v>0</v>
      </c>
      <c r="H8" s="83" t="b">
        <v>0</v>
      </c>
      <c r="I8" s="83" t="b">
        <v>0</v>
      </c>
      <c r="J8" s="83" t="b">
        <v>0</v>
      </c>
      <c r="K8" s="83" t="b">
        <v>0</v>
      </c>
      <c r="L8" s="83" t="b">
        <v>0</v>
      </c>
    </row>
    <row r="9" spans="1:12" ht="15">
      <c r="A9" s="84" t="s">
        <v>2287</v>
      </c>
      <c r="B9" s="83" t="s">
        <v>2212</v>
      </c>
      <c r="C9" s="83">
        <v>5</v>
      </c>
      <c r="D9" s="110">
        <v>0.0015479375958800646</v>
      </c>
      <c r="E9" s="110">
        <v>2.6232492903979003</v>
      </c>
      <c r="F9" s="83" t="s">
        <v>3175</v>
      </c>
      <c r="G9" s="83" t="b">
        <v>0</v>
      </c>
      <c r="H9" s="83" t="b">
        <v>0</v>
      </c>
      <c r="I9" s="83" t="b">
        <v>0</v>
      </c>
      <c r="J9" s="83" t="b">
        <v>0</v>
      </c>
      <c r="K9" s="83" t="b">
        <v>0</v>
      </c>
      <c r="L9" s="83" t="b">
        <v>0</v>
      </c>
    </row>
    <row r="10" spans="1:12" ht="15">
      <c r="A10" s="84" t="s">
        <v>2229</v>
      </c>
      <c r="B10" s="83" t="s">
        <v>2357</v>
      </c>
      <c r="C10" s="83">
        <v>4</v>
      </c>
      <c r="D10" s="110">
        <v>0.0012383500767040518</v>
      </c>
      <c r="E10" s="110">
        <v>2.7596174887869824</v>
      </c>
      <c r="F10" s="83" t="s">
        <v>3175</v>
      </c>
      <c r="G10" s="83" t="b">
        <v>0</v>
      </c>
      <c r="H10" s="83" t="b">
        <v>0</v>
      </c>
      <c r="I10" s="83" t="b">
        <v>0</v>
      </c>
      <c r="J10" s="83" t="b">
        <v>0</v>
      </c>
      <c r="K10" s="83" t="b">
        <v>0</v>
      </c>
      <c r="L10" s="83" t="b">
        <v>0</v>
      </c>
    </row>
    <row r="11" spans="1:12" ht="15">
      <c r="A11" s="84" t="s">
        <v>2130</v>
      </c>
      <c r="B11" s="83" t="s">
        <v>2275</v>
      </c>
      <c r="C11" s="83">
        <v>4</v>
      </c>
      <c r="D11" s="110">
        <v>0.0012383500767040518</v>
      </c>
      <c r="E11" s="110">
        <v>1.6434526764861874</v>
      </c>
      <c r="F11" s="83" t="s">
        <v>3175</v>
      </c>
      <c r="G11" s="83" t="b">
        <v>0</v>
      </c>
      <c r="H11" s="83" t="b">
        <v>0</v>
      </c>
      <c r="I11" s="83" t="b">
        <v>0</v>
      </c>
      <c r="J11" s="83" t="b">
        <v>0</v>
      </c>
      <c r="K11" s="83" t="b">
        <v>0</v>
      </c>
      <c r="L11" s="83" t="b">
        <v>0</v>
      </c>
    </row>
    <row r="12" spans="1:12" ht="15">
      <c r="A12" s="84" t="s">
        <v>2470</v>
      </c>
      <c r="B12" s="83" t="s">
        <v>2156</v>
      </c>
      <c r="C12" s="83">
        <v>4</v>
      </c>
      <c r="D12" s="110">
        <v>0.0013089868182493802</v>
      </c>
      <c r="E12" s="110">
        <v>2.5554975061310574</v>
      </c>
      <c r="F12" s="83" t="s">
        <v>3175</v>
      </c>
      <c r="G12" s="83" t="b">
        <v>0</v>
      </c>
      <c r="H12" s="83" t="b">
        <v>0</v>
      </c>
      <c r="I12" s="83" t="b">
        <v>0</v>
      </c>
      <c r="J12" s="83" t="b">
        <v>0</v>
      </c>
      <c r="K12" s="83" t="b">
        <v>0</v>
      </c>
      <c r="L12" s="83" t="b">
        <v>0</v>
      </c>
    </row>
    <row r="13" spans="1:12" ht="15">
      <c r="A13" s="84" t="s">
        <v>2130</v>
      </c>
      <c r="B13" s="83" t="s">
        <v>2172</v>
      </c>
      <c r="C13" s="83">
        <v>4</v>
      </c>
      <c r="D13" s="110">
        <v>0.0012383500767040518</v>
      </c>
      <c r="E13" s="110">
        <v>1.3424226808222062</v>
      </c>
      <c r="F13" s="83" t="s">
        <v>3175</v>
      </c>
      <c r="G13" s="83" t="b">
        <v>0</v>
      </c>
      <c r="H13" s="83" t="b">
        <v>0</v>
      </c>
      <c r="I13" s="83" t="b">
        <v>0</v>
      </c>
      <c r="J13" s="83" t="b">
        <v>0</v>
      </c>
      <c r="K13" s="83" t="b">
        <v>0</v>
      </c>
      <c r="L13" s="83" t="b">
        <v>0</v>
      </c>
    </row>
    <row r="14" spans="1:12" ht="15">
      <c r="A14" s="84" t="s">
        <v>2306</v>
      </c>
      <c r="B14" s="83" t="s">
        <v>2153</v>
      </c>
      <c r="C14" s="83">
        <v>4</v>
      </c>
      <c r="D14" s="110">
        <v>0.0012383500767040518</v>
      </c>
      <c r="E14" s="110">
        <v>2.3336487565147013</v>
      </c>
      <c r="F14" s="83" t="s">
        <v>3175</v>
      </c>
      <c r="G14" s="83" t="b">
        <v>0</v>
      </c>
      <c r="H14" s="83" t="b">
        <v>0</v>
      </c>
      <c r="I14" s="83" t="b">
        <v>0</v>
      </c>
      <c r="J14" s="83" t="b">
        <v>0</v>
      </c>
      <c r="K14" s="83" t="b">
        <v>0</v>
      </c>
      <c r="L14" s="83" t="b">
        <v>0</v>
      </c>
    </row>
    <row r="15" spans="1:12" ht="15">
      <c r="A15" s="84" t="s">
        <v>2414</v>
      </c>
      <c r="B15" s="83" t="s">
        <v>2173</v>
      </c>
      <c r="C15" s="83">
        <v>4</v>
      </c>
      <c r="D15" s="110">
        <v>0.0014085437138285641</v>
      </c>
      <c r="E15" s="110">
        <v>2.5999166459194702</v>
      </c>
      <c r="F15" s="83" t="s">
        <v>3175</v>
      </c>
      <c r="G15" s="83" t="b">
        <v>0</v>
      </c>
      <c r="H15" s="83" t="b">
        <v>0</v>
      </c>
      <c r="I15" s="83" t="b">
        <v>0</v>
      </c>
      <c r="J15" s="83" t="b">
        <v>0</v>
      </c>
      <c r="K15" s="83" t="b">
        <v>0</v>
      </c>
      <c r="L15" s="83" t="b">
        <v>0</v>
      </c>
    </row>
    <row r="16" spans="1:12" ht="15">
      <c r="A16" s="84" t="s">
        <v>2218</v>
      </c>
      <c r="B16" s="83" t="s">
        <v>2343</v>
      </c>
      <c r="C16" s="83">
        <v>4</v>
      </c>
      <c r="D16" s="110">
        <v>0.0014085437138285641</v>
      </c>
      <c r="E16" s="110">
        <v>2.6804362427393573</v>
      </c>
      <c r="F16" s="83" t="s">
        <v>3175</v>
      </c>
      <c r="G16" s="83" t="b">
        <v>0</v>
      </c>
      <c r="H16" s="83" t="b">
        <v>0</v>
      </c>
      <c r="I16" s="83" t="b">
        <v>0</v>
      </c>
      <c r="J16" s="83" t="b">
        <v>0</v>
      </c>
      <c r="K16" s="83" t="b">
        <v>0</v>
      </c>
      <c r="L16" s="83" t="b">
        <v>0</v>
      </c>
    </row>
    <row r="17" spans="1:12" ht="15">
      <c r="A17" s="84" t="s">
        <v>2509</v>
      </c>
      <c r="B17" s="83" t="s">
        <v>2344</v>
      </c>
      <c r="C17" s="83">
        <v>4</v>
      </c>
      <c r="D17" s="110">
        <v>0.0014085437138285641</v>
      </c>
      <c r="E17" s="110">
        <v>3.03261876085072</v>
      </c>
      <c r="F17" s="83" t="s">
        <v>3175</v>
      </c>
      <c r="G17" s="83" t="b">
        <v>0</v>
      </c>
      <c r="H17" s="83" t="b">
        <v>0</v>
      </c>
      <c r="I17" s="83" t="b">
        <v>0</v>
      </c>
      <c r="J17" s="83" t="b">
        <v>0</v>
      </c>
      <c r="K17" s="83" t="b">
        <v>0</v>
      </c>
      <c r="L17" s="83" t="b">
        <v>0</v>
      </c>
    </row>
    <row r="18" spans="1:12" ht="15">
      <c r="A18" s="84" t="s">
        <v>2417</v>
      </c>
      <c r="B18" s="83" t="s">
        <v>2417</v>
      </c>
      <c r="C18" s="83">
        <v>4</v>
      </c>
      <c r="D18" s="110">
        <v>0.0015787373509530765</v>
      </c>
      <c r="E18" s="110">
        <v>3.0148899938902884</v>
      </c>
      <c r="F18" s="83" t="s">
        <v>3175</v>
      </c>
      <c r="G18" s="83" t="b">
        <v>0</v>
      </c>
      <c r="H18" s="83" t="b">
        <v>0</v>
      </c>
      <c r="I18" s="83" t="b">
        <v>0</v>
      </c>
      <c r="J18" s="83" t="b">
        <v>0</v>
      </c>
      <c r="K18" s="83" t="b">
        <v>0</v>
      </c>
      <c r="L18" s="83" t="b">
        <v>0</v>
      </c>
    </row>
    <row r="19" spans="1:12" ht="15">
      <c r="A19" s="84" t="s">
        <v>2375</v>
      </c>
      <c r="B19" s="83" t="s">
        <v>2376</v>
      </c>
      <c r="C19" s="83">
        <v>4</v>
      </c>
      <c r="D19" s="110">
        <v>0.0012383500767040518</v>
      </c>
      <c r="E19" s="110">
        <v>3.0148899938902884</v>
      </c>
      <c r="F19" s="83" t="s">
        <v>3175</v>
      </c>
      <c r="G19" s="83" t="b">
        <v>0</v>
      </c>
      <c r="H19" s="83" t="b">
        <v>0</v>
      </c>
      <c r="I19" s="83" t="b">
        <v>0</v>
      </c>
      <c r="J19" s="83" t="b">
        <v>0</v>
      </c>
      <c r="K19" s="83" t="b">
        <v>0</v>
      </c>
      <c r="L19" s="83" t="b">
        <v>0</v>
      </c>
    </row>
    <row r="20" spans="1:12" ht="15">
      <c r="A20" s="84" t="s">
        <v>2349</v>
      </c>
      <c r="B20" s="83" t="s">
        <v>2191</v>
      </c>
      <c r="C20" s="83">
        <v>4</v>
      </c>
      <c r="D20" s="110">
        <v>0.0013089868182493802</v>
      </c>
      <c r="E20" s="110">
        <v>2.5207353998718456</v>
      </c>
      <c r="F20" s="83" t="s">
        <v>3175</v>
      </c>
      <c r="G20" s="83" t="b">
        <v>0</v>
      </c>
      <c r="H20" s="83" t="b">
        <v>0</v>
      </c>
      <c r="I20" s="83" t="b">
        <v>0</v>
      </c>
      <c r="J20" s="83" t="b">
        <v>0</v>
      </c>
      <c r="K20" s="83" t="b">
        <v>0</v>
      </c>
      <c r="L20" s="83" t="b">
        <v>0</v>
      </c>
    </row>
    <row r="21" spans="1:12" ht="15">
      <c r="A21" s="84" t="s">
        <v>2426</v>
      </c>
      <c r="B21" s="83" t="s">
        <v>2170</v>
      </c>
      <c r="C21" s="83">
        <v>4</v>
      </c>
      <c r="D21" s="110">
        <v>0.0015787373509530765</v>
      </c>
      <c r="E21" s="110">
        <v>2.509740015570382</v>
      </c>
      <c r="F21" s="83" t="s">
        <v>3175</v>
      </c>
      <c r="G21" s="83" t="b">
        <v>0</v>
      </c>
      <c r="H21" s="83" t="b">
        <v>0</v>
      </c>
      <c r="I21" s="83" t="b">
        <v>0</v>
      </c>
      <c r="J21" s="83" t="b">
        <v>0</v>
      </c>
      <c r="K21" s="83" t="b">
        <v>0</v>
      </c>
      <c r="L21" s="83" t="b">
        <v>0</v>
      </c>
    </row>
    <row r="22" spans="1:12" ht="15">
      <c r="A22" s="84" t="s">
        <v>2187</v>
      </c>
      <c r="B22" s="83" t="s">
        <v>2129</v>
      </c>
      <c r="C22" s="83">
        <v>4</v>
      </c>
      <c r="D22" s="110">
        <v>0.0014085437138285641</v>
      </c>
      <c r="E22" s="110">
        <v>1.2136235234006683</v>
      </c>
      <c r="F22" s="83" t="s">
        <v>3175</v>
      </c>
      <c r="G22" s="83" t="b">
        <v>0</v>
      </c>
      <c r="H22" s="83" t="b">
        <v>1</v>
      </c>
      <c r="I22" s="83" t="b">
        <v>0</v>
      </c>
      <c r="J22" s="83" t="b">
        <v>0</v>
      </c>
      <c r="K22" s="83" t="b">
        <v>0</v>
      </c>
      <c r="L22" s="83" t="b">
        <v>0</v>
      </c>
    </row>
    <row r="23" spans="1:12" ht="15">
      <c r="A23" s="84" t="s">
        <v>2148</v>
      </c>
      <c r="B23" s="83" t="s">
        <v>2133</v>
      </c>
      <c r="C23" s="83">
        <v>3</v>
      </c>
      <c r="D23" s="110">
        <v>0.0009817401136870353</v>
      </c>
      <c r="E23" s="110">
        <v>1.369860929169146</v>
      </c>
      <c r="F23" s="83" t="s">
        <v>3175</v>
      </c>
      <c r="G23" s="83" t="b">
        <v>0</v>
      </c>
      <c r="H23" s="83" t="b">
        <v>0</v>
      </c>
      <c r="I23" s="83" t="b">
        <v>0</v>
      </c>
      <c r="J23" s="83" t="b">
        <v>0</v>
      </c>
      <c r="K23" s="83" t="b">
        <v>0</v>
      </c>
      <c r="L23" s="83" t="b">
        <v>0</v>
      </c>
    </row>
    <row r="24" spans="1:12" ht="15">
      <c r="A24" s="84" t="s">
        <v>2136</v>
      </c>
      <c r="B24" s="83" t="s">
        <v>2137</v>
      </c>
      <c r="C24" s="83">
        <v>3</v>
      </c>
      <c r="D24" s="110">
        <v>0.0010564077853714232</v>
      </c>
      <c r="E24" s="110">
        <v>1.0947666675995644</v>
      </c>
      <c r="F24" s="83" t="s">
        <v>3175</v>
      </c>
      <c r="G24" s="83" t="b">
        <v>0</v>
      </c>
      <c r="H24" s="83" t="b">
        <v>1</v>
      </c>
      <c r="I24" s="83" t="b">
        <v>0</v>
      </c>
      <c r="J24" s="83" t="b">
        <v>0</v>
      </c>
      <c r="K24" s="83" t="b">
        <v>0</v>
      </c>
      <c r="L24" s="83" t="b">
        <v>0</v>
      </c>
    </row>
    <row r="25" spans="1:12" ht="15">
      <c r="A25" s="84" t="s">
        <v>2170</v>
      </c>
      <c r="B25" s="83" t="s">
        <v>2136</v>
      </c>
      <c r="C25" s="83">
        <v>3</v>
      </c>
      <c r="D25" s="110">
        <v>0.0010564077853714232</v>
      </c>
      <c r="E25" s="110">
        <v>1.503987686681291</v>
      </c>
      <c r="F25" s="83" t="s">
        <v>3175</v>
      </c>
      <c r="G25" s="83" t="b">
        <v>0</v>
      </c>
      <c r="H25" s="83" t="b">
        <v>0</v>
      </c>
      <c r="I25" s="83" t="b">
        <v>0</v>
      </c>
      <c r="J25" s="83" t="b">
        <v>0</v>
      </c>
      <c r="K25" s="83" t="b">
        <v>1</v>
      </c>
      <c r="L25" s="83" t="b">
        <v>0</v>
      </c>
    </row>
    <row r="26" spans="1:12" ht="15">
      <c r="A26" s="84" t="s">
        <v>2136</v>
      </c>
      <c r="B26" s="83" t="s">
        <v>2436</v>
      </c>
      <c r="C26" s="83">
        <v>3</v>
      </c>
      <c r="D26" s="110">
        <v>0.0009817401136870353</v>
      </c>
      <c r="E26" s="110">
        <v>2.083771283298101</v>
      </c>
      <c r="F26" s="83" t="s">
        <v>3175</v>
      </c>
      <c r="G26" s="83" t="b">
        <v>0</v>
      </c>
      <c r="H26" s="83" t="b">
        <v>1</v>
      </c>
      <c r="I26" s="83" t="b">
        <v>0</v>
      </c>
      <c r="J26" s="83" t="b">
        <v>0</v>
      </c>
      <c r="K26" s="83" t="b">
        <v>0</v>
      </c>
      <c r="L26" s="83" t="b">
        <v>0</v>
      </c>
    </row>
    <row r="27" spans="1:12" ht="15">
      <c r="A27" s="84" t="s">
        <v>2269</v>
      </c>
      <c r="B27" s="83" t="s">
        <v>2363</v>
      </c>
      <c r="C27" s="83">
        <v>3</v>
      </c>
      <c r="D27" s="110">
        <v>0.0010564077853714232</v>
      </c>
      <c r="E27" s="110">
        <v>2.7438232216037504</v>
      </c>
      <c r="F27" s="83" t="s">
        <v>3175</v>
      </c>
      <c r="G27" s="83" t="b">
        <v>0</v>
      </c>
      <c r="H27" s="83" t="b">
        <v>0</v>
      </c>
      <c r="I27" s="83" t="b">
        <v>0</v>
      </c>
      <c r="J27" s="83" t="b">
        <v>0</v>
      </c>
      <c r="K27" s="83" t="b">
        <v>0</v>
      </c>
      <c r="L27" s="83" t="b">
        <v>0</v>
      </c>
    </row>
    <row r="28" spans="1:12" ht="15">
      <c r="A28" s="84" t="s">
        <v>2229</v>
      </c>
      <c r="B28" s="83" t="s">
        <v>2131</v>
      </c>
      <c r="C28" s="83">
        <v>3</v>
      </c>
      <c r="D28" s="110">
        <v>0.0009817401136870353</v>
      </c>
      <c r="E28" s="110">
        <v>1.527468782530814</v>
      </c>
      <c r="F28" s="83" t="s">
        <v>3175</v>
      </c>
      <c r="G28" s="83" t="b">
        <v>0</v>
      </c>
      <c r="H28" s="83" t="b">
        <v>0</v>
      </c>
      <c r="I28" s="83" t="b">
        <v>0</v>
      </c>
      <c r="J28" s="83" t="b">
        <v>1</v>
      </c>
      <c r="K28" s="83" t="b">
        <v>0</v>
      </c>
      <c r="L28" s="83" t="b">
        <v>0</v>
      </c>
    </row>
    <row r="29" spans="1:12" ht="15">
      <c r="A29" s="84" t="s">
        <v>2299</v>
      </c>
      <c r="B29" s="83" t="s">
        <v>2270</v>
      </c>
      <c r="C29" s="83">
        <v>3</v>
      </c>
      <c r="D29" s="110">
        <v>0.0010564077853714232</v>
      </c>
      <c r="E29" s="110">
        <v>2.6646419755561257</v>
      </c>
      <c r="F29" s="83" t="s">
        <v>3175</v>
      </c>
      <c r="G29" s="83" t="b">
        <v>0</v>
      </c>
      <c r="H29" s="83" t="b">
        <v>0</v>
      </c>
      <c r="I29" s="83" t="b">
        <v>0</v>
      </c>
      <c r="J29" s="83" t="b">
        <v>0</v>
      </c>
      <c r="K29" s="83" t="b">
        <v>0</v>
      </c>
      <c r="L29" s="83" t="b">
        <v>0</v>
      </c>
    </row>
    <row r="30" spans="1:12" ht="15">
      <c r="A30" s="84" t="s">
        <v>2157</v>
      </c>
      <c r="B30" s="83" t="s">
        <v>2137</v>
      </c>
      <c r="C30" s="83">
        <v>3</v>
      </c>
      <c r="D30" s="110">
        <v>0.0011840530132148073</v>
      </c>
      <c r="E30" s="110">
        <v>1.4663777375492528</v>
      </c>
      <c r="F30" s="83" t="s">
        <v>3175</v>
      </c>
      <c r="G30" s="83" t="b">
        <v>1</v>
      </c>
      <c r="H30" s="83" t="b">
        <v>0</v>
      </c>
      <c r="I30" s="83" t="b">
        <v>0</v>
      </c>
      <c r="J30" s="83" t="b">
        <v>0</v>
      </c>
      <c r="K30" s="83" t="b">
        <v>0</v>
      </c>
      <c r="L30" s="83" t="b">
        <v>0</v>
      </c>
    </row>
    <row r="31" spans="1:12" ht="15">
      <c r="A31" s="84" t="s">
        <v>2369</v>
      </c>
      <c r="B31" s="83" t="s">
        <v>2135</v>
      </c>
      <c r="C31" s="83">
        <v>3</v>
      </c>
      <c r="D31" s="110">
        <v>0.0010564077853714232</v>
      </c>
      <c r="E31" s="110">
        <v>2.0207195375510123</v>
      </c>
      <c r="F31" s="83" t="s">
        <v>3175</v>
      </c>
      <c r="G31" s="83" t="b">
        <v>0</v>
      </c>
      <c r="H31" s="83" t="b">
        <v>0</v>
      </c>
      <c r="I31" s="83" t="b">
        <v>0</v>
      </c>
      <c r="J31" s="83" t="b">
        <v>1</v>
      </c>
      <c r="K31" s="83" t="b">
        <v>0</v>
      </c>
      <c r="L31" s="83" t="b">
        <v>0</v>
      </c>
    </row>
    <row r="32" spans="1:12" ht="15">
      <c r="A32" s="84" t="s">
        <v>2429</v>
      </c>
      <c r="B32" s="83" t="s">
        <v>2562</v>
      </c>
      <c r="C32" s="83">
        <v>3</v>
      </c>
      <c r="D32" s="110">
        <v>0.0009817401136870353</v>
      </c>
      <c r="E32" s="110">
        <v>3.208710019906401</v>
      </c>
      <c r="F32" s="83" t="s">
        <v>3175</v>
      </c>
      <c r="G32" s="83" t="b">
        <v>1</v>
      </c>
      <c r="H32" s="83" t="b">
        <v>0</v>
      </c>
      <c r="I32" s="83" t="b">
        <v>0</v>
      </c>
      <c r="J32" s="83" t="b">
        <v>0</v>
      </c>
      <c r="K32" s="83" t="b">
        <v>0</v>
      </c>
      <c r="L32" s="83" t="b">
        <v>0</v>
      </c>
    </row>
    <row r="33" spans="1:12" ht="15">
      <c r="A33" s="84" t="s">
        <v>2562</v>
      </c>
      <c r="B33" s="83" t="s">
        <v>2170</v>
      </c>
      <c r="C33" s="83">
        <v>3</v>
      </c>
      <c r="D33" s="110">
        <v>0.0009817401136870353</v>
      </c>
      <c r="E33" s="110">
        <v>2.606650028578439</v>
      </c>
      <c r="F33" s="83" t="s">
        <v>3175</v>
      </c>
      <c r="G33" s="83" t="b">
        <v>0</v>
      </c>
      <c r="H33" s="83" t="b">
        <v>0</v>
      </c>
      <c r="I33" s="83" t="b">
        <v>0</v>
      </c>
      <c r="J33" s="83" t="b">
        <v>0</v>
      </c>
      <c r="K33" s="83" t="b">
        <v>0</v>
      </c>
      <c r="L33" s="83" t="b">
        <v>0</v>
      </c>
    </row>
    <row r="34" spans="1:12" ht="15">
      <c r="A34" s="84" t="s">
        <v>2132</v>
      </c>
      <c r="B34" s="83" t="s">
        <v>2171</v>
      </c>
      <c r="C34" s="83">
        <v>3</v>
      </c>
      <c r="D34" s="110">
        <v>0.0009817401136870353</v>
      </c>
      <c r="E34" s="110">
        <v>1.3957966632635457</v>
      </c>
      <c r="F34" s="83" t="s">
        <v>3175</v>
      </c>
      <c r="G34" s="83" t="b">
        <v>0</v>
      </c>
      <c r="H34" s="83" t="b">
        <v>0</v>
      </c>
      <c r="I34" s="83" t="b">
        <v>0</v>
      </c>
      <c r="J34" s="83" t="b">
        <v>1</v>
      </c>
      <c r="K34" s="83" t="b">
        <v>0</v>
      </c>
      <c r="L34" s="83" t="b">
        <v>0</v>
      </c>
    </row>
    <row r="35" spans="1:12" ht="15">
      <c r="A35" s="84" t="s">
        <v>2573</v>
      </c>
      <c r="B35" s="83" t="s">
        <v>2318</v>
      </c>
      <c r="C35" s="83">
        <v>3</v>
      </c>
      <c r="D35" s="110">
        <v>0.0009817401136870353</v>
      </c>
      <c r="E35" s="110">
        <v>3.03261876085072</v>
      </c>
      <c r="F35" s="83" t="s">
        <v>3175</v>
      </c>
      <c r="G35" s="83" t="b">
        <v>0</v>
      </c>
      <c r="H35" s="83" t="b">
        <v>0</v>
      </c>
      <c r="I35" s="83" t="b">
        <v>0</v>
      </c>
      <c r="J35" s="83" t="b">
        <v>0</v>
      </c>
      <c r="K35" s="83" t="b">
        <v>0</v>
      </c>
      <c r="L35" s="83" t="b">
        <v>0</v>
      </c>
    </row>
    <row r="36" spans="1:12" ht="15">
      <c r="A36" s="84" t="s">
        <v>2276</v>
      </c>
      <c r="B36" s="83" t="s">
        <v>2189</v>
      </c>
      <c r="C36" s="83">
        <v>3</v>
      </c>
      <c r="D36" s="110">
        <v>0.0009817401136870353</v>
      </c>
      <c r="E36" s="110">
        <v>2.3636119798921444</v>
      </c>
      <c r="F36" s="83" t="s">
        <v>3175</v>
      </c>
      <c r="G36" s="83" t="b">
        <v>0</v>
      </c>
      <c r="H36" s="83" t="b">
        <v>0</v>
      </c>
      <c r="I36" s="83" t="b">
        <v>0</v>
      </c>
      <c r="J36" s="83" t="b">
        <v>0</v>
      </c>
      <c r="K36" s="83" t="b">
        <v>0</v>
      </c>
      <c r="L36" s="83" t="b">
        <v>0</v>
      </c>
    </row>
    <row r="37" spans="1:12" ht="15">
      <c r="A37" s="84" t="s">
        <v>2137</v>
      </c>
      <c r="B37" s="83" t="s">
        <v>2131</v>
      </c>
      <c r="C37" s="83">
        <v>3</v>
      </c>
      <c r="D37" s="110">
        <v>0.0009817401136870353</v>
      </c>
      <c r="E37" s="110">
        <v>0.9502323749278836</v>
      </c>
      <c r="F37" s="83" t="s">
        <v>3175</v>
      </c>
      <c r="G37" s="83" t="b">
        <v>0</v>
      </c>
      <c r="H37" s="83" t="b">
        <v>0</v>
      </c>
      <c r="I37" s="83" t="b">
        <v>0</v>
      </c>
      <c r="J37" s="83" t="b">
        <v>1</v>
      </c>
      <c r="K37" s="83" t="b">
        <v>0</v>
      </c>
      <c r="L37" s="83" t="b">
        <v>0</v>
      </c>
    </row>
    <row r="38" spans="1:12" ht="15">
      <c r="A38" s="84" t="s">
        <v>2231</v>
      </c>
      <c r="B38" s="83" t="s">
        <v>2129</v>
      </c>
      <c r="C38" s="83">
        <v>3</v>
      </c>
      <c r="D38" s="110">
        <v>0.0011840530132148073</v>
      </c>
      <c r="E38" s="110">
        <v>1.2805703130312815</v>
      </c>
      <c r="F38" s="83" t="s">
        <v>3175</v>
      </c>
      <c r="G38" s="83" t="b">
        <v>0</v>
      </c>
      <c r="H38" s="83" t="b">
        <v>1</v>
      </c>
      <c r="I38" s="83" t="b">
        <v>0</v>
      </c>
      <c r="J38" s="83" t="b">
        <v>0</v>
      </c>
      <c r="K38" s="83" t="b">
        <v>0</v>
      </c>
      <c r="L38" s="83" t="b">
        <v>0</v>
      </c>
    </row>
    <row r="39" spans="1:12" ht="15">
      <c r="A39" s="84" t="s">
        <v>2139</v>
      </c>
      <c r="B39" s="83" t="s">
        <v>2622</v>
      </c>
      <c r="C39" s="83">
        <v>3</v>
      </c>
      <c r="D39" s="110">
        <v>0.0009817401136870353</v>
      </c>
      <c r="E39" s="110">
        <v>2.2792910941921085</v>
      </c>
      <c r="F39" s="83" t="s">
        <v>3175</v>
      </c>
      <c r="G39" s="83" t="b">
        <v>0</v>
      </c>
      <c r="H39" s="83" t="b">
        <v>0</v>
      </c>
      <c r="I39" s="83" t="b">
        <v>0</v>
      </c>
      <c r="J39" s="83" t="b">
        <v>0</v>
      </c>
      <c r="K39" s="83" t="b">
        <v>0</v>
      </c>
      <c r="L39" s="83" t="b">
        <v>0</v>
      </c>
    </row>
    <row r="40" spans="1:12" ht="15">
      <c r="A40" s="84" t="s">
        <v>2622</v>
      </c>
      <c r="B40" s="83" t="s">
        <v>2306</v>
      </c>
      <c r="C40" s="83">
        <v>3</v>
      </c>
      <c r="D40" s="110">
        <v>0.0009817401136870353</v>
      </c>
      <c r="E40" s="110">
        <v>3.208710019906401</v>
      </c>
      <c r="F40" s="83" t="s">
        <v>3175</v>
      </c>
      <c r="G40" s="83" t="b">
        <v>0</v>
      </c>
      <c r="H40" s="83" t="b">
        <v>0</v>
      </c>
      <c r="I40" s="83" t="b">
        <v>0</v>
      </c>
      <c r="J40" s="83" t="b">
        <v>0</v>
      </c>
      <c r="K40" s="83" t="b">
        <v>0</v>
      </c>
      <c r="L40" s="83" t="b">
        <v>0</v>
      </c>
    </row>
    <row r="41" spans="1:12" ht="15">
      <c r="A41" s="84" t="s">
        <v>2147</v>
      </c>
      <c r="B41" s="83" t="s">
        <v>2133</v>
      </c>
      <c r="C41" s="83">
        <v>3</v>
      </c>
      <c r="D41" s="110">
        <v>0.0009817401136870353</v>
      </c>
      <c r="E41" s="110">
        <v>1.394684512894178</v>
      </c>
      <c r="F41" s="83" t="s">
        <v>3175</v>
      </c>
      <c r="G41" s="83" t="b">
        <v>0</v>
      </c>
      <c r="H41" s="83" t="b">
        <v>0</v>
      </c>
      <c r="I41" s="83" t="b">
        <v>0</v>
      </c>
      <c r="J41" s="83" t="b">
        <v>0</v>
      </c>
      <c r="K41" s="83" t="b">
        <v>0</v>
      </c>
      <c r="L41" s="83" t="b">
        <v>0</v>
      </c>
    </row>
    <row r="42" spans="1:12" ht="15">
      <c r="A42" s="84" t="s">
        <v>2130</v>
      </c>
      <c r="B42" s="83" t="s">
        <v>2148</v>
      </c>
      <c r="C42" s="83">
        <v>3</v>
      </c>
      <c r="D42" s="110">
        <v>0.0009817401136870353</v>
      </c>
      <c r="E42" s="110">
        <v>1.041392685158225</v>
      </c>
      <c r="F42" s="83" t="s">
        <v>3175</v>
      </c>
      <c r="G42" s="83" t="b">
        <v>0</v>
      </c>
      <c r="H42" s="83" t="b">
        <v>0</v>
      </c>
      <c r="I42" s="83" t="b">
        <v>0</v>
      </c>
      <c r="J42" s="83" t="b">
        <v>0</v>
      </c>
      <c r="K42" s="83" t="b">
        <v>0</v>
      </c>
      <c r="L42" s="83" t="b">
        <v>0</v>
      </c>
    </row>
    <row r="43" spans="1:12" ht="15">
      <c r="A43" s="84" t="s">
        <v>2129</v>
      </c>
      <c r="B43" s="83" t="s">
        <v>2202</v>
      </c>
      <c r="C43" s="83">
        <v>3</v>
      </c>
      <c r="D43" s="110">
        <v>0.0009817401136870353</v>
      </c>
      <c r="E43" s="110">
        <v>1.2051058956375758</v>
      </c>
      <c r="F43" s="83" t="s">
        <v>3175</v>
      </c>
      <c r="G43" s="83" t="b">
        <v>0</v>
      </c>
      <c r="H43" s="83" t="b">
        <v>0</v>
      </c>
      <c r="I43" s="83" t="b">
        <v>0</v>
      </c>
      <c r="J43" s="83" t="b">
        <v>0</v>
      </c>
      <c r="K43" s="83" t="b">
        <v>1</v>
      </c>
      <c r="L43" s="83" t="b">
        <v>0</v>
      </c>
    </row>
    <row r="44" spans="1:12" ht="15">
      <c r="A44" s="84" t="s">
        <v>2140</v>
      </c>
      <c r="B44" s="83" t="s">
        <v>2140</v>
      </c>
      <c r="C44" s="83">
        <v>3</v>
      </c>
      <c r="D44" s="110">
        <v>0.0011840530132148073</v>
      </c>
      <c r="E44" s="110">
        <v>1.6366132519558818</v>
      </c>
      <c r="F44" s="83" t="s">
        <v>3175</v>
      </c>
      <c r="G44" s="83" t="b">
        <v>1</v>
      </c>
      <c r="H44" s="83" t="b">
        <v>0</v>
      </c>
      <c r="I44" s="83" t="b">
        <v>0</v>
      </c>
      <c r="J44" s="83" t="b">
        <v>1</v>
      </c>
      <c r="K44" s="83" t="b">
        <v>0</v>
      </c>
      <c r="L44" s="83" t="b">
        <v>0</v>
      </c>
    </row>
    <row r="45" spans="1:12" ht="15">
      <c r="A45" s="84" t="s">
        <v>2133</v>
      </c>
      <c r="B45" s="83" t="s">
        <v>2148</v>
      </c>
      <c r="C45" s="83">
        <v>3</v>
      </c>
      <c r="D45" s="110">
        <v>0.0010564077853714232</v>
      </c>
      <c r="E45" s="110">
        <v>1.266701966884088</v>
      </c>
      <c r="F45" s="83" t="s">
        <v>3175</v>
      </c>
      <c r="G45" s="83" t="b">
        <v>0</v>
      </c>
      <c r="H45" s="83" t="b">
        <v>0</v>
      </c>
      <c r="I45" s="83" t="b">
        <v>0</v>
      </c>
      <c r="J45" s="83" t="b">
        <v>0</v>
      </c>
      <c r="K45" s="83" t="b">
        <v>0</v>
      </c>
      <c r="L45" s="83" t="b">
        <v>0</v>
      </c>
    </row>
    <row r="46" spans="1:12" ht="15">
      <c r="A46" s="84" t="s">
        <v>2176</v>
      </c>
      <c r="B46" s="83" t="s">
        <v>2159</v>
      </c>
      <c r="C46" s="83">
        <v>3</v>
      </c>
      <c r="D46" s="110">
        <v>0.0011840530132148073</v>
      </c>
      <c r="E46" s="110">
        <v>1.8050176823452722</v>
      </c>
      <c r="F46" s="83" t="s">
        <v>3175</v>
      </c>
      <c r="G46" s="83" t="b">
        <v>0</v>
      </c>
      <c r="H46" s="83" t="b">
        <v>0</v>
      </c>
      <c r="I46" s="83" t="b">
        <v>0</v>
      </c>
      <c r="J46" s="83" t="b">
        <v>0</v>
      </c>
      <c r="K46" s="83" t="b">
        <v>0</v>
      </c>
      <c r="L46" s="83" t="b">
        <v>0</v>
      </c>
    </row>
    <row r="47" spans="1:12" ht="15">
      <c r="A47" s="84" t="s">
        <v>2166</v>
      </c>
      <c r="B47" s="83" t="s">
        <v>2332</v>
      </c>
      <c r="C47" s="83">
        <v>3</v>
      </c>
      <c r="D47" s="110">
        <v>0.0009817401136870353</v>
      </c>
      <c r="E47" s="110">
        <v>2.3056200329144576</v>
      </c>
      <c r="F47" s="83" t="s">
        <v>3175</v>
      </c>
      <c r="G47" s="83" t="b">
        <v>0</v>
      </c>
      <c r="H47" s="83" t="b">
        <v>0</v>
      </c>
      <c r="I47" s="83" t="b">
        <v>0</v>
      </c>
      <c r="J47" s="83" t="b">
        <v>0</v>
      </c>
      <c r="K47" s="83" t="b">
        <v>0</v>
      </c>
      <c r="L47" s="83" t="b">
        <v>0</v>
      </c>
    </row>
    <row r="48" spans="1:12" ht="15">
      <c r="A48" s="84" t="s">
        <v>2134</v>
      </c>
      <c r="B48" s="83" t="s">
        <v>2675</v>
      </c>
      <c r="C48" s="83">
        <v>3</v>
      </c>
      <c r="D48" s="110">
        <v>0.0009817401136870353</v>
      </c>
      <c r="E48" s="110">
        <v>2.15755749745902</v>
      </c>
      <c r="F48" s="83" t="s">
        <v>3175</v>
      </c>
      <c r="G48" s="83" t="b">
        <v>0</v>
      </c>
      <c r="H48" s="83" t="b">
        <v>0</v>
      </c>
      <c r="I48" s="83" t="b">
        <v>0</v>
      </c>
      <c r="J48" s="83" t="b">
        <v>0</v>
      </c>
      <c r="K48" s="83" t="b">
        <v>0</v>
      </c>
      <c r="L48" s="83" t="b">
        <v>0</v>
      </c>
    </row>
    <row r="49" spans="1:12" ht="15">
      <c r="A49" s="84" t="s">
        <v>2329</v>
      </c>
      <c r="B49" s="83" t="s">
        <v>2234</v>
      </c>
      <c r="C49" s="83">
        <v>3</v>
      </c>
      <c r="D49" s="110">
        <v>0.0010564077853714232</v>
      </c>
      <c r="E49" s="110">
        <v>2.5554975061310574</v>
      </c>
      <c r="F49" s="83" t="s">
        <v>3175</v>
      </c>
      <c r="G49" s="83" t="b">
        <v>0</v>
      </c>
      <c r="H49" s="83" t="b">
        <v>0</v>
      </c>
      <c r="I49" s="83" t="b">
        <v>0</v>
      </c>
      <c r="J49" s="83" t="b">
        <v>0</v>
      </c>
      <c r="K49" s="83" t="b">
        <v>0</v>
      </c>
      <c r="L49" s="83" t="b">
        <v>0</v>
      </c>
    </row>
    <row r="50" spans="1:12" ht="15">
      <c r="A50" s="84" t="s">
        <v>2258</v>
      </c>
      <c r="B50" s="83" t="s">
        <v>2346</v>
      </c>
      <c r="C50" s="83">
        <v>3</v>
      </c>
      <c r="D50" s="110">
        <v>0.0009817401136870353</v>
      </c>
      <c r="E50" s="110">
        <v>2.606650028578439</v>
      </c>
      <c r="F50" s="83" t="s">
        <v>3175</v>
      </c>
      <c r="G50" s="83" t="b">
        <v>1</v>
      </c>
      <c r="H50" s="83" t="b">
        <v>0</v>
      </c>
      <c r="I50" s="83" t="b">
        <v>0</v>
      </c>
      <c r="J50" s="83" t="b">
        <v>0</v>
      </c>
      <c r="K50" s="83" t="b">
        <v>0</v>
      </c>
      <c r="L50" s="83" t="b">
        <v>0</v>
      </c>
    </row>
    <row r="51" spans="1:12" ht="15">
      <c r="A51" s="84" t="s">
        <v>2132</v>
      </c>
      <c r="B51" s="83" t="s">
        <v>2130</v>
      </c>
      <c r="C51" s="83">
        <v>3</v>
      </c>
      <c r="D51" s="110">
        <v>0.0009817401136870353</v>
      </c>
      <c r="E51" s="110">
        <v>0.6405082958394062</v>
      </c>
      <c r="F51" s="83" t="s">
        <v>3175</v>
      </c>
      <c r="G51" s="83" t="b">
        <v>0</v>
      </c>
      <c r="H51" s="83" t="b">
        <v>0</v>
      </c>
      <c r="I51" s="83" t="b">
        <v>0</v>
      </c>
      <c r="J51" s="83" t="b">
        <v>0</v>
      </c>
      <c r="K51" s="83" t="b">
        <v>0</v>
      </c>
      <c r="L51" s="83" t="b">
        <v>0</v>
      </c>
    </row>
    <row r="52" spans="1:12" ht="15">
      <c r="A52" s="84" t="s">
        <v>2136</v>
      </c>
      <c r="B52" s="83" t="s">
        <v>2530</v>
      </c>
      <c r="C52" s="83">
        <v>3</v>
      </c>
      <c r="D52" s="110">
        <v>0.0009817401136870353</v>
      </c>
      <c r="E52" s="110">
        <v>2.083771283298101</v>
      </c>
      <c r="F52" s="83" t="s">
        <v>3175</v>
      </c>
      <c r="G52" s="83" t="b">
        <v>0</v>
      </c>
      <c r="H52" s="83" t="b">
        <v>1</v>
      </c>
      <c r="I52" s="83" t="b">
        <v>0</v>
      </c>
      <c r="J52" s="83" t="b">
        <v>0</v>
      </c>
      <c r="K52" s="83" t="b">
        <v>0</v>
      </c>
      <c r="L52" s="83" t="b">
        <v>0</v>
      </c>
    </row>
    <row r="53" spans="1:12" ht="15">
      <c r="A53" s="84" t="s">
        <v>2713</v>
      </c>
      <c r="B53" s="83" t="s">
        <v>2138</v>
      </c>
      <c r="C53" s="83">
        <v>3</v>
      </c>
      <c r="D53" s="110">
        <v>0.0009817401136870353</v>
      </c>
      <c r="E53" s="110">
        <v>2.2425682871673684</v>
      </c>
      <c r="F53" s="83" t="s">
        <v>3175</v>
      </c>
      <c r="G53" s="83" t="b">
        <v>0</v>
      </c>
      <c r="H53" s="83" t="b">
        <v>0</v>
      </c>
      <c r="I53" s="83" t="b">
        <v>0</v>
      </c>
      <c r="J53" s="83" t="b">
        <v>0</v>
      </c>
      <c r="K53" s="83" t="b">
        <v>0</v>
      </c>
      <c r="L53" s="83" t="b">
        <v>0</v>
      </c>
    </row>
    <row r="54" spans="1:12" ht="15">
      <c r="A54" s="84" t="s">
        <v>2130</v>
      </c>
      <c r="B54" s="83" t="s">
        <v>2532</v>
      </c>
      <c r="C54" s="83">
        <v>3</v>
      </c>
      <c r="D54" s="110">
        <v>0.0009817401136870353</v>
      </c>
      <c r="E54" s="110">
        <v>1.7615519885641817</v>
      </c>
      <c r="F54" s="83" t="s">
        <v>3175</v>
      </c>
      <c r="G54" s="83" t="b">
        <v>0</v>
      </c>
      <c r="H54" s="83" t="b">
        <v>0</v>
      </c>
      <c r="I54" s="83" t="b">
        <v>0</v>
      </c>
      <c r="J54" s="83" t="b">
        <v>0</v>
      </c>
      <c r="K54" s="83" t="b">
        <v>0</v>
      </c>
      <c r="L54" s="83" t="b">
        <v>0</v>
      </c>
    </row>
    <row r="55" spans="1:12" ht="15">
      <c r="A55" s="84" t="s">
        <v>2718</v>
      </c>
      <c r="B55" s="83" t="s">
        <v>2719</v>
      </c>
      <c r="C55" s="83">
        <v>3</v>
      </c>
      <c r="D55" s="110">
        <v>0.0010564077853714232</v>
      </c>
      <c r="E55" s="110">
        <v>3.3336487565147013</v>
      </c>
      <c r="F55" s="83" t="s">
        <v>3175</v>
      </c>
      <c r="G55" s="83" t="b">
        <v>0</v>
      </c>
      <c r="H55" s="83" t="b">
        <v>0</v>
      </c>
      <c r="I55" s="83" t="b">
        <v>0</v>
      </c>
      <c r="J55" s="83" t="b">
        <v>0</v>
      </c>
      <c r="K55" s="83" t="b">
        <v>0</v>
      </c>
      <c r="L55" s="83" t="b">
        <v>0</v>
      </c>
    </row>
    <row r="56" spans="1:12" ht="15">
      <c r="A56" s="84" t="s">
        <v>2515</v>
      </c>
      <c r="B56" s="83" t="s">
        <v>2180</v>
      </c>
      <c r="C56" s="83">
        <v>3</v>
      </c>
      <c r="D56" s="110">
        <v>0.0011840530132148073</v>
      </c>
      <c r="E56" s="110">
        <v>2.634678752178682</v>
      </c>
      <c r="F56" s="83" t="s">
        <v>3175</v>
      </c>
      <c r="G56" s="83" t="b">
        <v>0</v>
      </c>
      <c r="H56" s="83" t="b">
        <v>0</v>
      </c>
      <c r="I56" s="83" t="b">
        <v>0</v>
      </c>
      <c r="J56" s="83" t="b">
        <v>0</v>
      </c>
      <c r="K56" s="83" t="b">
        <v>0</v>
      </c>
      <c r="L56" s="83" t="b">
        <v>0</v>
      </c>
    </row>
    <row r="57" spans="1:12" ht="15">
      <c r="A57" s="84" t="s">
        <v>2129</v>
      </c>
      <c r="B57" s="83" t="s">
        <v>2131</v>
      </c>
      <c r="C57" s="83">
        <v>3</v>
      </c>
      <c r="D57" s="110">
        <v>0.0010564077853714232</v>
      </c>
      <c r="E57" s="110">
        <v>0.4403186068119137</v>
      </c>
      <c r="F57" s="83" t="s">
        <v>3175</v>
      </c>
      <c r="G57" s="83" t="b">
        <v>0</v>
      </c>
      <c r="H57" s="83" t="b">
        <v>0</v>
      </c>
      <c r="I57" s="83" t="b">
        <v>0</v>
      </c>
      <c r="J57" s="83" t="b">
        <v>1</v>
      </c>
      <c r="K57" s="83" t="b">
        <v>0</v>
      </c>
      <c r="L57" s="83" t="b">
        <v>0</v>
      </c>
    </row>
    <row r="58" spans="1:12" ht="15">
      <c r="A58" s="84" t="s">
        <v>2427</v>
      </c>
      <c r="B58" s="83" t="s">
        <v>2427</v>
      </c>
      <c r="C58" s="83">
        <v>3</v>
      </c>
      <c r="D58" s="110">
        <v>0.0011840530132148073</v>
      </c>
      <c r="E58" s="110">
        <v>3.083771283298101</v>
      </c>
      <c r="F58" s="83" t="s">
        <v>3175</v>
      </c>
      <c r="G58" s="83" t="b">
        <v>0</v>
      </c>
      <c r="H58" s="83" t="b">
        <v>0</v>
      </c>
      <c r="I58" s="83" t="b">
        <v>0</v>
      </c>
      <c r="J58" s="83" t="b">
        <v>0</v>
      </c>
      <c r="K58" s="83" t="b">
        <v>0</v>
      </c>
      <c r="L58" s="83" t="b">
        <v>0</v>
      </c>
    </row>
    <row r="59" spans="1:12" ht="15">
      <c r="A59" s="84" t="s">
        <v>2160</v>
      </c>
      <c r="B59" s="83" t="s">
        <v>2200</v>
      </c>
      <c r="C59" s="83">
        <v>3</v>
      </c>
      <c r="D59" s="110">
        <v>0.0009817401136870353</v>
      </c>
      <c r="E59" s="110">
        <v>1.9534375148030951</v>
      </c>
      <c r="F59" s="83" t="s">
        <v>3175</v>
      </c>
      <c r="G59" s="83" t="b">
        <v>0</v>
      </c>
      <c r="H59" s="83" t="b">
        <v>0</v>
      </c>
      <c r="I59" s="83" t="b">
        <v>0</v>
      </c>
      <c r="J59" s="83" t="b">
        <v>0</v>
      </c>
      <c r="K59" s="83" t="b">
        <v>0</v>
      </c>
      <c r="L59" s="83" t="b">
        <v>0</v>
      </c>
    </row>
    <row r="60" spans="1:12" ht="15">
      <c r="A60" s="84" t="s">
        <v>2729</v>
      </c>
      <c r="B60" s="83" t="s">
        <v>2131</v>
      </c>
      <c r="C60" s="83">
        <v>2</v>
      </c>
      <c r="D60" s="110">
        <v>0.0007042718569142821</v>
      </c>
      <c r="E60" s="110">
        <v>2.0045900372504764</v>
      </c>
      <c r="F60" s="83" t="s">
        <v>3175</v>
      </c>
      <c r="G60" s="83" t="b">
        <v>0</v>
      </c>
      <c r="H60" s="83" t="b">
        <v>0</v>
      </c>
      <c r="I60" s="83" t="b">
        <v>0</v>
      </c>
      <c r="J60" s="83" t="b">
        <v>1</v>
      </c>
      <c r="K60" s="83" t="b">
        <v>0</v>
      </c>
      <c r="L60" s="83" t="b">
        <v>0</v>
      </c>
    </row>
    <row r="61" spans="1:12" ht="15">
      <c r="A61" s="84" t="s">
        <v>2130</v>
      </c>
      <c r="B61" s="83" t="s">
        <v>2137</v>
      </c>
      <c r="C61" s="83">
        <v>2</v>
      </c>
      <c r="D61" s="110">
        <v>0.0007042718569142821</v>
      </c>
      <c r="E61" s="110">
        <v>0.5964561138099639</v>
      </c>
      <c r="F61" s="83" t="s">
        <v>3175</v>
      </c>
      <c r="G61" s="83" t="b">
        <v>0</v>
      </c>
      <c r="H61" s="83" t="b">
        <v>0</v>
      </c>
      <c r="I61" s="83" t="b">
        <v>0</v>
      </c>
      <c r="J61" s="83" t="b">
        <v>0</v>
      </c>
      <c r="K61" s="83" t="b">
        <v>0</v>
      </c>
      <c r="L61" s="83" t="b">
        <v>0</v>
      </c>
    </row>
    <row r="62" spans="1:12" ht="15">
      <c r="A62" s="84" t="s">
        <v>2133</v>
      </c>
      <c r="B62" s="83" t="s">
        <v>2264</v>
      </c>
      <c r="C62" s="83">
        <v>2</v>
      </c>
      <c r="D62" s="110">
        <v>0.0007042718569142821</v>
      </c>
      <c r="E62" s="110">
        <v>1.567731962548069</v>
      </c>
      <c r="F62" s="83" t="s">
        <v>3175</v>
      </c>
      <c r="G62" s="83" t="b">
        <v>0</v>
      </c>
      <c r="H62" s="83" t="b">
        <v>0</v>
      </c>
      <c r="I62" s="83" t="b">
        <v>0</v>
      </c>
      <c r="J62" s="83" t="b">
        <v>0</v>
      </c>
      <c r="K62" s="83" t="b">
        <v>0</v>
      </c>
      <c r="L62" s="83" t="b">
        <v>0</v>
      </c>
    </row>
    <row r="63" spans="1:12" ht="15">
      <c r="A63" s="84" t="s">
        <v>2739</v>
      </c>
      <c r="B63" s="83" t="s">
        <v>2161</v>
      </c>
      <c r="C63" s="83">
        <v>2</v>
      </c>
      <c r="D63" s="110">
        <v>0.0007042718569142821</v>
      </c>
      <c r="E63" s="110">
        <v>2.5554975061310574</v>
      </c>
      <c r="F63" s="83" t="s">
        <v>3175</v>
      </c>
      <c r="G63" s="83" t="b">
        <v>0</v>
      </c>
      <c r="H63" s="83" t="b">
        <v>0</v>
      </c>
      <c r="I63" s="83" t="b">
        <v>0</v>
      </c>
      <c r="J63" s="83" t="b">
        <v>0</v>
      </c>
      <c r="K63" s="83" t="b">
        <v>0</v>
      </c>
      <c r="L63" s="83" t="b">
        <v>0</v>
      </c>
    </row>
    <row r="64" spans="1:12" ht="15">
      <c r="A64" s="84" t="s">
        <v>2145</v>
      </c>
      <c r="B64" s="83" t="s">
        <v>2131</v>
      </c>
      <c r="C64" s="83">
        <v>2</v>
      </c>
      <c r="D64" s="110">
        <v>0.0007042718569142821</v>
      </c>
      <c r="E64" s="110">
        <v>0.9438921968968647</v>
      </c>
      <c r="F64" s="83" t="s">
        <v>3175</v>
      </c>
      <c r="G64" s="83" t="b">
        <v>0</v>
      </c>
      <c r="H64" s="83" t="b">
        <v>0</v>
      </c>
      <c r="I64" s="83" t="b">
        <v>0</v>
      </c>
      <c r="J64" s="83" t="b">
        <v>1</v>
      </c>
      <c r="K64" s="83" t="b">
        <v>0</v>
      </c>
      <c r="L64" s="83" t="b">
        <v>0</v>
      </c>
    </row>
    <row r="65" spans="1:12" ht="15">
      <c r="A65" s="84" t="s">
        <v>2140</v>
      </c>
      <c r="B65" s="83" t="s">
        <v>2546</v>
      </c>
      <c r="C65" s="83">
        <v>2</v>
      </c>
      <c r="D65" s="110">
        <v>0.0007042718569142821</v>
      </c>
      <c r="E65" s="110">
        <v>2.187520720836463</v>
      </c>
      <c r="F65" s="83" t="s">
        <v>3175</v>
      </c>
      <c r="G65" s="83" t="b">
        <v>1</v>
      </c>
      <c r="H65" s="83" t="b">
        <v>0</v>
      </c>
      <c r="I65" s="83" t="b">
        <v>0</v>
      </c>
      <c r="J65" s="83" t="b">
        <v>0</v>
      </c>
      <c r="K65" s="83" t="b">
        <v>0</v>
      </c>
      <c r="L65" s="83" t="b">
        <v>0</v>
      </c>
    </row>
    <row r="66" spans="1:12" ht="15">
      <c r="A66" s="84" t="s">
        <v>2135</v>
      </c>
      <c r="B66" s="83" t="s">
        <v>2163</v>
      </c>
      <c r="C66" s="83">
        <v>2</v>
      </c>
      <c r="D66" s="110">
        <v>0.0007042718569142821</v>
      </c>
      <c r="E66" s="110">
        <v>1.2902864784935717</v>
      </c>
      <c r="F66" s="83" t="s">
        <v>3175</v>
      </c>
      <c r="G66" s="83" t="b">
        <v>1</v>
      </c>
      <c r="H66" s="83" t="b">
        <v>0</v>
      </c>
      <c r="I66" s="83" t="b">
        <v>0</v>
      </c>
      <c r="J66" s="83" t="b">
        <v>0</v>
      </c>
      <c r="K66" s="83" t="b">
        <v>0</v>
      </c>
      <c r="L66" s="83" t="b">
        <v>0</v>
      </c>
    </row>
    <row r="67" spans="1:12" ht="15">
      <c r="A67" s="84" t="s">
        <v>2747</v>
      </c>
      <c r="B67" s="83" t="s">
        <v>2136</v>
      </c>
      <c r="C67" s="83">
        <v>2</v>
      </c>
      <c r="D67" s="110">
        <v>0.0007893686754765382</v>
      </c>
      <c r="E67" s="110">
        <v>2.2309864146175533</v>
      </c>
      <c r="F67" s="83" t="s">
        <v>3175</v>
      </c>
      <c r="G67" s="83" t="b">
        <v>0</v>
      </c>
      <c r="H67" s="83" t="b">
        <v>0</v>
      </c>
      <c r="I67" s="83" t="b">
        <v>0</v>
      </c>
      <c r="J67" s="83" t="b">
        <v>0</v>
      </c>
      <c r="K67" s="83" t="b">
        <v>1</v>
      </c>
      <c r="L67" s="83" t="b">
        <v>0</v>
      </c>
    </row>
    <row r="68" spans="1:12" ht="15">
      <c r="A68" s="84" t="s">
        <v>2266</v>
      </c>
      <c r="B68" s="83" t="s">
        <v>2170</v>
      </c>
      <c r="C68" s="83">
        <v>2</v>
      </c>
      <c r="D68" s="110">
        <v>0.0007042718569142821</v>
      </c>
      <c r="E68" s="110">
        <v>2.1295287738587763</v>
      </c>
      <c r="F68" s="83" t="s">
        <v>3175</v>
      </c>
      <c r="G68" s="83" t="b">
        <v>0</v>
      </c>
      <c r="H68" s="83" t="b">
        <v>0</v>
      </c>
      <c r="I68" s="83" t="b">
        <v>0</v>
      </c>
      <c r="J68" s="83" t="b">
        <v>0</v>
      </c>
      <c r="K68" s="83" t="b">
        <v>0</v>
      </c>
      <c r="L68" s="83" t="b">
        <v>0</v>
      </c>
    </row>
    <row r="69" spans="1:12" ht="15">
      <c r="A69" s="84" t="s">
        <v>2551</v>
      </c>
      <c r="B69" s="83" t="s">
        <v>2269</v>
      </c>
      <c r="C69" s="83">
        <v>2</v>
      </c>
      <c r="D69" s="110">
        <v>0.0007893686754765382</v>
      </c>
      <c r="E69" s="110">
        <v>2.7895807121644256</v>
      </c>
      <c r="F69" s="83" t="s">
        <v>3175</v>
      </c>
      <c r="G69" s="83" t="b">
        <v>0</v>
      </c>
      <c r="H69" s="83" t="b">
        <v>0</v>
      </c>
      <c r="I69" s="83" t="b">
        <v>0</v>
      </c>
      <c r="J69" s="83" t="b">
        <v>0</v>
      </c>
      <c r="K69" s="83" t="b">
        <v>0</v>
      </c>
      <c r="L69" s="83" t="b">
        <v>0</v>
      </c>
    </row>
    <row r="70" spans="1:12" ht="15">
      <c r="A70" s="84" t="s">
        <v>2185</v>
      </c>
      <c r="B70" s="83" t="s">
        <v>2438</v>
      </c>
      <c r="C70" s="83">
        <v>2</v>
      </c>
      <c r="D70" s="110">
        <v>0.0007042718569142821</v>
      </c>
      <c r="E70" s="110">
        <v>2.4305587695227575</v>
      </c>
      <c r="F70" s="83" t="s">
        <v>3175</v>
      </c>
      <c r="G70" s="83" t="b">
        <v>0</v>
      </c>
      <c r="H70" s="83" t="b">
        <v>0</v>
      </c>
      <c r="I70" s="83" t="b">
        <v>0</v>
      </c>
      <c r="J70" s="83" t="b">
        <v>0</v>
      </c>
      <c r="K70" s="83" t="b">
        <v>0</v>
      </c>
      <c r="L70" s="83" t="b">
        <v>0</v>
      </c>
    </row>
    <row r="71" spans="1:12" ht="15">
      <c r="A71" s="84" t="s">
        <v>2137</v>
      </c>
      <c r="B71" s="83" t="s">
        <v>2134</v>
      </c>
      <c r="C71" s="83">
        <v>2</v>
      </c>
      <c r="D71" s="110">
        <v>0.0007042718569142821</v>
      </c>
      <c r="E71" s="110">
        <v>0.9082232319203722</v>
      </c>
      <c r="F71" s="83" t="s">
        <v>3175</v>
      </c>
      <c r="G71" s="83" t="b">
        <v>0</v>
      </c>
      <c r="H71" s="83" t="b">
        <v>0</v>
      </c>
      <c r="I71" s="83" t="b">
        <v>0</v>
      </c>
      <c r="J71" s="83" t="b">
        <v>0</v>
      </c>
      <c r="K71" s="83" t="b">
        <v>0</v>
      </c>
      <c r="L71" s="83" t="b">
        <v>0</v>
      </c>
    </row>
    <row r="72" spans="1:12" ht="15">
      <c r="A72" s="84" t="s">
        <v>2134</v>
      </c>
      <c r="B72" s="83" t="s">
        <v>2432</v>
      </c>
      <c r="C72" s="83">
        <v>2</v>
      </c>
      <c r="D72" s="110">
        <v>0.0007042718569142821</v>
      </c>
      <c r="E72" s="110">
        <v>1.9814662384033386</v>
      </c>
      <c r="F72" s="83" t="s">
        <v>3175</v>
      </c>
      <c r="G72" s="83" t="b">
        <v>0</v>
      </c>
      <c r="H72" s="83" t="b">
        <v>0</v>
      </c>
      <c r="I72" s="83" t="b">
        <v>0</v>
      </c>
      <c r="J72" s="83" t="b">
        <v>0</v>
      </c>
      <c r="K72" s="83" t="b">
        <v>0</v>
      </c>
      <c r="L72" s="83" t="b">
        <v>0</v>
      </c>
    </row>
    <row r="73" spans="1:12" ht="15">
      <c r="A73" s="84" t="s">
        <v>2170</v>
      </c>
      <c r="B73" s="83" t="s">
        <v>2129</v>
      </c>
      <c r="C73" s="83">
        <v>2</v>
      </c>
      <c r="D73" s="110">
        <v>0.0007042718569142821</v>
      </c>
      <c r="E73" s="110">
        <v>0.8546015807590003</v>
      </c>
      <c r="F73" s="83" t="s">
        <v>3175</v>
      </c>
      <c r="G73" s="83" t="b">
        <v>0</v>
      </c>
      <c r="H73" s="83" t="b">
        <v>0</v>
      </c>
      <c r="I73" s="83" t="b">
        <v>0</v>
      </c>
      <c r="J73" s="83" t="b">
        <v>0</v>
      </c>
      <c r="K73" s="83" t="b">
        <v>0</v>
      </c>
      <c r="L73" s="83" t="b">
        <v>0</v>
      </c>
    </row>
    <row r="74" spans="1:12" ht="15">
      <c r="A74" s="84" t="s">
        <v>2129</v>
      </c>
      <c r="B74" s="83" t="s">
        <v>2174</v>
      </c>
      <c r="C74" s="83">
        <v>2</v>
      </c>
      <c r="D74" s="110">
        <v>0.0007042718569142821</v>
      </c>
      <c r="E74" s="110">
        <v>0.8662873390841949</v>
      </c>
      <c r="F74" s="83" t="s">
        <v>3175</v>
      </c>
      <c r="G74" s="83" t="b">
        <v>0</v>
      </c>
      <c r="H74" s="83" t="b">
        <v>0</v>
      </c>
      <c r="I74" s="83" t="b">
        <v>0</v>
      </c>
      <c r="J74" s="83" t="b">
        <v>0</v>
      </c>
      <c r="K74" s="83" t="b">
        <v>0</v>
      </c>
      <c r="L74" s="83" t="b">
        <v>0</v>
      </c>
    </row>
    <row r="75" spans="1:12" ht="15">
      <c r="A75" s="84" t="s">
        <v>2277</v>
      </c>
      <c r="B75" s="83" t="s">
        <v>2371</v>
      </c>
      <c r="C75" s="83">
        <v>2</v>
      </c>
      <c r="D75" s="110">
        <v>0.0007042718569142821</v>
      </c>
      <c r="E75" s="110">
        <v>2.6646419755561253</v>
      </c>
      <c r="F75" s="83" t="s">
        <v>3175</v>
      </c>
      <c r="G75" s="83" t="b">
        <v>0</v>
      </c>
      <c r="H75" s="83" t="b">
        <v>0</v>
      </c>
      <c r="I75" s="83" t="b">
        <v>0</v>
      </c>
      <c r="J75" s="83" t="b">
        <v>0</v>
      </c>
      <c r="K75" s="83" t="b">
        <v>0</v>
      </c>
      <c r="L75" s="83" t="b">
        <v>0</v>
      </c>
    </row>
    <row r="76" spans="1:12" ht="15">
      <c r="A76" s="84" t="s">
        <v>2358</v>
      </c>
      <c r="B76" s="83" t="s">
        <v>2131</v>
      </c>
      <c r="C76" s="83">
        <v>2</v>
      </c>
      <c r="D76" s="110">
        <v>0.0007042718569142821</v>
      </c>
      <c r="E76" s="110">
        <v>1.6066500285784386</v>
      </c>
      <c r="F76" s="83" t="s">
        <v>3175</v>
      </c>
      <c r="G76" s="83" t="b">
        <v>0</v>
      </c>
      <c r="H76" s="83" t="b">
        <v>0</v>
      </c>
      <c r="I76" s="83" t="b">
        <v>0</v>
      </c>
      <c r="J76" s="83" t="b">
        <v>1</v>
      </c>
      <c r="K76" s="83" t="b">
        <v>0</v>
      </c>
      <c r="L76" s="83" t="b">
        <v>0</v>
      </c>
    </row>
    <row r="77" spans="1:12" ht="15">
      <c r="A77" s="84" t="s">
        <v>2569</v>
      </c>
      <c r="B77" s="83" t="s">
        <v>2137</v>
      </c>
      <c r="C77" s="83">
        <v>2</v>
      </c>
      <c r="D77" s="110">
        <v>0.0007042718569142821</v>
      </c>
      <c r="E77" s="110">
        <v>2.043614145152183</v>
      </c>
      <c r="F77" s="83" t="s">
        <v>3175</v>
      </c>
      <c r="G77" s="83" t="b">
        <v>0</v>
      </c>
      <c r="H77" s="83" t="b">
        <v>0</v>
      </c>
      <c r="I77" s="83" t="b">
        <v>0</v>
      </c>
      <c r="J77" s="83" t="b">
        <v>0</v>
      </c>
      <c r="K77" s="83" t="b">
        <v>0</v>
      </c>
      <c r="L77" s="83" t="b">
        <v>0</v>
      </c>
    </row>
    <row r="78" spans="1:12" ht="15">
      <c r="A78" s="84" t="s">
        <v>2357</v>
      </c>
      <c r="B78" s="83" t="s">
        <v>2783</v>
      </c>
      <c r="C78" s="83">
        <v>2</v>
      </c>
      <c r="D78" s="110">
        <v>0.0007042718569142821</v>
      </c>
      <c r="E78" s="110">
        <v>3.1118000068983447</v>
      </c>
      <c r="F78" s="83" t="s">
        <v>3175</v>
      </c>
      <c r="G78" s="83" t="b">
        <v>0</v>
      </c>
      <c r="H78" s="83" t="b">
        <v>0</v>
      </c>
      <c r="I78" s="83" t="b">
        <v>0</v>
      </c>
      <c r="J78" s="83" t="b">
        <v>0</v>
      </c>
      <c r="K78" s="83" t="b">
        <v>1</v>
      </c>
      <c r="L78" s="83" t="b">
        <v>0</v>
      </c>
    </row>
    <row r="79" spans="1:12" ht="15">
      <c r="A79" s="84" t="s">
        <v>2454</v>
      </c>
      <c r="B79" s="83" t="s">
        <v>2571</v>
      </c>
      <c r="C79" s="83">
        <v>2</v>
      </c>
      <c r="D79" s="110">
        <v>0.0007042718569142821</v>
      </c>
      <c r="E79" s="110">
        <v>3.03261876085072</v>
      </c>
      <c r="F79" s="83" t="s">
        <v>3175</v>
      </c>
      <c r="G79" s="83" t="b">
        <v>0</v>
      </c>
      <c r="H79" s="83" t="b">
        <v>0</v>
      </c>
      <c r="I79" s="83" t="b">
        <v>0</v>
      </c>
      <c r="J79" s="83" t="b">
        <v>0</v>
      </c>
      <c r="K79" s="83" t="b">
        <v>0</v>
      </c>
      <c r="L79" s="83" t="b">
        <v>0</v>
      </c>
    </row>
    <row r="80" spans="1:12" ht="15">
      <c r="A80" s="84" t="s">
        <v>2136</v>
      </c>
      <c r="B80" s="83" t="s">
        <v>2179</v>
      </c>
      <c r="C80" s="83">
        <v>2</v>
      </c>
      <c r="D80" s="110">
        <v>0.0007042718569142821</v>
      </c>
      <c r="E80" s="110">
        <v>1.333648756514701</v>
      </c>
      <c r="F80" s="83" t="s">
        <v>3175</v>
      </c>
      <c r="G80" s="83" t="b">
        <v>0</v>
      </c>
      <c r="H80" s="83" t="b">
        <v>1</v>
      </c>
      <c r="I80" s="83" t="b">
        <v>0</v>
      </c>
      <c r="J80" s="83" t="b">
        <v>0</v>
      </c>
      <c r="K80" s="83" t="b">
        <v>0</v>
      </c>
      <c r="L80" s="83" t="b">
        <v>0</v>
      </c>
    </row>
    <row r="81" spans="1:12" ht="15">
      <c r="A81" s="84" t="s">
        <v>2179</v>
      </c>
      <c r="B81" s="83" t="s">
        <v>2254</v>
      </c>
      <c r="C81" s="83">
        <v>2</v>
      </c>
      <c r="D81" s="110">
        <v>0.0007042718569142821</v>
      </c>
      <c r="E81" s="110">
        <v>2.03261876085072</v>
      </c>
      <c r="F81" s="83" t="s">
        <v>3175</v>
      </c>
      <c r="G81" s="83" t="b">
        <v>0</v>
      </c>
      <c r="H81" s="83" t="b">
        <v>0</v>
      </c>
      <c r="I81" s="83" t="b">
        <v>0</v>
      </c>
      <c r="J81" s="83" t="b">
        <v>0</v>
      </c>
      <c r="K81" s="83" t="b">
        <v>0</v>
      </c>
      <c r="L81" s="83" t="b">
        <v>0</v>
      </c>
    </row>
    <row r="82" spans="1:12" ht="15">
      <c r="A82" s="84" t="s">
        <v>2154</v>
      </c>
      <c r="B82" s="83" t="s">
        <v>2131</v>
      </c>
      <c r="C82" s="83">
        <v>2</v>
      </c>
      <c r="D82" s="110">
        <v>0.0007042718569142821</v>
      </c>
      <c r="E82" s="110">
        <v>1.0503475278111516</v>
      </c>
      <c r="F82" s="83" t="s">
        <v>3175</v>
      </c>
      <c r="G82" s="83" t="b">
        <v>0</v>
      </c>
      <c r="H82" s="83" t="b">
        <v>0</v>
      </c>
      <c r="I82" s="83" t="b">
        <v>0</v>
      </c>
      <c r="J82" s="83" t="b">
        <v>1</v>
      </c>
      <c r="K82" s="83" t="b">
        <v>0</v>
      </c>
      <c r="L82" s="83" t="b">
        <v>0</v>
      </c>
    </row>
    <row r="83" spans="1:12" ht="15">
      <c r="A83" s="84" t="s">
        <v>2579</v>
      </c>
      <c r="B83" s="83" t="s">
        <v>2458</v>
      </c>
      <c r="C83" s="83">
        <v>2</v>
      </c>
      <c r="D83" s="110">
        <v>0.0007893686754765382</v>
      </c>
      <c r="E83" s="110">
        <v>3.03261876085072</v>
      </c>
      <c r="F83" s="83" t="s">
        <v>3175</v>
      </c>
      <c r="G83" s="83" t="b">
        <v>0</v>
      </c>
      <c r="H83" s="83" t="b">
        <v>0</v>
      </c>
      <c r="I83" s="83" t="b">
        <v>0</v>
      </c>
      <c r="J83" s="83" t="b">
        <v>1</v>
      </c>
      <c r="K83" s="83" t="b">
        <v>0</v>
      </c>
      <c r="L83" s="83" t="b">
        <v>0</v>
      </c>
    </row>
    <row r="84" spans="1:12" ht="15">
      <c r="A84" s="84" t="s">
        <v>2275</v>
      </c>
      <c r="B84" s="83" t="s">
        <v>2792</v>
      </c>
      <c r="C84" s="83">
        <v>2</v>
      </c>
      <c r="D84" s="110">
        <v>0.0007042718569142821</v>
      </c>
      <c r="E84" s="110">
        <v>3.1118000068983447</v>
      </c>
      <c r="F84" s="83" t="s">
        <v>3175</v>
      </c>
      <c r="G84" s="83" t="b">
        <v>0</v>
      </c>
      <c r="H84" s="83" t="b">
        <v>0</v>
      </c>
      <c r="I84" s="83" t="b">
        <v>0</v>
      </c>
      <c r="J84" s="83" t="b">
        <v>1</v>
      </c>
      <c r="K84" s="83" t="b">
        <v>0</v>
      </c>
      <c r="L84" s="83" t="b">
        <v>0</v>
      </c>
    </row>
    <row r="85" spans="1:12" ht="15">
      <c r="A85" s="84" t="s">
        <v>2134</v>
      </c>
      <c r="B85" s="83" t="s">
        <v>2141</v>
      </c>
      <c r="C85" s="83">
        <v>2</v>
      </c>
      <c r="D85" s="110">
        <v>0.0007042718569142821</v>
      </c>
      <c r="E85" s="110">
        <v>1.0436141451521832</v>
      </c>
      <c r="F85" s="83" t="s">
        <v>3175</v>
      </c>
      <c r="G85" s="83" t="b">
        <v>0</v>
      </c>
      <c r="H85" s="83" t="b">
        <v>0</v>
      </c>
      <c r="I85" s="83" t="b">
        <v>0</v>
      </c>
      <c r="J85" s="83" t="b">
        <v>1</v>
      </c>
      <c r="K85" s="83" t="b">
        <v>0</v>
      </c>
      <c r="L85" s="83" t="b">
        <v>0</v>
      </c>
    </row>
    <row r="86" spans="1:12" ht="15">
      <c r="A86" s="84" t="s">
        <v>2371</v>
      </c>
      <c r="B86" s="83" t="s">
        <v>2237</v>
      </c>
      <c r="C86" s="83">
        <v>2</v>
      </c>
      <c r="D86" s="110">
        <v>0.0007042718569142821</v>
      </c>
      <c r="E86" s="110">
        <v>2.458587493123001</v>
      </c>
      <c r="F86" s="83" t="s">
        <v>3175</v>
      </c>
      <c r="G86" s="83" t="b">
        <v>0</v>
      </c>
      <c r="H86" s="83" t="b">
        <v>0</v>
      </c>
      <c r="I86" s="83" t="b">
        <v>0</v>
      </c>
      <c r="J86" s="83" t="b">
        <v>0</v>
      </c>
      <c r="K86" s="83" t="b">
        <v>0</v>
      </c>
      <c r="L86" s="83" t="b">
        <v>0</v>
      </c>
    </row>
    <row r="87" spans="1:12" ht="15">
      <c r="A87" s="84" t="s">
        <v>2162</v>
      </c>
      <c r="B87" s="83" t="s">
        <v>2169</v>
      </c>
      <c r="C87" s="83">
        <v>2</v>
      </c>
      <c r="D87" s="110">
        <v>0.0007042718569142821</v>
      </c>
      <c r="E87" s="110">
        <v>1.7052598264643897</v>
      </c>
      <c r="F87" s="83" t="s">
        <v>3175</v>
      </c>
      <c r="G87" s="83" t="b">
        <v>1</v>
      </c>
      <c r="H87" s="83" t="b">
        <v>0</v>
      </c>
      <c r="I87" s="83" t="b">
        <v>0</v>
      </c>
      <c r="J87" s="83" t="b">
        <v>0</v>
      </c>
      <c r="K87" s="83" t="b">
        <v>0</v>
      </c>
      <c r="L87" s="83" t="b">
        <v>0</v>
      </c>
    </row>
    <row r="88" spans="1:12" ht="15">
      <c r="A88" s="84" t="s">
        <v>2384</v>
      </c>
      <c r="B88" s="83" t="s">
        <v>2136</v>
      </c>
      <c r="C88" s="83">
        <v>2</v>
      </c>
      <c r="D88" s="110">
        <v>0.0007042718569142821</v>
      </c>
      <c r="E88" s="110">
        <v>1.929956418953572</v>
      </c>
      <c r="F88" s="83" t="s">
        <v>3175</v>
      </c>
      <c r="G88" s="83" t="b">
        <v>0</v>
      </c>
      <c r="H88" s="83" t="b">
        <v>0</v>
      </c>
      <c r="I88" s="83" t="b">
        <v>0</v>
      </c>
      <c r="J88" s="83" t="b">
        <v>0</v>
      </c>
      <c r="K88" s="83" t="b">
        <v>1</v>
      </c>
      <c r="L88" s="83" t="b">
        <v>0</v>
      </c>
    </row>
    <row r="89" spans="1:12" ht="15">
      <c r="A89" s="84" t="s">
        <v>2838</v>
      </c>
      <c r="B89" s="83" t="s">
        <v>2608</v>
      </c>
      <c r="C89" s="83">
        <v>2</v>
      </c>
      <c r="D89" s="110">
        <v>0.0007893686754765382</v>
      </c>
      <c r="E89" s="110">
        <v>3.3336487565147013</v>
      </c>
      <c r="F89" s="83" t="s">
        <v>3175</v>
      </c>
      <c r="G89" s="83" t="b">
        <v>1</v>
      </c>
      <c r="H89" s="83" t="b">
        <v>0</v>
      </c>
      <c r="I89" s="83" t="b">
        <v>0</v>
      </c>
      <c r="J89" s="83" t="b">
        <v>0</v>
      </c>
      <c r="K89" s="83" t="b">
        <v>0</v>
      </c>
      <c r="L89" s="83" t="b">
        <v>0</v>
      </c>
    </row>
    <row r="90" spans="1:12" ht="15">
      <c r="A90" s="84" t="s">
        <v>2164</v>
      </c>
      <c r="B90" s="83" t="s">
        <v>2161</v>
      </c>
      <c r="C90" s="83">
        <v>2</v>
      </c>
      <c r="D90" s="110">
        <v>0.0007042718569142821</v>
      </c>
      <c r="E90" s="110">
        <v>1.6012549966917327</v>
      </c>
      <c r="F90" s="83" t="s">
        <v>3175</v>
      </c>
      <c r="G90" s="83" t="b">
        <v>0</v>
      </c>
      <c r="H90" s="83" t="b">
        <v>0</v>
      </c>
      <c r="I90" s="83" t="b">
        <v>0</v>
      </c>
      <c r="J90" s="83" t="b">
        <v>0</v>
      </c>
      <c r="K90" s="83" t="b">
        <v>0</v>
      </c>
      <c r="L90" s="83" t="b">
        <v>0</v>
      </c>
    </row>
    <row r="91" spans="1:12" ht="15">
      <c r="A91" s="84" t="s">
        <v>2197</v>
      </c>
      <c r="B91" s="83" t="s">
        <v>2142</v>
      </c>
      <c r="C91" s="83">
        <v>2</v>
      </c>
      <c r="D91" s="110">
        <v>0.0007042718569142821</v>
      </c>
      <c r="E91" s="110">
        <v>1.6554339737693018</v>
      </c>
      <c r="F91" s="83" t="s">
        <v>3175</v>
      </c>
      <c r="G91" s="83" t="b">
        <v>0</v>
      </c>
      <c r="H91" s="83" t="b">
        <v>0</v>
      </c>
      <c r="I91" s="83" t="b">
        <v>0</v>
      </c>
      <c r="J91" s="83" t="b">
        <v>0</v>
      </c>
      <c r="K91" s="83" t="b">
        <v>0</v>
      </c>
      <c r="L91" s="83" t="b">
        <v>0</v>
      </c>
    </row>
    <row r="92" spans="1:12" ht="15">
      <c r="A92" s="84" t="s">
        <v>2192</v>
      </c>
      <c r="B92" s="83" t="s">
        <v>2358</v>
      </c>
      <c r="C92" s="83">
        <v>2</v>
      </c>
      <c r="D92" s="110">
        <v>0.0007042718569142821</v>
      </c>
      <c r="E92" s="110">
        <v>2.713859998226307</v>
      </c>
      <c r="F92" s="83" t="s">
        <v>3175</v>
      </c>
      <c r="G92" s="83" t="b">
        <v>0</v>
      </c>
      <c r="H92" s="83" t="b">
        <v>0</v>
      </c>
      <c r="I92" s="83" t="b">
        <v>0</v>
      </c>
      <c r="J92" s="83" t="b">
        <v>0</v>
      </c>
      <c r="K92" s="83" t="b">
        <v>0</v>
      </c>
      <c r="L92" s="83" t="b">
        <v>0</v>
      </c>
    </row>
    <row r="93" spans="1:12" ht="15">
      <c r="A93" s="84" t="s">
        <v>2244</v>
      </c>
      <c r="B93" s="83" t="s">
        <v>2131</v>
      </c>
      <c r="C93" s="83">
        <v>2</v>
      </c>
      <c r="D93" s="110">
        <v>0.0007042718569142821</v>
      </c>
      <c r="E93" s="110">
        <v>1.402530045922514</v>
      </c>
      <c r="F93" s="83" t="s">
        <v>3175</v>
      </c>
      <c r="G93" s="83" t="b">
        <v>0</v>
      </c>
      <c r="H93" s="83" t="b">
        <v>0</v>
      </c>
      <c r="I93" s="83" t="b">
        <v>0</v>
      </c>
      <c r="J93" s="83" t="b">
        <v>1</v>
      </c>
      <c r="K93" s="83" t="b">
        <v>0</v>
      </c>
      <c r="L93" s="83" t="b">
        <v>0</v>
      </c>
    </row>
    <row r="94" spans="1:12" ht="15">
      <c r="A94" s="84" t="s">
        <v>2856</v>
      </c>
      <c r="B94" s="83" t="s">
        <v>2857</v>
      </c>
      <c r="C94" s="83">
        <v>2</v>
      </c>
      <c r="D94" s="110">
        <v>0.0007893686754765382</v>
      </c>
      <c r="E94" s="110">
        <v>3.509740015570382</v>
      </c>
      <c r="F94" s="83" t="s">
        <v>3175</v>
      </c>
      <c r="G94" s="83" t="b">
        <v>0</v>
      </c>
      <c r="H94" s="83" t="b">
        <v>0</v>
      </c>
      <c r="I94" s="83" t="b">
        <v>0</v>
      </c>
      <c r="J94" s="83" t="b">
        <v>0</v>
      </c>
      <c r="K94" s="83" t="b">
        <v>0</v>
      </c>
      <c r="L94" s="83" t="b">
        <v>0</v>
      </c>
    </row>
    <row r="95" spans="1:12" ht="15">
      <c r="A95" s="84" t="s">
        <v>2285</v>
      </c>
      <c r="B95" s="83" t="s">
        <v>2129</v>
      </c>
      <c r="C95" s="83">
        <v>2</v>
      </c>
      <c r="D95" s="110">
        <v>0.0007042718569142821</v>
      </c>
      <c r="E95" s="110">
        <v>1.2136235234006683</v>
      </c>
      <c r="F95" s="83" t="s">
        <v>3175</v>
      </c>
      <c r="G95" s="83" t="b">
        <v>0</v>
      </c>
      <c r="H95" s="83" t="b">
        <v>0</v>
      </c>
      <c r="I95" s="83" t="b">
        <v>0</v>
      </c>
      <c r="J95" s="83" t="b">
        <v>0</v>
      </c>
      <c r="K95" s="83" t="b">
        <v>0</v>
      </c>
      <c r="L95" s="83" t="b">
        <v>0</v>
      </c>
    </row>
    <row r="96" spans="1:12" ht="15">
      <c r="A96" s="84" t="s">
        <v>2130</v>
      </c>
      <c r="B96" s="83" t="s">
        <v>2298</v>
      </c>
      <c r="C96" s="83">
        <v>2</v>
      </c>
      <c r="D96" s="110">
        <v>0.0007042718569142821</v>
      </c>
      <c r="E96" s="110">
        <v>1.4093694704528195</v>
      </c>
      <c r="F96" s="83" t="s">
        <v>3175</v>
      </c>
      <c r="G96" s="83" t="b">
        <v>0</v>
      </c>
      <c r="H96" s="83" t="b">
        <v>0</v>
      </c>
      <c r="I96" s="83" t="b">
        <v>0</v>
      </c>
      <c r="J96" s="83" t="b">
        <v>0</v>
      </c>
      <c r="K96" s="83" t="b">
        <v>0</v>
      </c>
      <c r="L96" s="83" t="b">
        <v>0</v>
      </c>
    </row>
    <row r="97" spans="1:12" ht="15">
      <c r="A97" s="84" t="s">
        <v>2280</v>
      </c>
      <c r="B97" s="83" t="s">
        <v>2278</v>
      </c>
      <c r="C97" s="83">
        <v>2</v>
      </c>
      <c r="D97" s="110">
        <v>0.0007042718569142821</v>
      </c>
      <c r="E97" s="110">
        <v>2.5554975061310574</v>
      </c>
      <c r="F97" s="83" t="s">
        <v>3175</v>
      </c>
      <c r="G97" s="83" t="b">
        <v>0</v>
      </c>
      <c r="H97" s="83" t="b">
        <v>0</v>
      </c>
      <c r="I97" s="83" t="b">
        <v>0</v>
      </c>
      <c r="J97" s="83" t="b">
        <v>0</v>
      </c>
      <c r="K97" s="83" t="b">
        <v>0</v>
      </c>
      <c r="L97" s="83" t="b">
        <v>0</v>
      </c>
    </row>
    <row r="98" spans="1:12" ht="15">
      <c r="A98" s="84" t="s">
        <v>2186</v>
      </c>
      <c r="B98" s="83" t="s">
        <v>2164</v>
      </c>
      <c r="C98" s="83">
        <v>2</v>
      </c>
      <c r="D98" s="110">
        <v>0.0007042718569142821</v>
      </c>
      <c r="E98" s="110">
        <v>1.742584149488202</v>
      </c>
      <c r="F98" s="83" t="s">
        <v>3175</v>
      </c>
      <c r="G98" s="83" t="b">
        <v>0</v>
      </c>
      <c r="H98" s="83" t="b">
        <v>0</v>
      </c>
      <c r="I98" s="83" t="b">
        <v>0</v>
      </c>
      <c r="J98" s="83" t="b">
        <v>0</v>
      </c>
      <c r="K98" s="83" t="b">
        <v>0</v>
      </c>
      <c r="L98" s="83" t="b">
        <v>0</v>
      </c>
    </row>
    <row r="99" spans="1:12" ht="15">
      <c r="A99" s="84" t="s">
        <v>2164</v>
      </c>
      <c r="B99" s="83" t="s">
        <v>2189</v>
      </c>
      <c r="C99" s="83">
        <v>2</v>
      </c>
      <c r="D99" s="110">
        <v>0.0007042718569142821</v>
      </c>
      <c r="E99" s="110">
        <v>1.777346255747414</v>
      </c>
      <c r="F99" s="83" t="s">
        <v>3175</v>
      </c>
      <c r="G99" s="83" t="b">
        <v>0</v>
      </c>
      <c r="H99" s="83" t="b">
        <v>0</v>
      </c>
      <c r="I99" s="83" t="b">
        <v>0</v>
      </c>
      <c r="J99" s="83" t="b">
        <v>0</v>
      </c>
      <c r="K99" s="83" t="b">
        <v>0</v>
      </c>
      <c r="L99" s="83" t="b">
        <v>0</v>
      </c>
    </row>
    <row r="100" spans="1:12" ht="15">
      <c r="A100" s="84" t="s">
        <v>2139</v>
      </c>
      <c r="B100" s="83" t="s">
        <v>2890</v>
      </c>
      <c r="C100" s="83">
        <v>2</v>
      </c>
      <c r="D100" s="110">
        <v>0.0007042718569142821</v>
      </c>
      <c r="E100" s="110">
        <v>2.2792910941921085</v>
      </c>
      <c r="F100" s="83" t="s">
        <v>3175</v>
      </c>
      <c r="G100" s="83" t="b">
        <v>0</v>
      </c>
      <c r="H100" s="83" t="b">
        <v>0</v>
      </c>
      <c r="I100" s="83" t="b">
        <v>0</v>
      </c>
      <c r="J100" s="83" t="b">
        <v>0</v>
      </c>
      <c r="K100" s="83" t="b">
        <v>0</v>
      </c>
      <c r="L100" s="83" t="b">
        <v>0</v>
      </c>
    </row>
    <row r="101" spans="1:12" ht="15">
      <c r="A101" s="84" t="s">
        <v>2890</v>
      </c>
      <c r="B101" s="83" t="s">
        <v>2398</v>
      </c>
      <c r="C101" s="83">
        <v>2</v>
      </c>
      <c r="D101" s="110">
        <v>0.0007042718569142821</v>
      </c>
      <c r="E101" s="110">
        <v>3.208710019906401</v>
      </c>
      <c r="F101" s="83" t="s">
        <v>3175</v>
      </c>
      <c r="G101" s="83" t="b">
        <v>0</v>
      </c>
      <c r="H101" s="83" t="b">
        <v>0</v>
      </c>
      <c r="I101" s="83" t="b">
        <v>0</v>
      </c>
      <c r="J101" s="83" t="b">
        <v>0</v>
      </c>
      <c r="K101" s="83" t="b">
        <v>0</v>
      </c>
      <c r="L101" s="83" t="b">
        <v>0</v>
      </c>
    </row>
    <row r="102" spans="1:12" ht="15">
      <c r="A102" s="84" t="s">
        <v>2398</v>
      </c>
      <c r="B102" s="83" t="s">
        <v>2399</v>
      </c>
      <c r="C102" s="83">
        <v>2</v>
      </c>
      <c r="D102" s="110">
        <v>0.0007042718569142821</v>
      </c>
      <c r="E102" s="110">
        <v>2.8107700112343634</v>
      </c>
      <c r="F102" s="83" t="s">
        <v>3175</v>
      </c>
      <c r="G102" s="83" t="b">
        <v>0</v>
      </c>
      <c r="H102" s="83" t="b">
        <v>0</v>
      </c>
      <c r="I102" s="83" t="b">
        <v>0</v>
      </c>
      <c r="J102" s="83" t="b">
        <v>0</v>
      </c>
      <c r="K102" s="83" t="b">
        <v>0</v>
      </c>
      <c r="L102" s="83" t="b">
        <v>0</v>
      </c>
    </row>
    <row r="103" spans="1:12" ht="15">
      <c r="A103" s="84" t="s">
        <v>2399</v>
      </c>
      <c r="B103" s="83" t="s">
        <v>2139</v>
      </c>
      <c r="C103" s="83">
        <v>2</v>
      </c>
      <c r="D103" s="110">
        <v>0.0007042718569142821</v>
      </c>
      <c r="E103" s="110">
        <v>2.567731962548069</v>
      </c>
      <c r="F103" s="83" t="s">
        <v>3175</v>
      </c>
      <c r="G103" s="83" t="b">
        <v>0</v>
      </c>
      <c r="H103" s="83" t="b">
        <v>0</v>
      </c>
      <c r="I103" s="83" t="b">
        <v>0</v>
      </c>
      <c r="J103" s="83" t="b">
        <v>0</v>
      </c>
      <c r="K103" s="83" t="b">
        <v>0</v>
      </c>
      <c r="L103" s="83" t="b">
        <v>0</v>
      </c>
    </row>
    <row r="104" spans="1:12" ht="15">
      <c r="A104" s="84" t="s">
        <v>2139</v>
      </c>
      <c r="B104" s="83" t="s">
        <v>2893</v>
      </c>
      <c r="C104" s="83">
        <v>2</v>
      </c>
      <c r="D104" s="110">
        <v>0.0007042718569142821</v>
      </c>
      <c r="E104" s="110">
        <v>2.2792910941921085</v>
      </c>
      <c r="F104" s="83" t="s">
        <v>3175</v>
      </c>
      <c r="G104" s="83" t="b">
        <v>0</v>
      </c>
      <c r="H104" s="83" t="b">
        <v>0</v>
      </c>
      <c r="I104" s="83" t="b">
        <v>0</v>
      </c>
      <c r="J104" s="83" t="b">
        <v>0</v>
      </c>
      <c r="K104" s="83" t="b">
        <v>0</v>
      </c>
      <c r="L104" s="83" t="b">
        <v>0</v>
      </c>
    </row>
    <row r="105" spans="1:12" ht="15">
      <c r="A105" s="84" t="s">
        <v>2893</v>
      </c>
      <c r="B105" s="83" t="s">
        <v>2399</v>
      </c>
      <c r="C105" s="83">
        <v>2</v>
      </c>
      <c r="D105" s="110">
        <v>0.0007042718569142821</v>
      </c>
      <c r="E105" s="110">
        <v>3.1118000068983447</v>
      </c>
      <c r="F105" s="83" t="s">
        <v>3175</v>
      </c>
      <c r="G105" s="83" t="b">
        <v>0</v>
      </c>
      <c r="H105" s="83" t="b">
        <v>0</v>
      </c>
      <c r="I105" s="83" t="b">
        <v>0</v>
      </c>
      <c r="J105" s="83" t="b">
        <v>0</v>
      </c>
      <c r="K105" s="83" t="b">
        <v>0</v>
      </c>
      <c r="L105" s="83" t="b">
        <v>0</v>
      </c>
    </row>
    <row r="106" spans="1:12" ht="15">
      <c r="A106" s="84" t="s">
        <v>2399</v>
      </c>
      <c r="B106" s="83" t="s">
        <v>2153</v>
      </c>
      <c r="C106" s="83">
        <v>2</v>
      </c>
      <c r="D106" s="110">
        <v>0.0007042718569142821</v>
      </c>
      <c r="E106" s="110">
        <v>2.1118000068983447</v>
      </c>
      <c r="F106" s="83" t="s">
        <v>3175</v>
      </c>
      <c r="G106" s="83" t="b">
        <v>0</v>
      </c>
      <c r="H106" s="83" t="b">
        <v>0</v>
      </c>
      <c r="I106" s="83" t="b">
        <v>0</v>
      </c>
      <c r="J106" s="83" t="b">
        <v>0</v>
      </c>
      <c r="K106" s="83" t="b">
        <v>0</v>
      </c>
      <c r="L106" s="83" t="b">
        <v>0</v>
      </c>
    </row>
    <row r="107" spans="1:12" ht="15">
      <c r="A107" s="84" t="s">
        <v>2139</v>
      </c>
      <c r="B107" s="83" t="s">
        <v>2895</v>
      </c>
      <c r="C107" s="83">
        <v>2</v>
      </c>
      <c r="D107" s="110">
        <v>0.0007042718569142821</v>
      </c>
      <c r="E107" s="110">
        <v>2.2792910941921085</v>
      </c>
      <c r="F107" s="83" t="s">
        <v>3175</v>
      </c>
      <c r="G107" s="83" t="b">
        <v>0</v>
      </c>
      <c r="H107" s="83" t="b">
        <v>0</v>
      </c>
      <c r="I107" s="83" t="b">
        <v>0</v>
      </c>
      <c r="J107" s="83" t="b">
        <v>0</v>
      </c>
      <c r="K107" s="83" t="b">
        <v>0</v>
      </c>
      <c r="L107" s="83" t="b">
        <v>0</v>
      </c>
    </row>
    <row r="108" spans="1:12" ht="15">
      <c r="A108" s="84" t="s">
        <v>2895</v>
      </c>
      <c r="B108" s="83" t="s">
        <v>2400</v>
      </c>
      <c r="C108" s="83">
        <v>2</v>
      </c>
      <c r="D108" s="110">
        <v>0.0007042718569142821</v>
      </c>
      <c r="E108" s="110">
        <v>3.1118000068983447</v>
      </c>
      <c r="F108" s="83" t="s">
        <v>3175</v>
      </c>
      <c r="G108" s="83" t="b">
        <v>0</v>
      </c>
      <c r="H108" s="83" t="b">
        <v>0</v>
      </c>
      <c r="I108" s="83" t="b">
        <v>0</v>
      </c>
      <c r="J108" s="83" t="b">
        <v>0</v>
      </c>
      <c r="K108" s="83" t="b">
        <v>0</v>
      </c>
      <c r="L108" s="83" t="b">
        <v>0</v>
      </c>
    </row>
    <row r="109" spans="1:12" ht="15">
      <c r="A109" s="84" t="s">
        <v>2400</v>
      </c>
      <c r="B109" s="83" t="s">
        <v>2153</v>
      </c>
      <c r="C109" s="83">
        <v>2</v>
      </c>
      <c r="D109" s="110">
        <v>0.0007042718569142821</v>
      </c>
      <c r="E109" s="110">
        <v>2.208710019906401</v>
      </c>
      <c r="F109" s="83" t="s">
        <v>3175</v>
      </c>
      <c r="G109" s="83" t="b">
        <v>0</v>
      </c>
      <c r="H109" s="83" t="b">
        <v>0</v>
      </c>
      <c r="I109" s="83" t="b">
        <v>0</v>
      </c>
      <c r="J109" s="83" t="b">
        <v>0</v>
      </c>
      <c r="K109" s="83" t="b">
        <v>0</v>
      </c>
      <c r="L109" s="83" t="b">
        <v>0</v>
      </c>
    </row>
    <row r="110" spans="1:12" ht="15">
      <c r="A110" s="84" t="s">
        <v>2184</v>
      </c>
      <c r="B110" s="83" t="s">
        <v>2130</v>
      </c>
      <c r="C110" s="83">
        <v>2</v>
      </c>
      <c r="D110" s="110">
        <v>0.0007042718569142821</v>
      </c>
      <c r="E110" s="110">
        <v>1.0964402514891305</v>
      </c>
      <c r="F110" s="83" t="s">
        <v>3175</v>
      </c>
      <c r="G110" s="83" t="b">
        <v>0</v>
      </c>
      <c r="H110" s="83" t="b">
        <v>0</v>
      </c>
      <c r="I110" s="83" t="b">
        <v>0</v>
      </c>
      <c r="J110" s="83" t="b">
        <v>0</v>
      </c>
      <c r="K110" s="83" t="b">
        <v>0</v>
      </c>
      <c r="L110" s="83" t="b">
        <v>0</v>
      </c>
    </row>
    <row r="111" spans="1:12" ht="15">
      <c r="A111" s="84" t="s">
        <v>2899</v>
      </c>
      <c r="B111" s="83" t="s">
        <v>2259</v>
      </c>
      <c r="C111" s="83">
        <v>2</v>
      </c>
      <c r="D111" s="110">
        <v>0.0007042718569142821</v>
      </c>
      <c r="E111" s="110">
        <v>3.03261876085072</v>
      </c>
      <c r="F111" s="83" t="s">
        <v>3175</v>
      </c>
      <c r="G111" s="83" t="b">
        <v>0</v>
      </c>
      <c r="H111" s="83" t="b">
        <v>0</v>
      </c>
      <c r="I111" s="83" t="b">
        <v>0</v>
      </c>
      <c r="J111" s="83" t="b">
        <v>0</v>
      </c>
      <c r="K111" s="83" t="b">
        <v>0</v>
      </c>
      <c r="L111" s="83" t="b">
        <v>0</v>
      </c>
    </row>
    <row r="112" spans="1:12" ht="15">
      <c r="A112" s="84" t="s">
        <v>2491</v>
      </c>
      <c r="B112" s="83" t="s">
        <v>2232</v>
      </c>
      <c r="C112" s="83">
        <v>2</v>
      </c>
      <c r="D112" s="110">
        <v>0.0007042718569142821</v>
      </c>
      <c r="E112" s="110">
        <v>2.5554975061310574</v>
      </c>
      <c r="F112" s="83" t="s">
        <v>3175</v>
      </c>
      <c r="G112" s="83" t="b">
        <v>0</v>
      </c>
      <c r="H112" s="83" t="b">
        <v>0</v>
      </c>
      <c r="I112" s="83" t="b">
        <v>0</v>
      </c>
      <c r="J112" s="83" t="b">
        <v>0</v>
      </c>
      <c r="K112" s="83" t="b">
        <v>0</v>
      </c>
      <c r="L112" s="83" t="b">
        <v>0</v>
      </c>
    </row>
    <row r="113" spans="1:12" ht="15">
      <c r="A113" s="84" t="s">
        <v>2645</v>
      </c>
      <c r="B113" s="83" t="s">
        <v>2494</v>
      </c>
      <c r="C113" s="83">
        <v>2</v>
      </c>
      <c r="D113" s="110">
        <v>0.0007893686754765382</v>
      </c>
      <c r="E113" s="110">
        <v>3.03261876085072</v>
      </c>
      <c r="F113" s="83" t="s">
        <v>3175</v>
      </c>
      <c r="G113" s="83" t="b">
        <v>0</v>
      </c>
      <c r="H113" s="83" t="b">
        <v>0</v>
      </c>
      <c r="I113" s="83" t="b">
        <v>0</v>
      </c>
      <c r="J113" s="83" t="b">
        <v>0</v>
      </c>
      <c r="K113" s="83" t="b">
        <v>1</v>
      </c>
      <c r="L113" s="83" t="b">
        <v>0</v>
      </c>
    </row>
    <row r="114" spans="1:12" ht="15">
      <c r="A114" s="84" t="s">
        <v>2494</v>
      </c>
      <c r="B114" s="83" t="s">
        <v>2130</v>
      </c>
      <c r="C114" s="83">
        <v>2</v>
      </c>
      <c r="D114" s="110">
        <v>0.0007893686754765382</v>
      </c>
      <c r="E114" s="110">
        <v>1.6405082958394062</v>
      </c>
      <c r="F114" s="83" t="s">
        <v>3175</v>
      </c>
      <c r="G114" s="83" t="b">
        <v>0</v>
      </c>
      <c r="H114" s="83" t="b">
        <v>1</v>
      </c>
      <c r="I114" s="83" t="b">
        <v>0</v>
      </c>
      <c r="J114" s="83" t="b">
        <v>0</v>
      </c>
      <c r="K114" s="83" t="b">
        <v>0</v>
      </c>
      <c r="L114" s="83" t="b">
        <v>0</v>
      </c>
    </row>
    <row r="115" spans="1:12" ht="15">
      <c r="A115" s="84" t="s">
        <v>2130</v>
      </c>
      <c r="B115" s="83" t="s">
        <v>2494</v>
      </c>
      <c r="C115" s="83">
        <v>2</v>
      </c>
      <c r="D115" s="110">
        <v>0.0007893686754765382</v>
      </c>
      <c r="E115" s="110">
        <v>1.5854607295085006</v>
      </c>
      <c r="F115" s="83" t="s">
        <v>3175</v>
      </c>
      <c r="G115" s="83" t="b">
        <v>0</v>
      </c>
      <c r="H115" s="83" t="b">
        <v>0</v>
      </c>
      <c r="I115" s="83" t="b">
        <v>0</v>
      </c>
      <c r="J115" s="83" t="b">
        <v>0</v>
      </c>
      <c r="K115" s="83" t="b">
        <v>1</v>
      </c>
      <c r="L115" s="83" t="b">
        <v>0</v>
      </c>
    </row>
    <row r="116" spans="1:12" ht="15">
      <c r="A116" s="84" t="s">
        <v>2208</v>
      </c>
      <c r="B116" s="83" t="s">
        <v>2228</v>
      </c>
      <c r="C116" s="83">
        <v>2</v>
      </c>
      <c r="D116" s="110">
        <v>0.0007893686754765382</v>
      </c>
      <c r="E116" s="110">
        <v>2.15755749745902</v>
      </c>
      <c r="F116" s="83" t="s">
        <v>3175</v>
      </c>
      <c r="G116" s="83" t="b">
        <v>0</v>
      </c>
      <c r="H116" s="83" t="b">
        <v>0</v>
      </c>
      <c r="I116" s="83" t="b">
        <v>0</v>
      </c>
      <c r="J116" s="83" t="b">
        <v>0</v>
      </c>
      <c r="K116" s="83" t="b">
        <v>0</v>
      </c>
      <c r="L116" s="83" t="b">
        <v>0</v>
      </c>
    </row>
    <row r="117" spans="1:12" ht="15">
      <c r="A117" s="84" t="s">
        <v>2162</v>
      </c>
      <c r="B117" s="83" t="s">
        <v>2133</v>
      </c>
      <c r="C117" s="83">
        <v>2</v>
      </c>
      <c r="D117" s="110">
        <v>0.0007042718569142821</v>
      </c>
      <c r="E117" s="110">
        <v>1.2185932538384967</v>
      </c>
      <c r="F117" s="83" t="s">
        <v>3175</v>
      </c>
      <c r="G117" s="83" t="b">
        <v>1</v>
      </c>
      <c r="H117" s="83" t="b">
        <v>0</v>
      </c>
      <c r="I117" s="83" t="b">
        <v>0</v>
      </c>
      <c r="J117" s="83" t="b">
        <v>0</v>
      </c>
      <c r="K117" s="83" t="b">
        <v>0</v>
      </c>
      <c r="L117" s="83" t="b">
        <v>0</v>
      </c>
    </row>
    <row r="118" spans="1:12" ht="15">
      <c r="A118" s="84" t="s">
        <v>2129</v>
      </c>
      <c r="B118" s="83" t="s">
        <v>2334</v>
      </c>
      <c r="C118" s="83">
        <v>2</v>
      </c>
      <c r="D118" s="110">
        <v>0.0007042718569142821</v>
      </c>
      <c r="E118" s="110">
        <v>1.3714373174041008</v>
      </c>
      <c r="F118" s="83" t="s">
        <v>3175</v>
      </c>
      <c r="G118" s="83" t="b">
        <v>0</v>
      </c>
      <c r="H118" s="83" t="b">
        <v>0</v>
      </c>
      <c r="I118" s="83" t="b">
        <v>0</v>
      </c>
      <c r="J118" s="83" t="b">
        <v>0</v>
      </c>
      <c r="K118" s="83" t="b">
        <v>0</v>
      </c>
      <c r="L118" s="83" t="b">
        <v>0</v>
      </c>
    </row>
    <row r="119" spans="1:12" ht="15">
      <c r="A119" s="84" t="s">
        <v>2196</v>
      </c>
      <c r="B119" s="83" t="s">
        <v>2129</v>
      </c>
      <c r="C119" s="83">
        <v>2</v>
      </c>
      <c r="D119" s="110">
        <v>0.0007042718569142821</v>
      </c>
      <c r="E119" s="110">
        <v>1.1044790539756002</v>
      </c>
      <c r="F119" s="83" t="s">
        <v>3175</v>
      </c>
      <c r="G119" s="83" t="b">
        <v>0</v>
      </c>
      <c r="H119" s="83" t="b">
        <v>0</v>
      </c>
      <c r="I119" s="83" t="b">
        <v>0</v>
      </c>
      <c r="J119" s="83" t="b">
        <v>0</v>
      </c>
      <c r="K119" s="83" t="b">
        <v>0</v>
      </c>
      <c r="L119" s="83" t="b">
        <v>0</v>
      </c>
    </row>
    <row r="120" spans="1:12" ht="15">
      <c r="A120" s="84" t="s">
        <v>2140</v>
      </c>
      <c r="B120" s="83" t="s">
        <v>2154</v>
      </c>
      <c r="C120" s="83">
        <v>2</v>
      </c>
      <c r="D120" s="110">
        <v>0.0007042718569142821</v>
      </c>
      <c r="E120" s="110">
        <v>1.3858883746032966</v>
      </c>
      <c r="F120" s="83" t="s">
        <v>3175</v>
      </c>
      <c r="G120" s="83" t="b">
        <v>1</v>
      </c>
      <c r="H120" s="83" t="b">
        <v>0</v>
      </c>
      <c r="I120" s="83" t="b">
        <v>0</v>
      </c>
      <c r="J120" s="83" t="b">
        <v>0</v>
      </c>
      <c r="K120" s="83" t="b">
        <v>0</v>
      </c>
      <c r="L120" s="83" t="b">
        <v>0</v>
      </c>
    </row>
    <row r="121" spans="1:12" ht="15">
      <c r="A121" s="84" t="s">
        <v>2650</v>
      </c>
      <c r="B121" s="83" t="s">
        <v>2381</v>
      </c>
      <c r="C121" s="83">
        <v>2</v>
      </c>
      <c r="D121" s="110">
        <v>0.0007042718569142821</v>
      </c>
      <c r="E121" s="110">
        <v>2.9357087478426633</v>
      </c>
      <c r="F121" s="83" t="s">
        <v>3175</v>
      </c>
      <c r="G121" s="83" t="b">
        <v>0</v>
      </c>
      <c r="H121" s="83" t="b">
        <v>0</v>
      </c>
      <c r="I121" s="83" t="b">
        <v>0</v>
      </c>
      <c r="J121" s="83" t="b">
        <v>0</v>
      </c>
      <c r="K121" s="83" t="b">
        <v>0</v>
      </c>
      <c r="L121" s="83" t="b">
        <v>0</v>
      </c>
    </row>
    <row r="122" spans="1:12" ht="15">
      <c r="A122" s="84" t="s">
        <v>2182</v>
      </c>
      <c r="B122" s="83" t="s">
        <v>2211</v>
      </c>
      <c r="C122" s="83">
        <v>2</v>
      </c>
      <c r="D122" s="110">
        <v>0.0007042718569142821</v>
      </c>
      <c r="E122" s="110">
        <v>1.9242792860618816</v>
      </c>
      <c r="F122" s="83" t="s">
        <v>3175</v>
      </c>
      <c r="G122" s="83" t="b">
        <v>0</v>
      </c>
      <c r="H122" s="83" t="b">
        <v>0</v>
      </c>
      <c r="I122" s="83" t="b">
        <v>0</v>
      </c>
      <c r="J122" s="83" t="b">
        <v>0</v>
      </c>
      <c r="K122" s="83" t="b">
        <v>0</v>
      </c>
      <c r="L122" s="83" t="b">
        <v>0</v>
      </c>
    </row>
    <row r="123" spans="1:12" ht="15">
      <c r="A123" s="84" t="s">
        <v>2134</v>
      </c>
      <c r="B123" s="83" t="s">
        <v>2129</v>
      </c>
      <c r="C123" s="83">
        <v>2</v>
      </c>
      <c r="D123" s="110">
        <v>0.0007042718569142821</v>
      </c>
      <c r="E123" s="110">
        <v>0.40550904963958134</v>
      </c>
      <c r="F123" s="83" t="s">
        <v>3175</v>
      </c>
      <c r="G123" s="83" t="b">
        <v>0</v>
      </c>
      <c r="H123" s="83" t="b">
        <v>0</v>
      </c>
      <c r="I123" s="83" t="b">
        <v>0</v>
      </c>
      <c r="J123" s="83" t="b">
        <v>0</v>
      </c>
      <c r="K123" s="83" t="b">
        <v>0</v>
      </c>
      <c r="L123" s="83" t="b">
        <v>0</v>
      </c>
    </row>
    <row r="124" spans="1:12" ht="15">
      <c r="A124" s="84" t="s">
        <v>2396</v>
      </c>
      <c r="B124" s="83" t="s">
        <v>2147</v>
      </c>
      <c r="C124" s="83">
        <v>2</v>
      </c>
      <c r="D124" s="110">
        <v>0.0007042718569142821</v>
      </c>
      <c r="E124" s="110">
        <v>2.208710019906401</v>
      </c>
      <c r="F124" s="83" t="s">
        <v>3175</v>
      </c>
      <c r="G124" s="83" t="b">
        <v>0</v>
      </c>
      <c r="H124" s="83" t="b">
        <v>0</v>
      </c>
      <c r="I124" s="83" t="b">
        <v>0</v>
      </c>
      <c r="J124" s="83" t="b">
        <v>0</v>
      </c>
      <c r="K124" s="83" t="b">
        <v>0</v>
      </c>
      <c r="L124" s="83" t="b">
        <v>0</v>
      </c>
    </row>
    <row r="125" spans="1:12" ht="15">
      <c r="A125" s="84" t="s">
        <v>2408</v>
      </c>
      <c r="B125" s="83" t="s">
        <v>2390</v>
      </c>
      <c r="C125" s="83">
        <v>2</v>
      </c>
      <c r="D125" s="110">
        <v>0.0007893686754765382</v>
      </c>
      <c r="E125" s="110">
        <v>2.8107700112343634</v>
      </c>
      <c r="F125" s="83" t="s">
        <v>3175</v>
      </c>
      <c r="G125" s="83" t="b">
        <v>0</v>
      </c>
      <c r="H125" s="83" t="b">
        <v>0</v>
      </c>
      <c r="I125" s="83" t="b">
        <v>0</v>
      </c>
      <c r="J125" s="83" t="b">
        <v>0</v>
      </c>
      <c r="K125" s="83" t="b">
        <v>0</v>
      </c>
      <c r="L125" s="83" t="b">
        <v>0</v>
      </c>
    </row>
    <row r="126" spans="1:12" ht="15">
      <c r="A126" s="84" t="s">
        <v>2160</v>
      </c>
      <c r="B126" s="83" t="s">
        <v>2408</v>
      </c>
      <c r="C126" s="83">
        <v>2</v>
      </c>
      <c r="D126" s="110">
        <v>0.0007042718569142821</v>
      </c>
      <c r="E126" s="110">
        <v>2.15755749745902</v>
      </c>
      <c r="F126" s="83" t="s">
        <v>3175</v>
      </c>
      <c r="G126" s="83" t="b">
        <v>0</v>
      </c>
      <c r="H126" s="83" t="b">
        <v>0</v>
      </c>
      <c r="I126" s="83" t="b">
        <v>0</v>
      </c>
      <c r="J126" s="83" t="b">
        <v>0</v>
      </c>
      <c r="K126" s="83" t="b">
        <v>0</v>
      </c>
      <c r="L126" s="83" t="b">
        <v>0</v>
      </c>
    </row>
    <row r="127" spans="1:12" ht="15">
      <c r="A127" s="84" t="s">
        <v>2337</v>
      </c>
      <c r="B127" s="83" t="s">
        <v>2937</v>
      </c>
      <c r="C127" s="83">
        <v>2</v>
      </c>
      <c r="D127" s="110">
        <v>0.0007893686754765382</v>
      </c>
      <c r="E127" s="110">
        <v>3.03261876085072</v>
      </c>
      <c r="F127" s="83" t="s">
        <v>3175</v>
      </c>
      <c r="G127" s="83" t="b">
        <v>0</v>
      </c>
      <c r="H127" s="83" t="b">
        <v>0</v>
      </c>
      <c r="I127" s="83" t="b">
        <v>0</v>
      </c>
      <c r="J127" s="83" t="b">
        <v>0</v>
      </c>
      <c r="K127" s="83" t="b">
        <v>0</v>
      </c>
      <c r="L127" s="83" t="b">
        <v>0</v>
      </c>
    </row>
    <row r="128" spans="1:12" ht="15">
      <c r="A128" s="84" t="s">
        <v>2937</v>
      </c>
      <c r="B128" s="83" t="s">
        <v>2661</v>
      </c>
      <c r="C128" s="83">
        <v>2</v>
      </c>
      <c r="D128" s="110">
        <v>0.0007893686754765382</v>
      </c>
      <c r="E128" s="110">
        <v>3.3336487565147013</v>
      </c>
      <c r="F128" s="83" t="s">
        <v>3175</v>
      </c>
      <c r="G128" s="83" t="b">
        <v>0</v>
      </c>
      <c r="H128" s="83" t="b">
        <v>0</v>
      </c>
      <c r="I128" s="83" t="b">
        <v>0</v>
      </c>
      <c r="J128" s="83" t="b">
        <v>0</v>
      </c>
      <c r="K128" s="83" t="b">
        <v>0</v>
      </c>
      <c r="L128" s="83" t="b">
        <v>0</v>
      </c>
    </row>
    <row r="129" spans="1:12" ht="15">
      <c r="A129" s="84" t="s">
        <v>2661</v>
      </c>
      <c r="B129" s="83" t="s">
        <v>2938</v>
      </c>
      <c r="C129" s="83">
        <v>2</v>
      </c>
      <c r="D129" s="110">
        <v>0.0007893686754765382</v>
      </c>
      <c r="E129" s="110">
        <v>3.509740015570382</v>
      </c>
      <c r="F129" s="83" t="s">
        <v>3175</v>
      </c>
      <c r="G129" s="83" t="b">
        <v>0</v>
      </c>
      <c r="H129" s="83" t="b">
        <v>0</v>
      </c>
      <c r="I129" s="83" t="b">
        <v>0</v>
      </c>
      <c r="J129" s="83" t="b">
        <v>0</v>
      </c>
      <c r="K129" s="83" t="b">
        <v>0</v>
      </c>
      <c r="L129" s="83" t="b">
        <v>0</v>
      </c>
    </row>
    <row r="130" spans="1:12" ht="15">
      <c r="A130" s="84" t="s">
        <v>2938</v>
      </c>
      <c r="B130" s="83" t="s">
        <v>2939</v>
      </c>
      <c r="C130" s="83">
        <v>2</v>
      </c>
      <c r="D130" s="110">
        <v>0.0007893686754765382</v>
      </c>
      <c r="E130" s="110">
        <v>3.509740015570382</v>
      </c>
      <c r="F130" s="83" t="s">
        <v>3175</v>
      </c>
      <c r="G130" s="83" t="b">
        <v>0</v>
      </c>
      <c r="H130" s="83" t="b">
        <v>0</v>
      </c>
      <c r="I130" s="83" t="b">
        <v>0</v>
      </c>
      <c r="J130" s="83" t="b">
        <v>0</v>
      </c>
      <c r="K130" s="83" t="b">
        <v>1</v>
      </c>
      <c r="L130" s="83" t="b">
        <v>0</v>
      </c>
    </row>
    <row r="131" spans="1:12" ht="15">
      <c r="A131" s="84" t="s">
        <v>2939</v>
      </c>
      <c r="B131" s="83" t="s">
        <v>2940</v>
      </c>
      <c r="C131" s="83">
        <v>2</v>
      </c>
      <c r="D131" s="110">
        <v>0.0007893686754765382</v>
      </c>
      <c r="E131" s="110">
        <v>3.509740015570382</v>
      </c>
      <c r="F131" s="83" t="s">
        <v>3175</v>
      </c>
      <c r="G131" s="83" t="b">
        <v>0</v>
      </c>
      <c r="H131" s="83" t="b">
        <v>1</v>
      </c>
      <c r="I131" s="83" t="b">
        <v>0</v>
      </c>
      <c r="J131" s="83" t="b">
        <v>0</v>
      </c>
      <c r="K131" s="83" t="b">
        <v>0</v>
      </c>
      <c r="L131" s="83" t="b">
        <v>0</v>
      </c>
    </row>
    <row r="132" spans="1:12" ht="15">
      <c r="A132" s="84" t="s">
        <v>2940</v>
      </c>
      <c r="B132" s="83" t="s">
        <v>2270</v>
      </c>
      <c r="C132" s="83">
        <v>2</v>
      </c>
      <c r="D132" s="110">
        <v>0.0007893686754765382</v>
      </c>
      <c r="E132" s="110">
        <v>2.9656719712201065</v>
      </c>
      <c r="F132" s="83" t="s">
        <v>3175</v>
      </c>
      <c r="G132" s="83" t="b">
        <v>0</v>
      </c>
      <c r="H132" s="83" t="b">
        <v>0</v>
      </c>
      <c r="I132" s="83" t="b">
        <v>0</v>
      </c>
      <c r="J132" s="83" t="b">
        <v>0</v>
      </c>
      <c r="K132" s="83" t="b">
        <v>0</v>
      </c>
      <c r="L132" s="83" t="b">
        <v>0</v>
      </c>
    </row>
    <row r="133" spans="1:12" ht="15">
      <c r="A133" s="84" t="s">
        <v>2270</v>
      </c>
      <c r="B133" s="83" t="s">
        <v>2941</v>
      </c>
      <c r="C133" s="83">
        <v>2</v>
      </c>
      <c r="D133" s="110">
        <v>0.0007893686754765382</v>
      </c>
      <c r="E133" s="110">
        <v>2.9656719712201065</v>
      </c>
      <c r="F133" s="83" t="s">
        <v>3175</v>
      </c>
      <c r="G133" s="83" t="b">
        <v>0</v>
      </c>
      <c r="H133" s="83" t="b">
        <v>0</v>
      </c>
      <c r="I133" s="83" t="b">
        <v>0</v>
      </c>
      <c r="J133" s="83" t="b">
        <v>0</v>
      </c>
      <c r="K133" s="83" t="b">
        <v>0</v>
      </c>
      <c r="L133" s="83" t="b">
        <v>0</v>
      </c>
    </row>
    <row r="134" spans="1:12" ht="15">
      <c r="A134" s="84" t="s">
        <v>2942</v>
      </c>
      <c r="B134" s="83" t="s">
        <v>2943</v>
      </c>
      <c r="C134" s="83">
        <v>2</v>
      </c>
      <c r="D134" s="110">
        <v>0.0007042718569142821</v>
      </c>
      <c r="E134" s="110">
        <v>3.509740015570382</v>
      </c>
      <c r="F134" s="83" t="s">
        <v>3175</v>
      </c>
      <c r="G134" s="83" t="b">
        <v>0</v>
      </c>
      <c r="H134" s="83" t="b">
        <v>0</v>
      </c>
      <c r="I134" s="83" t="b">
        <v>0</v>
      </c>
      <c r="J134" s="83" t="b">
        <v>0</v>
      </c>
      <c r="K134" s="83" t="b">
        <v>0</v>
      </c>
      <c r="L134" s="83" t="b">
        <v>0</v>
      </c>
    </row>
    <row r="135" spans="1:12" ht="15">
      <c r="A135" s="84" t="s">
        <v>2180</v>
      </c>
      <c r="B135" s="83" t="s">
        <v>2590</v>
      </c>
      <c r="C135" s="83">
        <v>2</v>
      </c>
      <c r="D135" s="110">
        <v>0.0007042718569142821</v>
      </c>
      <c r="E135" s="110">
        <v>2.4885507165004443</v>
      </c>
      <c r="F135" s="83" t="s">
        <v>3175</v>
      </c>
      <c r="G135" s="83" t="b">
        <v>0</v>
      </c>
      <c r="H135" s="83" t="b">
        <v>0</v>
      </c>
      <c r="I135" s="83" t="b">
        <v>0</v>
      </c>
      <c r="J135" s="83" t="b">
        <v>0</v>
      </c>
      <c r="K135" s="83" t="b">
        <v>0</v>
      </c>
      <c r="L135" s="83" t="b">
        <v>0</v>
      </c>
    </row>
    <row r="136" spans="1:12" ht="15">
      <c r="A136" s="84" t="s">
        <v>2340</v>
      </c>
      <c r="B136" s="83" t="s">
        <v>2142</v>
      </c>
      <c r="C136" s="83">
        <v>2</v>
      </c>
      <c r="D136" s="110">
        <v>0.0007893686754765382</v>
      </c>
      <c r="E136" s="110">
        <v>1.918675408543883</v>
      </c>
      <c r="F136" s="83" t="s">
        <v>3175</v>
      </c>
      <c r="G136" s="83" t="b">
        <v>1</v>
      </c>
      <c r="H136" s="83" t="b">
        <v>0</v>
      </c>
      <c r="I136" s="83" t="b">
        <v>0</v>
      </c>
      <c r="J136" s="83" t="b">
        <v>0</v>
      </c>
      <c r="K136" s="83" t="b">
        <v>0</v>
      </c>
      <c r="L136" s="83" t="b">
        <v>0</v>
      </c>
    </row>
    <row r="137" spans="1:12" ht="15">
      <c r="A137" s="84" t="s">
        <v>2151</v>
      </c>
      <c r="B137" s="83" t="s">
        <v>2135</v>
      </c>
      <c r="C137" s="83">
        <v>2</v>
      </c>
      <c r="D137" s="110">
        <v>0.0007042718569142821</v>
      </c>
      <c r="E137" s="110">
        <v>1.2425682871673687</v>
      </c>
      <c r="F137" s="83" t="s">
        <v>3175</v>
      </c>
      <c r="G137" s="83" t="b">
        <v>0</v>
      </c>
      <c r="H137" s="83" t="b">
        <v>0</v>
      </c>
      <c r="I137" s="83" t="b">
        <v>0</v>
      </c>
      <c r="J137" s="83" t="b">
        <v>1</v>
      </c>
      <c r="K137" s="83" t="b">
        <v>0</v>
      </c>
      <c r="L137" s="83" t="b">
        <v>0</v>
      </c>
    </row>
    <row r="138" spans="1:12" ht="15">
      <c r="A138" s="84" t="s">
        <v>2168</v>
      </c>
      <c r="B138" s="83" t="s">
        <v>2213</v>
      </c>
      <c r="C138" s="83">
        <v>2</v>
      </c>
      <c r="D138" s="110">
        <v>0.0007042718569142821</v>
      </c>
      <c r="E138" s="110">
        <v>1.90768002424242</v>
      </c>
      <c r="F138" s="83" t="s">
        <v>3175</v>
      </c>
      <c r="G138" s="83" t="b">
        <v>0</v>
      </c>
      <c r="H138" s="83" t="b">
        <v>0</v>
      </c>
      <c r="I138" s="83" t="b">
        <v>0</v>
      </c>
      <c r="J138" s="83" t="b">
        <v>0</v>
      </c>
      <c r="K138" s="83" t="b">
        <v>0</v>
      </c>
      <c r="L138" s="83" t="b">
        <v>0</v>
      </c>
    </row>
    <row r="139" spans="1:12" ht="15">
      <c r="A139" s="84" t="s">
        <v>2179</v>
      </c>
      <c r="B139" s="83" t="s">
        <v>2168</v>
      </c>
      <c r="C139" s="83">
        <v>2</v>
      </c>
      <c r="D139" s="110">
        <v>0.0007042718569142821</v>
      </c>
      <c r="E139" s="110">
        <v>1.7052598264643897</v>
      </c>
      <c r="F139" s="83" t="s">
        <v>3175</v>
      </c>
      <c r="G139" s="83" t="b">
        <v>0</v>
      </c>
      <c r="H139" s="83" t="b">
        <v>0</v>
      </c>
      <c r="I139" s="83" t="b">
        <v>0</v>
      </c>
      <c r="J139" s="83" t="b">
        <v>0</v>
      </c>
      <c r="K139" s="83" t="b">
        <v>0</v>
      </c>
      <c r="L139" s="83" t="b">
        <v>0</v>
      </c>
    </row>
    <row r="140" spans="1:12" ht="15">
      <c r="A140" s="84" t="s">
        <v>2310</v>
      </c>
      <c r="B140" s="83" t="s">
        <v>2221</v>
      </c>
      <c r="C140" s="83">
        <v>2</v>
      </c>
      <c r="D140" s="110">
        <v>0.0007893686754765382</v>
      </c>
      <c r="E140" s="110">
        <v>2.3336487565147013</v>
      </c>
      <c r="F140" s="83" t="s">
        <v>3175</v>
      </c>
      <c r="G140" s="83" t="b">
        <v>0</v>
      </c>
      <c r="H140" s="83" t="b">
        <v>0</v>
      </c>
      <c r="I140" s="83" t="b">
        <v>0</v>
      </c>
      <c r="J140" s="83" t="b">
        <v>0</v>
      </c>
      <c r="K140" s="83" t="b">
        <v>0</v>
      </c>
      <c r="L140" s="83" t="b">
        <v>0</v>
      </c>
    </row>
    <row r="141" spans="1:12" ht="15">
      <c r="A141" s="84" t="s">
        <v>2262</v>
      </c>
      <c r="B141" s="83" t="s">
        <v>2410</v>
      </c>
      <c r="C141" s="83">
        <v>2</v>
      </c>
      <c r="D141" s="110">
        <v>0.0007042718569142821</v>
      </c>
      <c r="E141" s="110">
        <v>2.509740015570382</v>
      </c>
      <c r="F141" s="83" t="s">
        <v>3175</v>
      </c>
      <c r="G141" s="83" t="b">
        <v>0</v>
      </c>
      <c r="H141" s="83" t="b">
        <v>0</v>
      </c>
      <c r="I141" s="83" t="b">
        <v>0</v>
      </c>
      <c r="J141" s="83" t="b">
        <v>0</v>
      </c>
      <c r="K141" s="83" t="b">
        <v>0</v>
      </c>
      <c r="L141" s="83" t="b">
        <v>0</v>
      </c>
    </row>
    <row r="142" spans="1:12" ht="15">
      <c r="A142" s="84" t="s">
        <v>2410</v>
      </c>
      <c r="B142" s="83" t="s">
        <v>2159</v>
      </c>
      <c r="C142" s="83">
        <v>2</v>
      </c>
      <c r="D142" s="110">
        <v>0.0007042718569142821</v>
      </c>
      <c r="E142" s="110">
        <v>2.134076401609497</v>
      </c>
      <c r="F142" s="83" t="s">
        <v>3175</v>
      </c>
      <c r="G142" s="83" t="b">
        <v>0</v>
      </c>
      <c r="H142" s="83" t="b">
        <v>0</v>
      </c>
      <c r="I142" s="83" t="b">
        <v>0</v>
      </c>
      <c r="J142" s="83" t="b">
        <v>0</v>
      </c>
      <c r="K142" s="83" t="b">
        <v>0</v>
      </c>
      <c r="L142" s="83" t="b">
        <v>0</v>
      </c>
    </row>
    <row r="143" spans="1:12" ht="15">
      <c r="A143" s="84" t="s">
        <v>2312</v>
      </c>
      <c r="B143" s="83" t="s">
        <v>2159</v>
      </c>
      <c r="C143" s="83">
        <v>2</v>
      </c>
      <c r="D143" s="110">
        <v>0.0007042718569142821</v>
      </c>
      <c r="E143" s="110">
        <v>2.054895155561872</v>
      </c>
      <c r="F143" s="83" t="s">
        <v>3175</v>
      </c>
      <c r="G143" s="83" t="b">
        <v>0</v>
      </c>
      <c r="H143" s="83" t="b">
        <v>0</v>
      </c>
      <c r="I143" s="83" t="b">
        <v>0</v>
      </c>
      <c r="J143" s="83" t="b">
        <v>0</v>
      </c>
      <c r="K143" s="83" t="b">
        <v>0</v>
      </c>
      <c r="L143" s="83" t="b">
        <v>0</v>
      </c>
    </row>
    <row r="144" spans="1:12" ht="15">
      <c r="A144" s="84" t="s">
        <v>2136</v>
      </c>
      <c r="B144" s="83" t="s">
        <v>2146</v>
      </c>
      <c r="C144" s="83">
        <v>2</v>
      </c>
      <c r="D144" s="110">
        <v>0.0007042718569142821</v>
      </c>
      <c r="E144" s="110">
        <v>1.1673173347481762</v>
      </c>
      <c r="F144" s="83" t="s">
        <v>3175</v>
      </c>
      <c r="G144" s="83" t="b">
        <v>0</v>
      </c>
      <c r="H144" s="83" t="b">
        <v>1</v>
      </c>
      <c r="I144" s="83" t="b">
        <v>0</v>
      </c>
      <c r="J144" s="83" t="b">
        <v>0</v>
      </c>
      <c r="K144" s="83" t="b">
        <v>1</v>
      </c>
      <c r="L144" s="83" t="b">
        <v>0</v>
      </c>
    </row>
    <row r="145" spans="1:12" ht="15">
      <c r="A145" s="84" t="s">
        <v>2133</v>
      </c>
      <c r="B145" s="83" t="s">
        <v>2365</v>
      </c>
      <c r="C145" s="83">
        <v>2</v>
      </c>
      <c r="D145" s="110">
        <v>0.0007042718569142821</v>
      </c>
      <c r="E145" s="110">
        <v>1.8107700112343634</v>
      </c>
      <c r="F145" s="83" t="s">
        <v>3175</v>
      </c>
      <c r="G145" s="83" t="b">
        <v>0</v>
      </c>
      <c r="H145" s="83" t="b">
        <v>0</v>
      </c>
      <c r="I145" s="83" t="b">
        <v>0</v>
      </c>
      <c r="J145" s="83" t="b">
        <v>0</v>
      </c>
      <c r="K145" s="83" t="b">
        <v>0</v>
      </c>
      <c r="L145" s="83" t="b">
        <v>0</v>
      </c>
    </row>
    <row r="146" spans="1:12" ht="15">
      <c r="A146" s="84" t="s">
        <v>2130</v>
      </c>
      <c r="B146" s="83" t="s">
        <v>2168</v>
      </c>
      <c r="C146" s="83">
        <v>2</v>
      </c>
      <c r="D146" s="110">
        <v>0.0007042718569142821</v>
      </c>
      <c r="E146" s="110">
        <v>0.9570717994581891</v>
      </c>
      <c r="F146" s="83" t="s">
        <v>3175</v>
      </c>
      <c r="G146" s="83" t="b">
        <v>0</v>
      </c>
      <c r="H146" s="83" t="b">
        <v>0</v>
      </c>
      <c r="I146" s="83" t="b">
        <v>0</v>
      </c>
      <c r="J146" s="83" t="b">
        <v>0</v>
      </c>
      <c r="K146" s="83" t="b">
        <v>0</v>
      </c>
      <c r="L146" s="83" t="b">
        <v>0</v>
      </c>
    </row>
    <row r="147" spans="1:12" ht="15">
      <c r="A147" s="84" t="s">
        <v>2159</v>
      </c>
      <c r="B147" s="83" t="s">
        <v>2262</v>
      </c>
      <c r="C147" s="83">
        <v>2</v>
      </c>
      <c r="D147" s="110">
        <v>0.0007893686754765382</v>
      </c>
      <c r="E147" s="110">
        <v>1.929956418953572</v>
      </c>
      <c r="F147" s="83" t="s">
        <v>3175</v>
      </c>
      <c r="G147" s="83" t="b">
        <v>0</v>
      </c>
      <c r="H147" s="83" t="b">
        <v>0</v>
      </c>
      <c r="I147" s="83" t="b">
        <v>0</v>
      </c>
      <c r="J147" s="83" t="b">
        <v>0</v>
      </c>
      <c r="K147" s="83" t="b">
        <v>0</v>
      </c>
      <c r="L147" s="83" t="b">
        <v>0</v>
      </c>
    </row>
    <row r="148" spans="1:12" ht="15">
      <c r="A148" s="84" t="s">
        <v>2176</v>
      </c>
      <c r="B148" s="83" t="s">
        <v>2262</v>
      </c>
      <c r="C148" s="83">
        <v>2</v>
      </c>
      <c r="D148" s="110">
        <v>0.0007893686754765382</v>
      </c>
      <c r="E148" s="110">
        <v>2.0045900372504764</v>
      </c>
      <c r="F148" s="83" t="s">
        <v>3175</v>
      </c>
      <c r="G148" s="83" t="b">
        <v>0</v>
      </c>
      <c r="H148" s="83" t="b">
        <v>0</v>
      </c>
      <c r="I148" s="83" t="b">
        <v>0</v>
      </c>
      <c r="J148" s="83" t="b">
        <v>0</v>
      </c>
      <c r="K148" s="83" t="b">
        <v>0</v>
      </c>
      <c r="L148" s="83" t="b">
        <v>0</v>
      </c>
    </row>
    <row r="149" spans="1:12" ht="15">
      <c r="A149" s="84" t="s">
        <v>2962</v>
      </c>
      <c r="B149" s="83" t="s">
        <v>2289</v>
      </c>
      <c r="C149" s="83">
        <v>2</v>
      </c>
      <c r="D149" s="110">
        <v>0.0007893686754765382</v>
      </c>
      <c r="E149" s="110">
        <v>3.03261876085072</v>
      </c>
      <c r="F149" s="83" t="s">
        <v>3175</v>
      </c>
      <c r="G149" s="83" t="b">
        <v>0</v>
      </c>
      <c r="H149" s="83" t="b">
        <v>0</v>
      </c>
      <c r="I149" s="83" t="b">
        <v>0</v>
      </c>
      <c r="J149" s="83" t="b">
        <v>1</v>
      </c>
      <c r="K149" s="83" t="b">
        <v>0</v>
      </c>
      <c r="L149" s="83" t="b">
        <v>0</v>
      </c>
    </row>
    <row r="150" spans="1:12" ht="15">
      <c r="A150" s="84" t="s">
        <v>2558</v>
      </c>
      <c r="B150" s="83" t="s">
        <v>2189</v>
      </c>
      <c r="C150" s="83">
        <v>2</v>
      </c>
      <c r="D150" s="110">
        <v>0.0007042718569142821</v>
      </c>
      <c r="E150" s="110">
        <v>2.5554975061310574</v>
      </c>
      <c r="F150" s="83" t="s">
        <v>3175</v>
      </c>
      <c r="G150" s="83" t="b">
        <v>0</v>
      </c>
      <c r="H150" s="83" t="b">
        <v>0</v>
      </c>
      <c r="I150" s="83" t="b">
        <v>0</v>
      </c>
      <c r="J150" s="83" t="b">
        <v>0</v>
      </c>
      <c r="K150" s="83" t="b">
        <v>0</v>
      </c>
      <c r="L150" s="83" t="b">
        <v>0</v>
      </c>
    </row>
    <row r="151" spans="1:12" ht="15">
      <c r="A151" s="84" t="s">
        <v>2502</v>
      </c>
      <c r="B151" s="83" t="s">
        <v>2134</v>
      </c>
      <c r="C151" s="83">
        <v>2</v>
      </c>
      <c r="D151" s="110">
        <v>0.0007042718569142821</v>
      </c>
      <c r="E151" s="110">
        <v>1.8376421576346649</v>
      </c>
      <c r="F151" s="83" t="s">
        <v>3175</v>
      </c>
      <c r="G151" s="83" t="b">
        <v>0</v>
      </c>
      <c r="H151" s="83" t="b">
        <v>0</v>
      </c>
      <c r="I151" s="83" t="b">
        <v>0</v>
      </c>
      <c r="J151" s="83" t="b">
        <v>0</v>
      </c>
      <c r="K151" s="83" t="b">
        <v>0</v>
      </c>
      <c r="L151" s="83" t="b">
        <v>0</v>
      </c>
    </row>
    <row r="152" spans="1:12" ht="15">
      <c r="A152" s="84" t="s">
        <v>2967</v>
      </c>
      <c r="B152" s="83" t="s">
        <v>2968</v>
      </c>
      <c r="C152" s="83">
        <v>2</v>
      </c>
      <c r="D152" s="110">
        <v>0.0007042718569142821</v>
      </c>
      <c r="E152" s="110">
        <v>3.509740015570382</v>
      </c>
      <c r="F152" s="83" t="s">
        <v>3175</v>
      </c>
      <c r="G152" s="83" t="b">
        <v>0</v>
      </c>
      <c r="H152" s="83" t="b">
        <v>1</v>
      </c>
      <c r="I152" s="83" t="b">
        <v>0</v>
      </c>
      <c r="J152" s="83" t="b">
        <v>0</v>
      </c>
      <c r="K152" s="83" t="b">
        <v>0</v>
      </c>
      <c r="L152" s="83" t="b">
        <v>0</v>
      </c>
    </row>
    <row r="153" spans="1:12" ht="15">
      <c r="A153" s="84" t="s">
        <v>2968</v>
      </c>
      <c r="B153" s="83" t="s">
        <v>2504</v>
      </c>
      <c r="C153" s="83">
        <v>2</v>
      </c>
      <c r="D153" s="110">
        <v>0.0007042718569142821</v>
      </c>
      <c r="E153" s="110">
        <v>3.208710019906401</v>
      </c>
      <c r="F153" s="83" t="s">
        <v>3175</v>
      </c>
      <c r="G153" s="83" t="b">
        <v>0</v>
      </c>
      <c r="H153" s="83" t="b">
        <v>0</v>
      </c>
      <c r="I153" s="83" t="b">
        <v>0</v>
      </c>
      <c r="J153" s="83" t="b">
        <v>0</v>
      </c>
      <c r="K153" s="83" t="b">
        <v>0</v>
      </c>
      <c r="L153" s="83" t="b">
        <v>0</v>
      </c>
    </row>
    <row r="154" spans="1:12" ht="15">
      <c r="A154" s="84" t="s">
        <v>2504</v>
      </c>
      <c r="B154" s="83" t="s">
        <v>2414</v>
      </c>
      <c r="C154" s="83">
        <v>2</v>
      </c>
      <c r="D154" s="110">
        <v>0.0007042718569142821</v>
      </c>
      <c r="E154" s="110">
        <v>2.8107700112343634</v>
      </c>
      <c r="F154" s="83" t="s">
        <v>3175</v>
      </c>
      <c r="G154" s="83" t="b">
        <v>0</v>
      </c>
      <c r="H154" s="83" t="b">
        <v>0</v>
      </c>
      <c r="I154" s="83" t="b">
        <v>0</v>
      </c>
      <c r="J154" s="83" t="b">
        <v>0</v>
      </c>
      <c r="K154" s="83" t="b">
        <v>0</v>
      </c>
      <c r="L154" s="83" t="b">
        <v>0</v>
      </c>
    </row>
    <row r="155" spans="1:12" ht="15">
      <c r="A155" s="84" t="s">
        <v>2173</v>
      </c>
      <c r="B155" s="83" t="s">
        <v>2969</v>
      </c>
      <c r="C155" s="83">
        <v>2</v>
      </c>
      <c r="D155" s="110">
        <v>0.0007042718569142821</v>
      </c>
      <c r="E155" s="110">
        <v>2.634678752178682</v>
      </c>
      <c r="F155" s="83" t="s">
        <v>3175</v>
      </c>
      <c r="G155" s="83" t="b">
        <v>0</v>
      </c>
      <c r="H155" s="83" t="b">
        <v>0</v>
      </c>
      <c r="I155" s="83" t="b">
        <v>0</v>
      </c>
      <c r="J155" s="83" t="b">
        <v>0</v>
      </c>
      <c r="K155" s="83" t="b">
        <v>0</v>
      </c>
      <c r="L155" s="83" t="b">
        <v>0</v>
      </c>
    </row>
    <row r="156" spans="1:12" ht="15">
      <c r="A156" s="84" t="s">
        <v>2969</v>
      </c>
      <c r="B156" s="83" t="s">
        <v>2188</v>
      </c>
      <c r="C156" s="83">
        <v>2</v>
      </c>
      <c r="D156" s="110">
        <v>0.0007042718569142821</v>
      </c>
      <c r="E156" s="110">
        <v>2.6646419755561253</v>
      </c>
      <c r="F156" s="83" t="s">
        <v>3175</v>
      </c>
      <c r="G156" s="83" t="b">
        <v>0</v>
      </c>
      <c r="H156" s="83" t="b">
        <v>0</v>
      </c>
      <c r="I156" s="83" t="b">
        <v>0</v>
      </c>
      <c r="J156" s="83" t="b">
        <v>1</v>
      </c>
      <c r="K156" s="83" t="b">
        <v>0</v>
      </c>
      <c r="L156" s="83" t="b">
        <v>0</v>
      </c>
    </row>
    <row r="157" spans="1:12" ht="15">
      <c r="A157" s="84" t="s">
        <v>2188</v>
      </c>
      <c r="B157" s="83" t="s">
        <v>2392</v>
      </c>
      <c r="C157" s="83">
        <v>2</v>
      </c>
      <c r="D157" s="110">
        <v>0.0007042718569142821</v>
      </c>
      <c r="E157" s="110">
        <v>2.593286067020457</v>
      </c>
      <c r="F157" s="83" t="s">
        <v>3175</v>
      </c>
      <c r="G157" s="83" t="b">
        <v>1</v>
      </c>
      <c r="H157" s="83" t="b">
        <v>0</v>
      </c>
      <c r="I157" s="83" t="b">
        <v>0</v>
      </c>
      <c r="J157" s="83" t="b">
        <v>0</v>
      </c>
      <c r="K157" s="83" t="b">
        <v>0</v>
      </c>
      <c r="L157" s="83" t="b">
        <v>0</v>
      </c>
    </row>
    <row r="158" spans="1:12" ht="15">
      <c r="A158" s="84" t="s">
        <v>2392</v>
      </c>
      <c r="B158" s="83" t="s">
        <v>2970</v>
      </c>
      <c r="C158" s="83">
        <v>2</v>
      </c>
      <c r="D158" s="110">
        <v>0.0007042718569142821</v>
      </c>
      <c r="E158" s="110">
        <v>3.1118000068983447</v>
      </c>
      <c r="F158" s="83" t="s">
        <v>3175</v>
      </c>
      <c r="G158" s="83" t="b">
        <v>0</v>
      </c>
      <c r="H158" s="83" t="b">
        <v>0</v>
      </c>
      <c r="I158" s="83" t="b">
        <v>0</v>
      </c>
      <c r="J158" s="83" t="b">
        <v>0</v>
      </c>
      <c r="K158" s="83" t="b">
        <v>0</v>
      </c>
      <c r="L158" s="83" t="b">
        <v>0</v>
      </c>
    </row>
    <row r="159" spans="1:12" ht="15">
      <c r="A159" s="84" t="s">
        <v>2970</v>
      </c>
      <c r="B159" s="83" t="s">
        <v>2505</v>
      </c>
      <c r="C159" s="83">
        <v>2</v>
      </c>
      <c r="D159" s="110">
        <v>0.0007042718569142821</v>
      </c>
      <c r="E159" s="110">
        <v>3.208710019906401</v>
      </c>
      <c r="F159" s="83" t="s">
        <v>3175</v>
      </c>
      <c r="G159" s="83" t="b">
        <v>0</v>
      </c>
      <c r="H159" s="83" t="b">
        <v>0</v>
      </c>
      <c r="I159" s="83" t="b">
        <v>0</v>
      </c>
      <c r="J159" s="83" t="b">
        <v>0</v>
      </c>
      <c r="K159" s="83" t="b">
        <v>0</v>
      </c>
      <c r="L159" s="83" t="b">
        <v>0</v>
      </c>
    </row>
    <row r="160" spans="1:12" ht="15">
      <c r="A160" s="84" t="s">
        <v>2505</v>
      </c>
      <c r="B160" s="83" t="s">
        <v>2196</v>
      </c>
      <c r="C160" s="83">
        <v>2</v>
      </c>
      <c r="D160" s="110">
        <v>0.0007042718569142821</v>
      </c>
      <c r="E160" s="110">
        <v>2.5554975061310574</v>
      </c>
      <c r="F160" s="83" t="s">
        <v>3175</v>
      </c>
      <c r="G160" s="83" t="b">
        <v>0</v>
      </c>
      <c r="H160" s="83" t="b">
        <v>0</v>
      </c>
      <c r="I160" s="83" t="b">
        <v>0</v>
      </c>
      <c r="J160" s="83" t="b">
        <v>0</v>
      </c>
      <c r="K160" s="83" t="b">
        <v>0</v>
      </c>
      <c r="L160" s="83" t="b">
        <v>0</v>
      </c>
    </row>
    <row r="161" spans="1:12" ht="15">
      <c r="A161" s="84" t="s">
        <v>2196</v>
      </c>
      <c r="B161" s="83" t="s">
        <v>2971</v>
      </c>
      <c r="C161" s="83">
        <v>2</v>
      </c>
      <c r="D161" s="110">
        <v>0.0007042718569142821</v>
      </c>
      <c r="E161" s="110">
        <v>2.8565275017950387</v>
      </c>
      <c r="F161" s="83" t="s">
        <v>3175</v>
      </c>
      <c r="G161" s="83" t="b">
        <v>0</v>
      </c>
      <c r="H161" s="83" t="b">
        <v>0</v>
      </c>
      <c r="I161" s="83" t="b">
        <v>0</v>
      </c>
      <c r="J161" s="83" t="b">
        <v>0</v>
      </c>
      <c r="K161" s="83" t="b">
        <v>0</v>
      </c>
      <c r="L161" s="83" t="b">
        <v>0</v>
      </c>
    </row>
    <row r="162" spans="1:12" ht="15">
      <c r="A162" s="84" t="s">
        <v>2971</v>
      </c>
      <c r="B162" s="83" t="s">
        <v>2673</v>
      </c>
      <c r="C162" s="83">
        <v>2</v>
      </c>
      <c r="D162" s="110">
        <v>0.0007042718569142821</v>
      </c>
      <c r="E162" s="110">
        <v>3.3336487565147013</v>
      </c>
      <c r="F162" s="83" t="s">
        <v>3175</v>
      </c>
      <c r="G162" s="83" t="b">
        <v>0</v>
      </c>
      <c r="H162" s="83" t="b">
        <v>0</v>
      </c>
      <c r="I162" s="83" t="b">
        <v>0</v>
      </c>
      <c r="J162" s="83" t="b">
        <v>0</v>
      </c>
      <c r="K162" s="83" t="b">
        <v>0</v>
      </c>
      <c r="L162" s="83" t="b">
        <v>0</v>
      </c>
    </row>
    <row r="163" spans="1:12" ht="15">
      <c r="A163" s="84" t="s">
        <v>2673</v>
      </c>
      <c r="B163" s="83" t="s">
        <v>2230</v>
      </c>
      <c r="C163" s="83">
        <v>2</v>
      </c>
      <c r="D163" s="110">
        <v>0.0007042718569142821</v>
      </c>
      <c r="E163" s="110">
        <v>2.6804362427393573</v>
      </c>
      <c r="F163" s="83" t="s">
        <v>3175</v>
      </c>
      <c r="G163" s="83" t="b">
        <v>0</v>
      </c>
      <c r="H163" s="83" t="b">
        <v>0</v>
      </c>
      <c r="I163" s="83" t="b">
        <v>0</v>
      </c>
      <c r="J163" s="83" t="b">
        <v>0</v>
      </c>
      <c r="K163" s="83" t="b">
        <v>0</v>
      </c>
      <c r="L163" s="83" t="b">
        <v>0</v>
      </c>
    </row>
    <row r="164" spans="1:12" ht="15">
      <c r="A164" s="84" t="s">
        <v>2230</v>
      </c>
      <c r="B164" s="83" t="s">
        <v>2972</v>
      </c>
      <c r="C164" s="83">
        <v>2</v>
      </c>
      <c r="D164" s="110">
        <v>0.0007042718569142821</v>
      </c>
      <c r="E164" s="110">
        <v>2.8565275017950387</v>
      </c>
      <c r="F164" s="83" t="s">
        <v>3175</v>
      </c>
      <c r="G164" s="83" t="b">
        <v>0</v>
      </c>
      <c r="H164" s="83" t="b">
        <v>0</v>
      </c>
      <c r="I164" s="83" t="b">
        <v>0</v>
      </c>
      <c r="J164" s="83" t="b">
        <v>0</v>
      </c>
      <c r="K164" s="83" t="b">
        <v>0</v>
      </c>
      <c r="L164" s="83" t="b">
        <v>0</v>
      </c>
    </row>
    <row r="165" spans="1:12" ht="15">
      <c r="A165" s="84" t="s">
        <v>2972</v>
      </c>
      <c r="B165" s="83" t="s">
        <v>2973</v>
      </c>
      <c r="C165" s="83">
        <v>2</v>
      </c>
      <c r="D165" s="110">
        <v>0.0007042718569142821</v>
      </c>
      <c r="E165" s="110">
        <v>3.509740015570382</v>
      </c>
      <c r="F165" s="83" t="s">
        <v>3175</v>
      </c>
      <c r="G165" s="83" t="b">
        <v>0</v>
      </c>
      <c r="H165" s="83" t="b">
        <v>0</v>
      </c>
      <c r="I165" s="83" t="b">
        <v>0</v>
      </c>
      <c r="J165" s="83" t="b">
        <v>0</v>
      </c>
      <c r="K165" s="83" t="b">
        <v>0</v>
      </c>
      <c r="L165" s="83" t="b">
        <v>0</v>
      </c>
    </row>
    <row r="166" spans="1:12" ht="15">
      <c r="A166" s="84" t="s">
        <v>2973</v>
      </c>
      <c r="B166" s="83" t="s">
        <v>2166</v>
      </c>
      <c r="C166" s="83">
        <v>2</v>
      </c>
      <c r="D166" s="110">
        <v>0.0007042718569142821</v>
      </c>
      <c r="E166" s="110">
        <v>2.8565275017950387</v>
      </c>
      <c r="F166" s="83" t="s">
        <v>3175</v>
      </c>
      <c r="G166" s="83" t="b">
        <v>0</v>
      </c>
      <c r="H166" s="83" t="b">
        <v>0</v>
      </c>
      <c r="I166" s="83" t="b">
        <v>0</v>
      </c>
      <c r="J166" s="83" t="b">
        <v>0</v>
      </c>
      <c r="K166" s="83" t="b">
        <v>0</v>
      </c>
      <c r="L166" s="83" t="b">
        <v>0</v>
      </c>
    </row>
    <row r="167" spans="1:12" ht="15">
      <c r="A167" s="84" t="s">
        <v>2332</v>
      </c>
      <c r="B167" s="83" t="s">
        <v>2240</v>
      </c>
      <c r="C167" s="83">
        <v>2</v>
      </c>
      <c r="D167" s="110">
        <v>0.0007042718569142821</v>
      </c>
      <c r="E167" s="110">
        <v>2.3794062470753765</v>
      </c>
      <c r="F167" s="83" t="s">
        <v>3175</v>
      </c>
      <c r="G167" s="83" t="b">
        <v>0</v>
      </c>
      <c r="H167" s="83" t="b">
        <v>0</v>
      </c>
      <c r="I167" s="83" t="b">
        <v>0</v>
      </c>
      <c r="J167" s="83" t="b">
        <v>0</v>
      </c>
      <c r="K167" s="83" t="b">
        <v>0</v>
      </c>
      <c r="L167" s="83" t="b">
        <v>0</v>
      </c>
    </row>
    <row r="168" spans="1:12" ht="15">
      <c r="A168" s="84" t="s">
        <v>2240</v>
      </c>
      <c r="B168" s="83" t="s">
        <v>2301</v>
      </c>
      <c r="C168" s="83">
        <v>2</v>
      </c>
      <c r="D168" s="110">
        <v>0.0007042718569142821</v>
      </c>
      <c r="E168" s="110">
        <v>2.458587493123001</v>
      </c>
      <c r="F168" s="83" t="s">
        <v>3175</v>
      </c>
      <c r="G168" s="83" t="b">
        <v>0</v>
      </c>
      <c r="H168" s="83" t="b">
        <v>0</v>
      </c>
      <c r="I168" s="83" t="b">
        <v>0</v>
      </c>
      <c r="J168" s="83" t="b">
        <v>0</v>
      </c>
      <c r="K168" s="83" t="b">
        <v>0</v>
      </c>
      <c r="L168" s="83" t="b">
        <v>0</v>
      </c>
    </row>
    <row r="169" spans="1:12" ht="15">
      <c r="A169" s="84" t="s">
        <v>2301</v>
      </c>
      <c r="B169" s="83" t="s">
        <v>2212</v>
      </c>
      <c r="C169" s="83">
        <v>2</v>
      </c>
      <c r="D169" s="110">
        <v>0.0007042718569142821</v>
      </c>
      <c r="E169" s="110">
        <v>2.292256071356476</v>
      </c>
      <c r="F169" s="83" t="s">
        <v>3175</v>
      </c>
      <c r="G169" s="83" t="b">
        <v>0</v>
      </c>
      <c r="H169" s="83" t="b">
        <v>0</v>
      </c>
      <c r="I169" s="83" t="b">
        <v>0</v>
      </c>
      <c r="J169" s="83" t="b">
        <v>0</v>
      </c>
      <c r="K169" s="83" t="b">
        <v>0</v>
      </c>
      <c r="L169" s="83" t="b">
        <v>0</v>
      </c>
    </row>
    <row r="170" spans="1:12" ht="15">
      <c r="A170" s="84" t="s">
        <v>2212</v>
      </c>
      <c r="B170" s="83" t="s">
        <v>2674</v>
      </c>
      <c r="C170" s="83">
        <v>2</v>
      </c>
      <c r="D170" s="110">
        <v>0.0007042718569142821</v>
      </c>
      <c r="E170" s="110">
        <v>2.634678752178682</v>
      </c>
      <c r="F170" s="83" t="s">
        <v>3175</v>
      </c>
      <c r="G170" s="83" t="b">
        <v>0</v>
      </c>
      <c r="H170" s="83" t="b">
        <v>0</v>
      </c>
      <c r="I170" s="83" t="b">
        <v>0</v>
      </c>
      <c r="J170" s="83" t="b">
        <v>0</v>
      </c>
      <c r="K170" s="83" t="b">
        <v>0</v>
      </c>
      <c r="L170" s="83" t="b">
        <v>0</v>
      </c>
    </row>
    <row r="171" spans="1:12" ht="15">
      <c r="A171" s="84" t="s">
        <v>2674</v>
      </c>
      <c r="B171" s="83" t="s">
        <v>2974</v>
      </c>
      <c r="C171" s="83">
        <v>2</v>
      </c>
      <c r="D171" s="110">
        <v>0.0007042718569142821</v>
      </c>
      <c r="E171" s="110">
        <v>3.3336487565147013</v>
      </c>
      <c r="F171" s="83" t="s">
        <v>3175</v>
      </c>
      <c r="G171" s="83" t="b">
        <v>0</v>
      </c>
      <c r="H171" s="83" t="b">
        <v>0</v>
      </c>
      <c r="I171" s="83" t="b">
        <v>0</v>
      </c>
      <c r="J171" s="83" t="b">
        <v>0</v>
      </c>
      <c r="K171" s="83" t="b">
        <v>0</v>
      </c>
      <c r="L171" s="83" t="b">
        <v>0</v>
      </c>
    </row>
    <row r="172" spans="1:12" ht="15">
      <c r="A172" s="84" t="s">
        <v>2974</v>
      </c>
      <c r="B172" s="83" t="s">
        <v>2146</v>
      </c>
      <c r="C172" s="83">
        <v>2</v>
      </c>
      <c r="D172" s="110">
        <v>0.0007042718569142821</v>
      </c>
      <c r="E172" s="110">
        <v>2.4683473304121573</v>
      </c>
      <c r="F172" s="83" t="s">
        <v>3175</v>
      </c>
      <c r="G172" s="83" t="b">
        <v>0</v>
      </c>
      <c r="H172" s="83" t="b">
        <v>0</v>
      </c>
      <c r="I172" s="83" t="b">
        <v>0</v>
      </c>
      <c r="J172" s="83" t="b">
        <v>0</v>
      </c>
      <c r="K172" s="83" t="b">
        <v>1</v>
      </c>
      <c r="L172" s="83" t="b">
        <v>0</v>
      </c>
    </row>
    <row r="173" spans="1:12" ht="15">
      <c r="A173" s="84" t="s">
        <v>2146</v>
      </c>
      <c r="B173" s="83" t="s">
        <v>2506</v>
      </c>
      <c r="C173" s="83">
        <v>2</v>
      </c>
      <c r="D173" s="110">
        <v>0.0007042718569142821</v>
      </c>
      <c r="E173" s="110">
        <v>2.208710019906401</v>
      </c>
      <c r="F173" s="83" t="s">
        <v>3175</v>
      </c>
      <c r="G173" s="83" t="b">
        <v>0</v>
      </c>
      <c r="H173" s="83" t="b">
        <v>1</v>
      </c>
      <c r="I173" s="83" t="b">
        <v>0</v>
      </c>
      <c r="J173" s="83" t="b">
        <v>0</v>
      </c>
      <c r="K173" s="83" t="b">
        <v>0</v>
      </c>
      <c r="L173" s="83" t="b">
        <v>0</v>
      </c>
    </row>
    <row r="174" spans="1:12" ht="15">
      <c r="A174" s="84" t="s">
        <v>2506</v>
      </c>
      <c r="B174" s="83" t="s">
        <v>2196</v>
      </c>
      <c r="C174" s="83">
        <v>2</v>
      </c>
      <c r="D174" s="110">
        <v>0.0007042718569142821</v>
      </c>
      <c r="E174" s="110">
        <v>2.4305587695227575</v>
      </c>
      <c r="F174" s="83" t="s">
        <v>3175</v>
      </c>
      <c r="G174" s="83" t="b">
        <v>0</v>
      </c>
      <c r="H174" s="83" t="b">
        <v>0</v>
      </c>
      <c r="I174" s="83" t="b">
        <v>0</v>
      </c>
      <c r="J174" s="83" t="b">
        <v>0</v>
      </c>
      <c r="K174" s="83" t="b">
        <v>0</v>
      </c>
      <c r="L174" s="83" t="b">
        <v>0</v>
      </c>
    </row>
    <row r="175" spans="1:12" ht="15">
      <c r="A175" s="84" t="s">
        <v>2196</v>
      </c>
      <c r="B175" s="83" t="s">
        <v>2222</v>
      </c>
      <c r="C175" s="83">
        <v>2</v>
      </c>
      <c r="D175" s="110">
        <v>0.0007042718569142821</v>
      </c>
      <c r="E175" s="110">
        <v>2.203314988019695</v>
      </c>
      <c r="F175" s="83" t="s">
        <v>3175</v>
      </c>
      <c r="G175" s="83" t="b">
        <v>0</v>
      </c>
      <c r="H175" s="83" t="b">
        <v>0</v>
      </c>
      <c r="I175" s="83" t="b">
        <v>0</v>
      </c>
      <c r="J175" s="83" t="b">
        <v>0</v>
      </c>
      <c r="K175" s="83" t="b">
        <v>0</v>
      </c>
      <c r="L175" s="83" t="b">
        <v>0</v>
      </c>
    </row>
    <row r="176" spans="1:12" ht="15">
      <c r="A176" s="84" t="s">
        <v>2222</v>
      </c>
      <c r="B176" s="83" t="s">
        <v>2975</v>
      </c>
      <c r="C176" s="83">
        <v>2</v>
      </c>
      <c r="D176" s="110">
        <v>0.0007042718569142821</v>
      </c>
      <c r="E176" s="110">
        <v>2.8565275017950387</v>
      </c>
      <c r="F176" s="83" t="s">
        <v>3175</v>
      </c>
      <c r="G176" s="83" t="b">
        <v>0</v>
      </c>
      <c r="H176" s="83" t="b">
        <v>0</v>
      </c>
      <c r="I176" s="83" t="b">
        <v>0</v>
      </c>
      <c r="J176" s="83" t="b">
        <v>0</v>
      </c>
      <c r="K176" s="83" t="b">
        <v>0</v>
      </c>
      <c r="L176" s="83" t="b">
        <v>0</v>
      </c>
    </row>
    <row r="177" spans="1:12" ht="15">
      <c r="A177" s="84" t="s">
        <v>2975</v>
      </c>
      <c r="B177" s="83" t="s">
        <v>2129</v>
      </c>
      <c r="C177" s="83">
        <v>2</v>
      </c>
      <c r="D177" s="110">
        <v>0.0007042718569142821</v>
      </c>
      <c r="E177" s="110">
        <v>1.757691567750944</v>
      </c>
      <c r="F177" s="83" t="s">
        <v>3175</v>
      </c>
      <c r="G177" s="83" t="b">
        <v>0</v>
      </c>
      <c r="H177" s="83" t="b">
        <v>0</v>
      </c>
      <c r="I177" s="83" t="b">
        <v>0</v>
      </c>
      <c r="J177" s="83" t="b">
        <v>0</v>
      </c>
      <c r="K177" s="83" t="b">
        <v>0</v>
      </c>
      <c r="L177" s="83" t="b">
        <v>0</v>
      </c>
    </row>
    <row r="178" spans="1:12" ht="15">
      <c r="A178" s="84" t="s">
        <v>2129</v>
      </c>
      <c r="B178" s="83" t="s">
        <v>2132</v>
      </c>
      <c r="C178" s="83">
        <v>2</v>
      </c>
      <c r="D178" s="110">
        <v>0.0007042718569142821</v>
      </c>
      <c r="E178" s="110">
        <v>0.417194807964776</v>
      </c>
      <c r="F178" s="83" t="s">
        <v>3175</v>
      </c>
      <c r="G178" s="83" t="b">
        <v>0</v>
      </c>
      <c r="H178" s="83" t="b">
        <v>0</v>
      </c>
      <c r="I178" s="83" t="b">
        <v>0</v>
      </c>
      <c r="J178" s="83" t="b">
        <v>0</v>
      </c>
      <c r="K178" s="83" t="b">
        <v>0</v>
      </c>
      <c r="L178" s="83" t="b">
        <v>0</v>
      </c>
    </row>
    <row r="179" spans="1:12" ht="15">
      <c r="A179" s="84" t="s">
        <v>2132</v>
      </c>
      <c r="B179" s="83" t="s">
        <v>2414</v>
      </c>
      <c r="C179" s="83">
        <v>2</v>
      </c>
      <c r="D179" s="110">
        <v>0.0007042718569142821</v>
      </c>
      <c r="E179" s="110">
        <v>1.6346787521786823</v>
      </c>
      <c r="F179" s="83" t="s">
        <v>3175</v>
      </c>
      <c r="G179" s="83" t="b">
        <v>0</v>
      </c>
      <c r="H179" s="83" t="b">
        <v>0</v>
      </c>
      <c r="I179" s="83" t="b">
        <v>0</v>
      </c>
      <c r="J179" s="83" t="b">
        <v>0</v>
      </c>
      <c r="K179" s="83" t="b">
        <v>0</v>
      </c>
      <c r="L179" s="83" t="b">
        <v>0</v>
      </c>
    </row>
    <row r="180" spans="1:12" ht="15">
      <c r="A180" s="84" t="s">
        <v>2173</v>
      </c>
      <c r="B180" s="83" t="s">
        <v>2260</v>
      </c>
      <c r="C180" s="83">
        <v>2</v>
      </c>
      <c r="D180" s="110">
        <v>0.0007042718569142821</v>
      </c>
      <c r="E180" s="110">
        <v>2.03261876085072</v>
      </c>
      <c r="F180" s="83" t="s">
        <v>3175</v>
      </c>
      <c r="G180" s="83" t="b">
        <v>0</v>
      </c>
      <c r="H180" s="83" t="b">
        <v>0</v>
      </c>
      <c r="I180" s="83" t="b">
        <v>0</v>
      </c>
      <c r="J180" s="83" t="b">
        <v>0</v>
      </c>
      <c r="K180" s="83" t="b">
        <v>0</v>
      </c>
      <c r="L180" s="83" t="b">
        <v>0</v>
      </c>
    </row>
    <row r="181" spans="1:12" ht="15">
      <c r="A181" s="84" t="s">
        <v>2260</v>
      </c>
      <c r="B181" s="83" t="s">
        <v>2260</v>
      </c>
      <c r="C181" s="83">
        <v>2</v>
      </c>
      <c r="D181" s="110">
        <v>0.0007042718569142821</v>
      </c>
      <c r="E181" s="110">
        <v>2.3056200329144576</v>
      </c>
      <c r="F181" s="83" t="s">
        <v>3175</v>
      </c>
      <c r="G181" s="83" t="b">
        <v>0</v>
      </c>
      <c r="H181" s="83" t="b">
        <v>0</v>
      </c>
      <c r="I181" s="83" t="b">
        <v>0</v>
      </c>
      <c r="J181" s="83" t="b">
        <v>0</v>
      </c>
      <c r="K181" s="83" t="b">
        <v>0</v>
      </c>
      <c r="L181" s="83" t="b">
        <v>0</v>
      </c>
    </row>
    <row r="182" spans="1:12" ht="15">
      <c r="A182" s="84" t="s">
        <v>2260</v>
      </c>
      <c r="B182" s="83" t="s">
        <v>2976</v>
      </c>
      <c r="C182" s="83">
        <v>2</v>
      </c>
      <c r="D182" s="110">
        <v>0.0007042718569142821</v>
      </c>
      <c r="E182" s="110">
        <v>2.90768002424242</v>
      </c>
      <c r="F182" s="83" t="s">
        <v>3175</v>
      </c>
      <c r="G182" s="83" t="b">
        <v>0</v>
      </c>
      <c r="H182" s="83" t="b">
        <v>0</v>
      </c>
      <c r="I182" s="83" t="b">
        <v>0</v>
      </c>
      <c r="J182" s="83" t="b">
        <v>0</v>
      </c>
      <c r="K182" s="83" t="b">
        <v>0</v>
      </c>
      <c r="L182" s="83" t="b">
        <v>0</v>
      </c>
    </row>
    <row r="183" spans="1:12" ht="15">
      <c r="A183" s="84" t="s">
        <v>2976</v>
      </c>
      <c r="B183" s="83" t="s">
        <v>2977</v>
      </c>
      <c r="C183" s="83">
        <v>2</v>
      </c>
      <c r="D183" s="110">
        <v>0.0007042718569142821</v>
      </c>
      <c r="E183" s="110">
        <v>3.509740015570382</v>
      </c>
      <c r="F183" s="83" t="s">
        <v>3175</v>
      </c>
      <c r="G183" s="83" t="b">
        <v>0</v>
      </c>
      <c r="H183" s="83" t="b">
        <v>0</v>
      </c>
      <c r="I183" s="83" t="b">
        <v>0</v>
      </c>
      <c r="J183" s="83" t="b">
        <v>0</v>
      </c>
      <c r="K183" s="83" t="b">
        <v>0</v>
      </c>
      <c r="L183" s="83" t="b">
        <v>0</v>
      </c>
    </row>
    <row r="184" spans="1:12" ht="15">
      <c r="A184" s="84" t="s">
        <v>2977</v>
      </c>
      <c r="B184" s="83" t="s">
        <v>2504</v>
      </c>
      <c r="C184" s="83">
        <v>2</v>
      </c>
      <c r="D184" s="110">
        <v>0.0007042718569142821</v>
      </c>
      <c r="E184" s="110">
        <v>3.208710019906401</v>
      </c>
      <c r="F184" s="83" t="s">
        <v>3175</v>
      </c>
      <c r="G184" s="83" t="b">
        <v>0</v>
      </c>
      <c r="H184" s="83" t="b">
        <v>0</v>
      </c>
      <c r="I184" s="83" t="b">
        <v>0</v>
      </c>
      <c r="J184" s="83" t="b">
        <v>0</v>
      </c>
      <c r="K184" s="83" t="b">
        <v>0</v>
      </c>
      <c r="L184" s="83" t="b">
        <v>0</v>
      </c>
    </row>
    <row r="185" spans="1:12" ht="15">
      <c r="A185" s="84" t="s">
        <v>2504</v>
      </c>
      <c r="B185" s="83" t="s">
        <v>2134</v>
      </c>
      <c r="C185" s="83">
        <v>2</v>
      </c>
      <c r="D185" s="110">
        <v>0.0007042718569142821</v>
      </c>
      <c r="E185" s="110">
        <v>1.8376421576346649</v>
      </c>
      <c r="F185" s="83" t="s">
        <v>3175</v>
      </c>
      <c r="G185" s="83" t="b">
        <v>0</v>
      </c>
      <c r="H185" s="83" t="b">
        <v>0</v>
      </c>
      <c r="I185" s="83" t="b">
        <v>0</v>
      </c>
      <c r="J185" s="83" t="b">
        <v>0</v>
      </c>
      <c r="K185" s="83" t="b">
        <v>0</v>
      </c>
      <c r="L185" s="83" t="b">
        <v>0</v>
      </c>
    </row>
    <row r="186" spans="1:12" ht="15">
      <c r="A186" s="84" t="s">
        <v>2675</v>
      </c>
      <c r="B186" s="83" t="s">
        <v>2336</v>
      </c>
      <c r="C186" s="83">
        <v>2</v>
      </c>
      <c r="D186" s="110">
        <v>0.0007042718569142821</v>
      </c>
      <c r="E186" s="110">
        <v>2.8565275017950387</v>
      </c>
      <c r="F186" s="83" t="s">
        <v>3175</v>
      </c>
      <c r="G186" s="83" t="b">
        <v>0</v>
      </c>
      <c r="H186" s="83" t="b">
        <v>0</v>
      </c>
      <c r="I186" s="83" t="b">
        <v>0</v>
      </c>
      <c r="J186" s="83" t="b">
        <v>0</v>
      </c>
      <c r="K186" s="83" t="b">
        <v>0</v>
      </c>
      <c r="L186" s="83" t="b">
        <v>0</v>
      </c>
    </row>
    <row r="187" spans="1:12" ht="15">
      <c r="A187" s="84" t="s">
        <v>2336</v>
      </c>
      <c r="B187" s="83" t="s">
        <v>2507</v>
      </c>
      <c r="C187" s="83">
        <v>2</v>
      </c>
      <c r="D187" s="110">
        <v>0.0007042718569142821</v>
      </c>
      <c r="E187" s="110">
        <v>2.7315887651867388</v>
      </c>
      <c r="F187" s="83" t="s">
        <v>3175</v>
      </c>
      <c r="G187" s="83" t="b">
        <v>0</v>
      </c>
      <c r="H187" s="83" t="b">
        <v>0</v>
      </c>
      <c r="I187" s="83" t="b">
        <v>0</v>
      </c>
      <c r="J187" s="83" t="b">
        <v>0</v>
      </c>
      <c r="K187" s="83" t="b">
        <v>0</v>
      </c>
      <c r="L187" s="83" t="b">
        <v>0</v>
      </c>
    </row>
    <row r="188" spans="1:12" ht="15">
      <c r="A188" s="84" t="s">
        <v>2507</v>
      </c>
      <c r="B188" s="83" t="s">
        <v>2978</v>
      </c>
      <c r="C188" s="83">
        <v>2</v>
      </c>
      <c r="D188" s="110">
        <v>0.0007042718569142821</v>
      </c>
      <c r="E188" s="110">
        <v>3.208710019906401</v>
      </c>
      <c r="F188" s="83" t="s">
        <v>3175</v>
      </c>
      <c r="G188" s="83" t="b">
        <v>0</v>
      </c>
      <c r="H188" s="83" t="b">
        <v>0</v>
      </c>
      <c r="I188" s="83" t="b">
        <v>0</v>
      </c>
      <c r="J188" s="83" t="b">
        <v>0</v>
      </c>
      <c r="K188" s="83" t="b">
        <v>0</v>
      </c>
      <c r="L188" s="83" t="b">
        <v>0</v>
      </c>
    </row>
    <row r="189" spans="1:12" ht="15">
      <c r="A189" s="84" t="s">
        <v>2978</v>
      </c>
      <c r="B189" s="83" t="s">
        <v>2179</v>
      </c>
      <c r="C189" s="83">
        <v>2</v>
      </c>
      <c r="D189" s="110">
        <v>0.0007042718569142821</v>
      </c>
      <c r="E189" s="110">
        <v>2.634678752178682</v>
      </c>
      <c r="F189" s="83" t="s">
        <v>3175</v>
      </c>
      <c r="G189" s="83" t="b">
        <v>0</v>
      </c>
      <c r="H189" s="83" t="b">
        <v>0</v>
      </c>
      <c r="I189" s="83" t="b">
        <v>0</v>
      </c>
      <c r="J189" s="83" t="b">
        <v>0</v>
      </c>
      <c r="K189" s="83" t="b">
        <v>0</v>
      </c>
      <c r="L189" s="83" t="b">
        <v>0</v>
      </c>
    </row>
    <row r="190" spans="1:12" ht="15">
      <c r="A190" s="84" t="s">
        <v>2179</v>
      </c>
      <c r="B190" s="83" t="s">
        <v>2676</v>
      </c>
      <c r="C190" s="83">
        <v>2</v>
      </c>
      <c r="D190" s="110">
        <v>0.0007042718569142821</v>
      </c>
      <c r="E190" s="110">
        <v>2.458587493123001</v>
      </c>
      <c r="F190" s="83" t="s">
        <v>3175</v>
      </c>
      <c r="G190" s="83" t="b">
        <v>0</v>
      </c>
      <c r="H190" s="83" t="b">
        <v>0</v>
      </c>
      <c r="I190" s="83" t="b">
        <v>0</v>
      </c>
      <c r="J190" s="83" t="b">
        <v>0</v>
      </c>
      <c r="K190" s="83" t="b">
        <v>0</v>
      </c>
      <c r="L190" s="83" t="b">
        <v>0</v>
      </c>
    </row>
    <row r="191" spans="1:12" ht="15">
      <c r="A191" s="84" t="s">
        <v>2676</v>
      </c>
      <c r="B191" s="83" t="s">
        <v>2302</v>
      </c>
      <c r="C191" s="83">
        <v>2</v>
      </c>
      <c r="D191" s="110">
        <v>0.0007042718569142821</v>
      </c>
      <c r="E191" s="110">
        <v>2.8565275017950387</v>
      </c>
      <c r="F191" s="83" t="s">
        <v>3175</v>
      </c>
      <c r="G191" s="83" t="b">
        <v>0</v>
      </c>
      <c r="H191" s="83" t="b">
        <v>0</v>
      </c>
      <c r="I191" s="83" t="b">
        <v>0</v>
      </c>
      <c r="J191" s="83" t="b">
        <v>0</v>
      </c>
      <c r="K191" s="83" t="b">
        <v>0</v>
      </c>
      <c r="L191" s="83" t="b">
        <v>0</v>
      </c>
    </row>
    <row r="192" spans="1:12" ht="15">
      <c r="A192" s="84" t="s">
        <v>2302</v>
      </c>
      <c r="B192" s="83" t="s">
        <v>2290</v>
      </c>
      <c r="C192" s="83">
        <v>2</v>
      </c>
      <c r="D192" s="110">
        <v>0.0007042718569142821</v>
      </c>
      <c r="E192" s="110">
        <v>2.567731962548069</v>
      </c>
      <c r="F192" s="83" t="s">
        <v>3175</v>
      </c>
      <c r="G192" s="83" t="b">
        <v>0</v>
      </c>
      <c r="H192" s="83" t="b">
        <v>0</v>
      </c>
      <c r="I192" s="83" t="b">
        <v>0</v>
      </c>
      <c r="J192" s="83" t="b">
        <v>0</v>
      </c>
      <c r="K192" s="83" t="b">
        <v>0</v>
      </c>
      <c r="L192" s="83" t="b">
        <v>0</v>
      </c>
    </row>
    <row r="193" spans="1:12" ht="15">
      <c r="A193" s="84" t="s">
        <v>2290</v>
      </c>
      <c r="B193" s="83" t="s">
        <v>2130</v>
      </c>
      <c r="C193" s="83">
        <v>2</v>
      </c>
      <c r="D193" s="110">
        <v>0.0007042718569142821</v>
      </c>
      <c r="E193" s="110">
        <v>1.3974702471531117</v>
      </c>
      <c r="F193" s="83" t="s">
        <v>3175</v>
      </c>
      <c r="G193" s="83" t="b">
        <v>0</v>
      </c>
      <c r="H193" s="83" t="b">
        <v>0</v>
      </c>
      <c r="I193" s="83" t="b">
        <v>0</v>
      </c>
      <c r="J193" s="83" t="b">
        <v>0</v>
      </c>
      <c r="K193" s="83" t="b">
        <v>0</v>
      </c>
      <c r="L193" s="83" t="b">
        <v>0</v>
      </c>
    </row>
    <row r="194" spans="1:12" ht="15">
      <c r="A194" s="84" t="s">
        <v>2159</v>
      </c>
      <c r="B194" s="83" t="s">
        <v>2508</v>
      </c>
      <c r="C194" s="83">
        <v>2</v>
      </c>
      <c r="D194" s="110">
        <v>0.0007042718569142821</v>
      </c>
      <c r="E194" s="110">
        <v>2.2309864146175533</v>
      </c>
      <c r="F194" s="83" t="s">
        <v>3175</v>
      </c>
      <c r="G194" s="83" t="b">
        <v>0</v>
      </c>
      <c r="H194" s="83" t="b">
        <v>0</v>
      </c>
      <c r="I194" s="83" t="b">
        <v>0</v>
      </c>
      <c r="J194" s="83" t="b">
        <v>0</v>
      </c>
      <c r="K194" s="83" t="b">
        <v>0</v>
      </c>
      <c r="L194" s="83" t="b">
        <v>0</v>
      </c>
    </row>
    <row r="195" spans="1:12" ht="15">
      <c r="A195" s="84" t="s">
        <v>2508</v>
      </c>
      <c r="B195" s="83" t="s">
        <v>2415</v>
      </c>
      <c r="C195" s="83">
        <v>2</v>
      </c>
      <c r="D195" s="110">
        <v>0.0007042718569142821</v>
      </c>
      <c r="E195" s="110">
        <v>2.9357087478426633</v>
      </c>
      <c r="F195" s="83" t="s">
        <v>3175</v>
      </c>
      <c r="G195" s="83" t="b">
        <v>0</v>
      </c>
      <c r="H195" s="83" t="b">
        <v>0</v>
      </c>
      <c r="I195" s="83" t="b">
        <v>0</v>
      </c>
      <c r="J195" s="83" t="b">
        <v>0</v>
      </c>
      <c r="K195" s="83" t="b">
        <v>0</v>
      </c>
      <c r="L195" s="83" t="b">
        <v>0</v>
      </c>
    </row>
    <row r="196" spans="1:12" ht="15">
      <c r="A196" s="84" t="s">
        <v>2415</v>
      </c>
      <c r="B196" s="83" t="s">
        <v>2250</v>
      </c>
      <c r="C196" s="83">
        <v>2</v>
      </c>
      <c r="D196" s="110">
        <v>0.0007042718569142821</v>
      </c>
      <c r="E196" s="110">
        <v>2.567731962548069</v>
      </c>
      <c r="F196" s="83" t="s">
        <v>3175</v>
      </c>
      <c r="G196" s="83" t="b">
        <v>0</v>
      </c>
      <c r="H196" s="83" t="b">
        <v>0</v>
      </c>
      <c r="I196" s="83" t="b">
        <v>0</v>
      </c>
      <c r="J196" s="83" t="b">
        <v>0</v>
      </c>
      <c r="K196" s="83" t="b">
        <v>1</v>
      </c>
      <c r="L196" s="83" t="b">
        <v>0</v>
      </c>
    </row>
    <row r="197" spans="1:12" ht="15">
      <c r="A197" s="84" t="s">
        <v>2250</v>
      </c>
      <c r="B197" s="83" t="s">
        <v>2167</v>
      </c>
      <c r="C197" s="83">
        <v>2</v>
      </c>
      <c r="D197" s="110">
        <v>0.0007042718569142821</v>
      </c>
      <c r="E197" s="110">
        <v>2.036253045505814</v>
      </c>
      <c r="F197" s="83" t="s">
        <v>3175</v>
      </c>
      <c r="G197" s="83" t="b">
        <v>0</v>
      </c>
      <c r="H197" s="83" t="b">
        <v>1</v>
      </c>
      <c r="I197" s="83" t="b">
        <v>0</v>
      </c>
      <c r="J197" s="83" t="b">
        <v>0</v>
      </c>
      <c r="K197" s="83" t="b">
        <v>0</v>
      </c>
      <c r="L197" s="83" t="b">
        <v>0</v>
      </c>
    </row>
    <row r="198" spans="1:12" ht="15">
      <c r="A198" s="84" t="s">
        <v>2167</v>
      </c>
      <c r="B198" s="83" t="s">
        <v>2979</v>
      </c>
      <c r="C198" s="83">
        <v>2</v>
      </c>
      <c r="D198" s="110">
        <v>0.0007042718569142821</v>
      </c>
      <c r="E198" s="110">
        <v>2.634678752178682</v>
      </c>
      <c r="F198" s="83" t="s">
        <v>3175</v>
      </c>
      <c r="G198" s="83" t="b">
        <v>0</v>
      </c>
      <c r="H198" s="83" t="b">
        <v>0</v>
      </c>
      <c r="I198" s="83" t="b">
        <v>0</v>
      </c>
      <c r="J198" s="83" t="b">
        <v>0</v>
      </c>
      <c r="K198" s="83" t="b">
        <v>0</v>
      </c>
      <c r="L198" s="83" t="b">
        <v>0</v>
      </c>
    </row>
    <row r="199" spans="1:12" ht="15">
      <c r="A199" s="84" t="s">
        <v>2979</v>
      </c>
      <c r="B199" s="83" t="s">
        <v>2250</v>
      </c>
      <c r="C199" s="83">
        <v>2</v>
      </c>
      <c r="D199" s="110">
        <v>0.0007042718569142821</v>
      </c>
      <c r="E199" s="110">
        <v>2.9656719712201065</v>
      </c>
      <c r="F199" s="83" t="s">
        <v>3175</v>
      </c>
      <c r="G199" s="83" t="b">
        <v>0</v>
      </c>
      <c r="H199" s="83" t="b">
        <v>0</v>
      </c>
      <c r="I199" s="83" t="b">
        <v>0</v>
      </c>
      <c r="J199" s="83" t="b">
        <v>0</v>
      </c>
      <c r="K199" s="83" t="b">
        <v>1</v>
      </c>
      <c r="L199" s="83" t="b">
        <v>0</v>
      </c>
    </row>
    <row r="200" spans="1:12" ht="15">
      <c r="A200" s="84" t="s">
        <v>2250</v>
      </c>
      <c r="B200" s="83" t="s">
        <v>2129</v>
      </c>
      <c r="C200" s="83">
        <v>2</v>
      </c>
      <c r="D200" s="110">
        <v>0.0007042718569142821</v>
      </c>
      <c r="E200" s="110">
        <v>1.2136235234006683</v>
      </c>
      <c r="F200" s="83" t="s">
        <v>3175</v>
      </c>
      <c r="G200" s="83" t="b">
        <v>0</v>
      </c>
      <c r="H200" s="83" t="b">
        <v>1</v>
      </c>
      <c r="I200" s="83" t="b">
        <v>0</v>
      </c>
      <c r="J200" s="83" t="b">
        <v>0</v>
      </c>
      <c r="K200" s="83" t="b">
        <v>0</v>
      </c>
      <c r="L200" s="83" t="b">
        <v>0</v>
      </c>
    </row>
    <row r="201" spans="1:12" ht="15">
      <c r="A201" s="84" t="s">
        <v>2129</v>
      </c>
      <c r="B201" s="83" t="s">
        <v>2980</v>
      </c>
      <c r="C201" s="83">
        <v>2</v>
      </c>
      <c r="D201" s="110">
        <v>0.0007042718569142821</v>
      </c>
      <c r="E201" s="110">
        <v>1.7693773260761385</v>
      </c>
      <c r="F201" s="83" t="s">
        <v>3175</v>
      </c>
      <c r="G201" s="83" t="b">
        <v>0</v>
      </c>
      <c r="H201" s="83" t="b">
        <v>0</v>
      </c>
      <c r="I201" s="83" t="b">
        <v>0</v>
      </c>
      <c r="J201" s="83" t="b">
        <v>0</v>
      </c>
      <c r="K201" s="83" t="b">
        <v>0</v>
      </c>
      <c r="L201" s="83" t="b">
        <v>0</v>
      </c>
    </row>
    <row r="202" spans="1:12" ht="15">
      <c r="A202" s="84" t="s">
        <v>2980</v>
      </c>
      <c r="B202" s="83" t="s">
        <v>2134</v>
      </c>
      <c r="C202" s="83">
        <v>2</v>
      </c>
      <c r="D202" s="110">
        <v>0.0007042718569142821</v>
      </c>
      <c r="E202" s="110">
        <v>2.138672153298646</v>
      </c>
      <c r="F202" s="83" t="s">
        <v>3175</v>
      </c>
      <c r="G202" s="83" t="b">
        <v>0</v>
      </c>
      <c r="H202" s="83" t="b">
        <v>0</v>
      </c>
      <c r="I202" s="83" t="b">
        <v>0</v>
      </c>
      <c r="J202" s="83" t="b">
        <v>0</v>
      </c>
      <c r="K202" s="83" t="b">
        <v>0</v>
      </c>
      <c r="L202" s="83" t="b">
        <v>0</v>
      </c>
    </row>
    <row r="203" spans="1:12" ht="15">
      <c r="A203" s="84" t="s">
        <v>2134</v>
      </c>
      <c r="B203" s="83" t="s">
        <v>2343</v>
      </c>
      <c r="C203" s="83">
        <v>2</v>
      </c>
      <c r="D203" s="110">
        <v>0.0007042718569142821</v>
      </c>
      <c r="E203" s="110">
        <v>1.6804362427393573</v>
      </c>
      <c r="F203" s="83" t="s">
        <v>3175</v>
      </c>
      <c r="G203" s="83" t="b">
        <v>0</v>
      </c>
      <c r="H203" s="83" t="b">
        <v>0</v>
      </c>
      <c r="I203" s="83" t="b">
        <v>0</v>
      </c>
      <c r="J203" s="83" t="b">
        <v>0</v>
      </c>
      <c r="K203" s="83" t="b">
        <v>0</v>
      </c>
      <c r="L203" s="83" t="b">
        <v>0</v>
      </c>
    </row>
    <row r="204" spans="1:12" ht="15">
      <c r="A204" s="84" t="s">
        <v>2343</v>
      </c>
      <c r="B204" s="83" t="s">
        <v>2329</v>
      </c>
      <c r="C204" s="83">
        <v>2</v>
      </c>
      <c r="D204" s="110">
        <v>0.0007042718569142821</v>
      </c>
      <c r="E204" s="110">
        <v>2.7315887651867388</v>
      </c>
      <c r="F204" s="83" t="s">
        <v>3175</v>
      </c>
      <c r="G204" s="83" t="b">
        <v>0</v>
      </c>
      <c r="H204" s="83" t="b">
        <v>0</v>
      </c>
      <c r="I204" s="83" t="b">
        <v>0</v>
      </c>
      <c r="J204" s="83" t="b">
        <v>0</v>
      </c>
      <c r="K204" s="83" t="b">
        <v>0</v>
      </c>
      <c r="L204" s="83" t="b">
        <v>0</v>
      </c>
    </row>
    <row r="205" spans="1:12" ht="15">
      <c r="A205" s="84" t="s">
        <v>2234</v>
      </c>
      <c r="B205" s="83" t="s">
        <v>2218</v>
      </c>
      <c r="C205" s="83">
        <v>2</v>
      </c>
      <c r="D205" s="110">
        <v>0.0007042718569142821</v>
      </c>
      <c r="E205" s="110">
        <v>2.208710019906401</v>
      </c>
      <c r="F205" s="83" t="s">
        <v>3175</v>
      </c>
      <c r="G205" s="83" t="b">
        <v>0</v>
      </c>
      <c r="H205" s="83" t="b">
        <v>0</v>
      </c>
      <c r="I205" s="83" t="b">
        <v>0</v>
      </c>
      <c r="J205" s="83" t="b">
        <v>0</v>
      </c>
      <c r="K205" s="83" t="b">
        <v>0</v>
      </c>
      <c r="L205" s="83" t="b">
        <v>0</v>
      </c>
    </row>
    <row r="206" spans="1:12" ht="15">
      <c r="A206" s="84" t="s">
        <v>2343</v>
      </c>
      <c r="B206" s="83" t="s">
        <v>2290</v>
      </c>
      <c r="C206" s="83">
        <v>2</v>
      </c>
      <c r="D206" s="110">
        <v>0.0007042718569142821</v>
      </c>
      <c r="E206" s="110">
        <v>2.4885507165004443</v>
      </c>
      <c r="F206" s="83" t="s">
        <v>3175</v>
      </c>
      <c r="G206" s="83" t="b">
        <v>0</v>
      </c>
      <c r="H206" s="83" t="b">
        <v>0</v>
      </c>
      <c r="I206" s="83" t="b">
        <v>0</v>
      </c>
      <c r="J206" s="83" t="b">
        <v>0</v>
      </c>
      <c r="K206" s="83" t="b">
        <v>0</v>
      </c>
      <c r="L206" s="83" t="b">
        <v>0</v>
      </c>
    </row>
    <row r="207" spans="1:12" ht="15">
      <c r="A207" s="84" t="s">
        <v>2290</v>
      </c>
      <c r="B207" s="83" t="s">
        <v>2167</v>
      </c>
      <c r="C207" s="83">
        <v>2</v>
      </c>
      <c r="D207" s="110">
        <v>0.0007042718569142821</v>
      </c>
      <c r="E207" s="110">
        <v>2.036253045505814</v>
      </c>
      <c r="F207" s="83" t="s">
        <v>3175</v>
      </c>
      <c r="G207" s="83" t="b">
        <v>0</v>
      </c>
      <c r="H207" s="83" t="b">
        <v>0</v>
      </c>
      <c r="I207" s="83" t="b">
        <v>0</v>
      </c>
      <c r="J207" s="83" t="b">
        <v>0</v>
      </c>
      <c r="K207" s="83" t="b">
        <v>0</v>
      </c>
      <c r="L207" s="83" t="b">
        <v>0</v>
      </c>
    </row>
    <row r="208" spans="1:12" ht="15">
      <c r="A208" s="84" t="s">
        <v>2167</v>
      </c>
      <c r="B208" s="83" t="s">
        <v>2218</v>
      </c>
      <c r="C208" s="83">
        <v>2</v>
      </c>
      <c r="D208" s="110">
        <v>0.0007042718569142821</v>
      </c>
      <c r="E208" s="110">
        <v>1.9357087478426636</v>
      </c>
      <c r="F208" s="83" t="s">
        <v>3175</v>
      </c>
      <c r="G208" s="83" t="b">
        <v>0</v>
      </c>
      <c r="H208" s="83" t="b">
        <v>0</v>
      </c>
      <c r="I208" s="83" t="b">
        <v>0</v>
      </c>
      <c r="J208" s="83" t="b">
        <v>0</v>
      </c>
      <c r="K208" s="83" t="b">
        <v>0</v>
      </c>
      <c r="L208" s="83" t="b">
        <v>0</v>
      </c>
    </row>
    <row r="209" spans="1:12" ht="15">
      <c r="A209" s="84" t="s">
        <v>2218</v>
      </c>
      <c r="B209" s="83" t="s">
        <v>2468</v>
      </c>
      <c r="C209" s="83">
        <v>2</v>
      </c>
      <c r="D209" s="110">
        <v>0.0007042718569142821</v>
      </c>
      <c r="E209" s="110">
        <v>2.5554975061310574</v>
      </c>
      <c r="F209" s="83" t="s">
        <v>3175</v>
      </c>
      <c r="G209" s="83" t="b">
        <v>0</v>
      </c>
      <c r="H209" s="83" t="b">
        <v>0</v>
      </c>
      <c r="I209" s="83" t="b">
        <v>0</v>
      </c>
      <c r="J209" s="83" t="b">
        <v>0</v>
      </c>
      <c r="K209" s="83" t="b">
        <v>0</v>
      </c>
      <c r="L209" s="83" t="b">
        <v>0</v>
      </c>
    </row>
    <row r="210" spans="1:12" ht="15">
      <c r="A210" s="84" t="s">
        <v>2468</v>
      </c>
      <c r="B210" s="83" t="s">
        <v>2677</v>
      </c>
      <c r="C210" s="83">
        <v>2</v>
      </c>
      <c r="D210" s="110">
        <v>0.0007042718569142821</v>
      </c>
      <c r="E210" s="110">
        <v>3.03261876085072</v>
      </c>
      <c r="F210" s="83" t="s">
        <v>3175</v>
      </c>
      <c r="G210" s="83" t="b">
        <v>0</v>
      </c>
      <c r="H210" s="83" t="b">
        <v>0</v>
      </c>
      <c r="I210" s="83" t="b">
        <v>0</v>
      </c>
      <c r="J210" s="83" t="b">
        <v>0</v>
      </c>
      <c r="K210" s="83" t="b">
        <v>0</v>
      </c>
      <c r="L210" s="83" t="b">
        <v>0</v>
      </c>
    </row>
    <row r="211" spans="1:12" ht="15">
      <c r="A211" s="84" t="s">
        <v>2677</v>
      </c>
      <c r="B211" s="83" t="s">
        <v>2981</v>
      </c>
      <c r="C211" s="83">
        <v>2</v>
      </c>
      <c r="D211" s="110">
        <v>0.0007042718569142821</v>
      </c>
      <c r="E211" s="110">
        <v>3.3336487565147013</v>
      </c>
      <c r="F211" s="83" t="s">
        <v>3175</v>
      </c>
      <c r="G211" s="83" t="b">
        <v>0</v>
      </c>
      <c r="H211" s="83" t="b">
        <v>0</v>
      </c>
      <c r="I211" s="83" t="b">
        <v>0</v>
      </c>
      <c r="J211" s="83" t="b">
        <v>0</v>
      </c>
      <c r="K211" s="83" t="b">
        <v>0</v>
      </c>
      <c r="L211" s="83" t="b">
        <v>0</v>
      </c>
    </row>
    <row r="212" spans="1:12" ht="15">
      <c r="A212" s="84" t="s">
        <v>2981</v>
      </c>
      <c r="B212" s="83" t="s">
        <v>2167</v>
      </c>
      <c r="C212" s="83">
        <v>2</v>
      </c>
      <c r="D212" s="110">
        <v>0.0007042718569142821</v>
      </c>
      <c r="E212" s="110">
        <v>2.5803210898560898</v>
      </c>
      <c r="F212" s="83" t="s">
        <v>3175</v>
      </c>
      <c r="G212" s="83" t="b">
        <v>0</v>
      </c>
      <c r="H212" s="83" t="b">
        <v>0</v>
      </c>
      <c r="I212" s="83" t="b">
        <v>0</v>
      </c>
      <c r="J212" s="83" t="b">
        <v>0</v>
      </c>
      <c r="K212" s="83" t="b">
        <v>0</v>
      </c>
      <c r="L212" s="83" t="b">
        <v>0</v>
      </c>
    </row>
    <row r="213" spans="1:12" ht="15">
      <c r="A213" s="84" t="s">
        <v>2167</v>
      </c>
      <c r="B213" s="83" t="s">
        <v>2509</v>
      </c>
      <c r="C213" s="83">
        <v>2</v>
      </c>
      <c r="D213" s="110">
        <v>0.0007042718569142821</v>
      </c>
      <c r="E213" s="110">
        <v>2.3336487565147013</v>
      </c>
      <c r="F213" s="83" t="s">
        <v>3175</v>
      </c>
      <c r="G213" s="83" t="b">
        <v>0</v>
      </c>
      <c r="H213" s="83" t="b">
        <v>0</v>
      </c>
      <c r="I213" s="83" t="b">
        <v>0</v>
      </c>
      <c r="J213" s="83" t="b">
        <v>0</v>
      </c>
      <c r="K213" s="83" t="b">
        <v>0</v>
      </c>
      <c r="L213" s="83" t="b">
        <v>0</v>
      </c>
    </row>
    <row r="214" spans="1:12" ht="15">
      <c r="A214" s="84" t="s">
        <v>2344</v>
      </c>
      <c r="B214" s="83" t="s">
        <v>2218</v>
      </c>
      <c r="C214" s="83">
        <v>2</v>
      </c>
      <c r="D214" s="110">
        <v>0.0007042718569142821</v>
      </c>
      <c r="E214" s="110">
        <v>2.412830002562326</v>
      </c>
      <c r="F214" s="83" t="s">
        <v>3175</v>
      </c>
      <c r="G214" s="83" t="b">
        <v>0</v>
      </c>
      <c r="H214" s="83" t="b">
        <v>0</v>
      </c>
      <c r="I214" s="83" t="b">
        <v>0</v>
      </c>
      <c r="J214" s="83" t="b">
        <v>0</v>
      </c>
      <c r="K214" s="83" t="b">
        <v>0</v>
      </c>
      <c r="L214" s="83" t="b">
        <v>0</v>
      </c>
    </row>
    <row r="215" spans="1:12" ht="15">
      <c r="A215" s="84" t="s">
        <v>2343</v>
      </c>
      <c r="B215" s="83" t="s">
        <v>2509</v>
      </c>
      <c r="C215" s="83">
        <v>2</v>
      </c>
      <c r="D215" s="110">
        <v>0.0007042718569142821</v>
      </c>
      <c r="E215" s="110">
        <v>2.7315887651867388</v>
      </c>
      <c r="F215" s="83" t="s">
        <v>3175</v>
      </c>
      <c r="G215" s="83" t="b">
        <v>0</v>
      </c>
      <c r="H215" s="83" t="b">
        <v>0</v>
      </c>
      <c r="I215" s="83" t="b">
        <v>0</v>
      </c>
      <c r="J215" s="83" t="b">
        <v>0</v>
      </c>
      <c r="K215" s="83" t="b">
        <v>0</v>
      </c>
      <c r="L215" s="83" t="b">
        <v>0</v>
      </c>
    </row>
    <row r="216" spans="1:12" ht="15">
      <c r="A216" s="84" t="s">
        <v>2344</v>
      </c>
      <c r="B216" s="83" t="s">
        <v>2982</v>
      </c>
      <c r="C216" s="83">
        <v>2</v>
      </c>
      <c r="D216" s="110">
        <v>0.0007042718569142821</v>
      </c>
      <c r="E216" s="110">
        <v>3.1118000068983447</v>
      </c>
      <c r="F216" s="83" t="s">
        <v>3175</v>
      </c>
      <c r="G216" s="83" t="b">
        <v>0</v>
      </c>
      <c r="H216" s="83" t="b">
        <v>0</v>
      </c>
      <c r="I216" s="83" t="b">
        <v>0</v>
      </c>
      <c r="J216" s="83" t="b">
        <v>0</v>
      </c>
      <c r="K216" s="83" t="b">
        <v>1</v>
      </c>
      <c r="L216" s="83" t="b">
        <v>0</v>
      </c>
    </row>
    <row r="217" spans="1:12" ht="15">
      <c r="A217" s="84" t="s">
        <v>2982</v>
      </c>
      <c r="B217" s="83" t="s">
        <v>2218</v>
      </c>
      <c r="C217" s="83">
        <v>2</v>
      </c>
      <c r="D217" s="110">
        <v>0.0007042718569142821</v>
      </c>
      <c r="E217" s="110">
        <v>2.8107700112343634</v>
      </c>
      <c r="F217" s="83" t="s">
        <v>3175</v>
      </c>
      <c r="G217" s="83" t="b">
        <v>0</v>
      </c>
      <c r="H217" s="83" t="b">
        <v>1</v>
      </c>
      <c r="I217" s="83" t="b">
        <v>0</v>
      </c>
      <c r="J217" s="83" t="b">
        <v>0</v>
      </c>
      <c r="K217" s="83" t="b">
        <v>0</v>
      </c>
      <c r="L217" s="83" t="b">
        <v>0</v>
      </c>
    </row>
    <row r="218" spans="1:12" ht="15">
      <c r="A218" s="84" t="s">
        <v>2145</v>
      </c>
      <c r="B218" s="83" t="s">
        <v>2135</v>
      </c>
      <c r="C218" s="83">
        <v>2</v>
      </c>
      <c r="D218" s="110">
        <v>0.0007893686754765382</v>
      </c>
      <c r="E218" s="110">
        <v>1.1818704468137569</v>
      </c>
      <c r="F218" s="83" t="s">
        <v>3175</v>
      </c>
      <c r="G218" s="83" t="b">
        <v>0</v>
      </c>
      <c r="H218" s="83" t="b">
        <v>0</v>
      </c>
      <c r="I218" s="83" t="b">
        <v>0</v>
      </c>
      <c r="J218" s="83" t="b">
        <v>1</v>
      </c>
      <c r="K218" s="83" t="b">
        <v>0</v>
      </c>
      <c r="L218" s="83" t="b">
        <v>0</v>
      </c>
    </row>
    <row r="219" spans="1:12" ht="15">
      <c r="A219" s="84" t="s">
        <v>2145</v>
      </c>
      <c r="B219" s="83" t="s">
        <v>2214</v>
      </c>
      <c r="C219" s="83">
        <v>2</v>
      </c>
      <c r="D219" s="110">
        <v>0.0007893686754765382</v>
      </c>
      <c r="E219" s="110">
        <v>1.7086794857225267</v>
      </c>
      <c r="F219" s="83" t="s">
        <v>3175</v>
      </c>
      <c r="G219" s="83" t="b">
        <v>0</v>
      </c>
      <c r="H219" s="83" t="b">
        <v>0</v>
      </c>
      <c r="I219" s="83" t="b">
        <v>0</v>
      </c>
      <c r="J219" s="83" t="b">
        <v>0</v>
      </c>
      <c r="K219" s="83" t="b">
        <v>1</v>
      </c>
      <c r="L219" s="83" t="b">
        <v>0</v>
      </c>
    </row>
    <row r="220" spans="1:12" ht="15">
      <c r="A220" s="84" t="s">
        <v>2297</v>
      </c>
      <c r="B220" s="83" t="s">
        <v>2269</v>
      </c>
      <c r="C220" s="83">
        <v>2</v>
      </c>
      <c r="D220" s="110">
        <v>0.0007893686754765382</v>
      </c>
      <c r="E220" s="110">
        <v>2.4885507165004443</v>
      </c>
      <c r="F220" s="83" t="s">
        <v>3175</v>
      </c>
      <c r="G220" s="83" t="b">
        <v>0</v>
      </c>
      <c r="H220" s="83" t="b">
        <v>0</v>
      </c>
      <c r="I220" s="83" t="b">
        <v>0</v>
      </c>
      <c r="J220" s="83" t="b">
        <v>0</v>
      </c>
      <c r="K220" s="83" t="b">
        <v>0</v>
      </c>
      <c r="L220" s="83" t="b">
        <v>0</v>
      </c>
    </row>
    <row r="221" spans="1:12" ht="15">
      <c r="A221" s="84" t="s">
        <v>2145</v>
      </c>
      <c r="B221" s="83" t="s">
        <v>2183</v>
      </c>
      <c r="C221" s="83">
        <v>2</v>
      </c>
      <c r="D221" s="110">
        <v>0.0007042718569142821</v>
      </c>
      <c r="E221" s="110">
        <v>1.6039441352025139</v>
      </c>
      <c r="F221" s="83" t="s">
        <v>3175</v>
      </c>
      <c r="G221" s="83" t="b">
        <v>0</v>
      </c>
      <c r="H221" s="83" t="b">
        <v>0</v>
      </c>
      <c r="I221" s="83" t="b">
        <v>0</v>
      </c>
      <c r="J221" s="83" t="b">
        <v>0</v>
      </c>
      <c r="K221" s="83" t="b">
        <v>0</v>
      </c>
      <c r="L221" s="83" t="b">
        <v>0</v>
      </c>
    </row>
    <row r="222" spans="1:12" ht="15">
      <c r="A222" s="84" t="s">
        <v>2210</v>
      </c>
      <c r="B222" s="83" t="s">
        <v>2144</v>
      </c>
      <c r="C222" s="83">
        <v>2</v>
      </c>
      <c r="D222" s="110">
        <v>0.0007042718569142821</v>
      </c>
      <c r="E222" s="110">
        <v>1.7279846409179136</v>
      </c>
      <c r="F222" s="83" t="s">
        <v>3175</v>
      </c>
      <c r="G222" s="83" t="b">
        <v>0</v>
      </c>
      <c r="H222" s="83" t="b">
        <v>1</v>
      </c>
      <c r="I222" s="83" t="b">
        <v>0</v>
      </c>
      <c r="J222" s="83" t="b">
        <v>0</v>
      </c>
      <c r="K222" s="83" t="b">
        <v>0</v>
      </c>
      <c r="L222" s="83" t="b">
        <v>0</v>
      </c>
    </row>
    <row r="223" spans="1:12" ht="15">
      <c r="A223" s="84" t="s">
        <v>3017</v>
      </c>
      <c r="B223" s="83" t="s">
        <v>2394</v>
      </c>
      <c r="C223" s="83">
        <v>2</v>
      </c>
      <c r="D223" s="110">
        <v>0.0007893686754765382</v>
      </c>
      <c r="E223" s="110">
        <v>3.1118000068983447</v>
      </c>
      <c r="F223" s="83" t="s">
        <v>3175</v>
      </c>
      <c r="G223" s="83" t="b">
        <v>0</v>
      </c>
      <c r="H223" s="83" t="b">
        <v>0</v>
      </c>
      <c r="I223" s="83" t="b">
        <v>0</v>
      </c>
      <c r="J223" s="83" t="b">
        <v>0</v>
      </c>
      <c r="K223" s="83" t="b">
        <v>0</v>
      </c>
      <c r="L223" s="83" t="b">
        <v>0</v>
      </c>
    </row>
    <row r="224" spans="1:12" ht="15">
      <c r="A224" s="84" t="s">
        <v>2611</v>
      </c>
      <c r="B224" s="83" t="s">
        <v>2291</v>
      </c>
      <c r="C224" s="83">
        <v>2</v>
      </c>
      <c r="D224" s="110">
        <v>0.0007042718569142821</v>
      </c>
      <c r="E224" s="110">
        <v>2.8565275017950387</v>
      </c>
      <c r="F224" s="83" t="s">
        <v>3175</v>
      </c>
      <c r="G224" s="83" t="b">
        <v>0</v>
      </c>
      <c r="H224" s="83" t="b">
        <v>0</v>
      </c>
      <c r="I224" s="83" t="b">
        <v>0</v>
      </c>
      <c r="J224" s="83" t="b">
        <v>0</v>
      </c>
      <c r="K224" s="83" t="b">
        <v>0</v>
      </c>
      <c r="L224" s="83" t="b">
        <v>0</v>
      </c>
    </row>
    <row r="225" spans="1:12" ht="15">
      <c r="A225" s="84" t="s">
        <v>2140</v>
      </c>
      <c r="B225" s="83" t="s">
        <v>3020</v>
      </c>
      <c r="C225" s="83">
        <v>2</v>
      </c>
      <c r="D225" s="110">
        <v>0.0007042718569142821</v>
      </c>
      <c r="E225" s="110">
        <v>2.3636119798921444</v>
      </c>
      <c r="F225" s="83" t="s">
        <v>3175</v>
      </c>
      <c r="G225" s="83" t="b">
        <v>1</v>
      </c>
      <c r="H225" s="83" t="b">
        <v>0</v>
      </c>
      <c r="I225" s="83" t="b">
        <v>0</v>
      </c>
      <c r="J225" s="83" t="b">
        <v>1</v>
      </c>
      <c r="K225" s="83" t="b">
        <v>0</v>
      </c>
      <c r="L225" s="83" t="b">
        <v>0</v>
      </c>
    </row>
    <row r="226" spans="1:12" ht="15">
      <c r="A226" s="84" t="s">
        <v>3020</v>
      </c>
      <c r="B226" s="83" t="s">
        <v>2130</v>
      </c>
      <c r="C226" s="83">
        <v>2</v>
      </c>
      <c r="D226" s="110">
        <v>0.0007042718569142821</v>
      </c>
      <c r="E226" s="110">
        <v>1.9415382915033874</v>
      </c>
      <c r="F226" s="83" t="s">
        <v>3175</v>
      </c>
      <c r="G226" s="83" t="b">
        <v>1</v>
      </c>
      <c r="H226" s="83" t="b">
        <v>0</v>
      </c>
      <c r="I226" s="83" t="b">
        <v>0</v>
      </c>
      <c r="J226" s="83" t="b">
        <v>0</v>
      </c>
      <c r="K226" s="83" t="b">
        <v>0</v>
      </c>
      <c r="L226" s="83" t="b">
        <v>0</v>
      </c>
    </row>
    <row r="227" spans="1:12" ht="15">
      <c r="A227" s="84" t="s">
        <v>2130</v>
      </c>
      <c r="B227" s="83" t="s">
        <v>3021</v>
      </c>
      <c r="C227" s="83">
        <v>2</v>
      </c>
      <c r="D227" s="110">
        <v>0.0007042718569142821</v>
      </c>
      <c r="E227" s="110">
        <v>1.8864907251724818</v>
      </c>
      <c r="F227" s="83" t="s">
        <v>3175</v>
      </c>
      <c r="G227" s="83" t="b">
        <v>0</v>
      </c>
      <c r="H227" s="83" t="b">
        <v>0</v>
      </c>
      <c r="I227" s="83" t="b">
        <v>0</v>
      </c>
      <c r="J227" s="83" t="b">
        <v>0</v>
      </c>
      <c r="K227" s="83" t="b">
        <v>0</v>
      </c>
      <c r="L227" s="83" t="b">
        <v>0</v>
      </c>
    </row>
    <row r="228" spans="1:12" ht="15">
      <c r="A228" s="84" t="s">
        <v>2688</v>
      </c>
      <c r="B228" s="83" t="s">
        <v>2300</v>
      </c>
      <c r="C228" s="83">
        <v>2</v>
      </c>
      <c r="D228" s="110">
        <v>0.0007042718569142821</v>
      </c>
      <c r="E228" s="110">
        <v>2.9357087478426633</v>
      </c>
      <c r="F228" s="83" t="s">
        <v>3175</v>
      </c>
      <c r="G228" s="83" t="b">
        <v>0</v>
      </c>
      <c r="H228" s="83" t="b">
        <v>0</v>
      </c>
      <c r="I228" s="83" t="b">
        <v>0</v>
      </c>
      <c r="J228" s="83" t="b">
        <v>0</v>
      </c>
      <c r="K228" s="83" t="b">
        <v>0</v>
      </c>
      <c r="L228" s="83" t="b">
        <v>0</v>
      </c>
    </row>
    <row r="229" spans="1:12" ht="15">
      <c r="A229" s="84" t="s">
        <v>3023</v>
      </c>
      <c r="B229" s="83" t="s">
        <v>2271</v>
      </c>
      <c r="C229" s="83">
        <v>2</v>
      </c>
      <c r="D229" s="110">
        <v>0.0007893686754765382</v>
      </c>
      <c r="E229" s="110">
        <v>3.03261876085072</v>
      </c>
      <c r="F229" s="83" t="s">
        <v>3175</v>
      </c>
      <c r="G229" s="83" t="b">
        <v>0</v>
      </c>
      <c r="H229" s="83" t="b">
        <v>1</v>
      </c>
      <c r="I229" s="83" t="b">
        <v>0</v>
      </c>
      <c r="J229" s="83" t="b">
        <v>0</v>
      </c>
      <c r="K229" s="83" t="b">
        <v>0</v>
      </c>
      <c r="L229" s="83" t="b">
        <v>0</v>
      </c>
    </row>
    <row r="230" spans="1:12" ht="15">
      <c r="A230" s="84" t="s">
        <v>2129</v>
      </c>
      <c r="B230" s="83" t="s">
        <v>2231</v>
      </c>
      <c r="C230" s="83">
        <v>2</v>
      </c>
      <c r="D230" s="110">
        <v>0.0007042718569142821</v>
      </c>
      <c r="E230" s="110">
        <v>1.1161648123007948</v>
      </c>
      <c r="F230" s="83" t="s">
        <v>3175</v>
      </c>
      <c r="G230" s="83" t="b">
        <v>0</v>
      </c>
      <c r="H230" s="83" t="b">
        <v>0</v>
      </c>
      <c r="I230" s="83" t="b">
        <v>0</v>
      </c>
      <c r="J230" s="83" t="b">
        <v>0</v>
      </c>
      <c r="K230" s="83" t="b">
        <v>1</v>
      </c>
      <c r="L230" s="83" t="b">
        <v>0</v>
      </c>
    </row>
    <row r="231" spans="1:12" ht="15">
      <c r="A231" s="84" t="s">
        <v>2248</v>
      </c>
      <c r="B231" s="83" t="s">
        <v>2575</v>
      </c>
      <c r="C231" s="83">
        <v>2</v>
      </c>
      <c r="D231" s="110">
        <v>0.0007042718569142821</v>
      </c>
      <c r="E231" s="110">
        <v>2.7895807121644256</v>
      </c>
      <c r="F231" s="83" t="s">
        <v>3175</v>
      </c>
      <c r="G231" s="83" t="b">
        <v>0</v>
      </c>
      <c r="H231" s="83" t="b">
        <v>0</v>
      </c>
      <c r="I231" s="83" t="b">
        <v>0</v>
      </c>
      <c r="J231" s="83" t="b">
        <v>0</v>
      </c>
      <c r="K231" s="83" t="b">
        <v>0</v>
      </c>
      <c r="L231" s="83" t="b">
        <v>0</v>
      </c>
    </row>
    <row r="232" spans="1:12" ht="15">
      <c r="A232" s="84" t="s">
        <v>2690</v>
      </c>
      <c r="B232" s="83" t="s">
        <v>2292</v>
      </c>
      <c r="C232" s="83">
        <v>2</v>
      </c>
      <c r="D232" s="110">
        <v>0.0007893686754765382</v>
      </c>
      <c r="E232" s="110">
        <v>2.7895807121644256</v>
      </c>
      <c r="F232" s="83" t="s">
        <v>3175</v>
      </c>
      <c r="G232" s="83" t="b">
        <v>0</v>
      </c>
      <c r="H232" s="83" t="b">
        <v>0</v>
      </c>
      <c r="I232" s="83" t="b">
        <v>0</v>
      </c>
      <c r="J232" s="83" t="b">
        <v>0</v>
      </c>
      <c r="K232" s="83" t="b">
        <v>0</v>
      </c>
      <c r="L232" s="83" t="b">
        <v>0</v>
      </c>
    </row>
    <row r="233" spans="1:12" ht="15">
      <c r="A233" s="84" t="s">
        <v>2129</v>
      </c>
      <c r="B233" s="83" t="s">
        <v>2235</v>
      </c>
      <c r="C233" s="83">
        <v>2</v>
      </c>
      <c r="D233" s="110">
        <v>0.0007042718569142821</v>
      </c>
      <c r="E233" s="110">
        <v>1.1161648123007948</v>
      </c>
      <c r="F233" s="83" t="s">
        <v>3175</v>
      </c>
      <c r="G233" s="83" t="b">
        <v>0</v>
      </c>
      <c r="H233" s="83" t="b">
        <v>0</v>
      </c>
      <c r="I233" s="83" t="b">
        <v>0</v>
      </c>
      <c r="J233" s="83" t="b">
        <v>0</v>
      </c>
      <c r="K233" s="83" t="b">
        <v>0</v>
      </c>
      <c r="L233" s="83" t="b">
        <v>0</v>
      </c>
    </row>
    <row r="234" spans="1:12" ht="15">
      <c r="A234" s="84" t="s">
        <v>2136</v>
      </c>
      <c r="B234" s="83" t="s">
        <v>2554</v>
      </c>
      <c r="C234" s="83">
        <v>2</v>
      </c>
      <c r="D234" s="110">
        <v>0.0007893686754765382</v>
      </c>
      <c r="E234" s="110">
        <v>2.03261876085072</v>
      </c>
      <c r="F234" s="83" t="s">
        <v>3175</v>
      </c>
      <c r="G234" s="83" t="b">
        <v>0</v>
      </c>
      <c r="H234" s="83" t="b">
        <v>1</v>
      </c>
      <c r="I234" s="83" t="b">
        <v>0</v>
      </c>
      <c r="J234" s="83" t="b">
        <v>0</v>
      </c>
      <c r="K234" s="83" t="b">
        <v>0</v>
      </c>
      <c r="L234" s="83" t="b">
        <v>0</v>
      </c>
    </row>
    <row r="235" spans="1:12" ht="15">
      <c r="A235" s="84" t="s">
        <v>2346</v>
      </c>
      <c r="B235" s="83" t="s">
        <v>2163</v>
      </c>
      <c r="C235" s="83">
        <v>2</v>
      </c>
      <c r="D235" s="110">
        <v>0.0007042718569142821</v>
      </c>
      <c r="E235" s="110">
        <v>2.103199835136427</v>
      </c>
      <c r="F235" s="83" t="s">
        <v>3175</v>
      </c>
      <c r="G235" s="83" t="b">
        <v>0</v>
      </c>
      <c r="H235" s="83" t="b">
        <v>0</v>
      </c>
      <c r="I235" s="83" t="b">
        <v>0</v>
      </c>
      <c r="J235" s="83" t="b">
        <v>0</v>
      </c>
      <c r="K235" s="83" t="b">
        <v>0</v>
      </c>
      <c r="L235" s="83" t="b">
        <v>0</v>
      </c>
    </row>
    <row r="236" spans="1:12" ht="15">
      <c r="A236" s="84" t="s">
        <v>2129</v>
      </c>
      <c r="B236" s="83" t="s">
        <v>2485</v>
      </c>
      <c r="C236" s="83">
        <v>2</v>
      </c>
      <c r="D236" s="110">
        <v>0.0007042718569142821</v>
      </c>
      <c r="E236" s="110">
        <v>1.4683473304121573</v>
      </c>
      <c r="F236" s="83" t="s">
        <v>3175</v>
      </c>
      <c r="G236" s="83" t="b">
        <v>0</v>
      </c>
      <c r="H236" s="83" t="b">
        <v>0</v>
      </c>
      <c r="I236" s="83" t="b">
        <v>0</v>
      </c>
      <c r="J236" s="83" t="b">
        <v>0</v>
      </c>
      <c r="K236" s="83" t="b">
        <v>0</v>
      </c>
      <c r="L236" s="83" t="b">
        <v>0</v>
      </c>
    </row>
    <row r="237" spans="1:12" ht="15">
      <c r="A237" s="84" t="s">
        <v>2129</v>
      </c>
      <c r="B237" s="83" t="s">
        <v>2201</v>
      </c>
      <c r="C237" s="83">
        <v>2</v>
      </c>
      <c r="D237" s="110">
        <v>0.0007042718569142821</v>
      </c>
      <c r="E237" s="110">
        <v>0.9912260756924949</v>
      </c>
      <c r="F237" s="83" t="s">
        <v>3175</v>
      </c>
      <c r="G237" s="83" t="b">
        <v>0</v>
      </c>
      <c r="H237" s="83" t="b">
        <v>0</v>
      </c>
      <c r="I237" s="83" t="b">
        <v>0</v>
      </c>
      <c r="J237" s="83" t="b">
        <v>0</v>
      </c>
      <c r="K237" s="83" t="b">
        <v>1</v>
      </c>
      <c r="L237" s="83" t="b">
        <v>0</v>
      </c>
    </row>
    <row r="238" spans="1:12" ht="15">
      <c r="A238" s="84" t="s">
        <v>2258</v>
      </c>
      <c r="B238" s="83" t="s">
        <v>2150</v>
      </c>
      <c r="C238" s="83">
        <v>2</v>
      </c>
      <c r="D238" s="110">
        <v>0.0007042718569142821</v>
      </c>
      <c r="E238" s="110">
        <v>1.90768002424242</v>
      </c>
      <c r="F238" s="83" t="s">
        <v>3175</v>
      </c>
      <c r="G238" s="83" t="b">
        <v>1</v>
      </c>
      <c r="H238" s="83" t="b">
        <v>0</v>
      </c>
      <c r="I238" s="83" t="b">
        <v>0</v>
      </c>
      <c r="J238" s="83" t="b">
        <v>0</v>
      </c>
      <c r="K238" s="83" t="b">
        <v>0</v>
      </c>
      <c r="L238" s="83" t="b">
        <v>0</v>
      </c>
    </row>
    <row r="239" spans="1:12" ht="15">
      <c r="A239" s="84" t="s">
        <v>2411</v>
      </c>
      <c r="B239" s="83" t="s">
        <v>2130</v>
      </c>
      <c r="C239" s="83">
        <v>2</v>
      </c>
      <c r="D239" s="110">
        <v>0.0007042718569142821</v>
      </c>
      <c r="E239" s="110">
        <v>1.5435982828313497</v>
      </c>
      <c r="F239" s="83" t="s">
        <v>3175</v>
      </c>
      <c r="G239" s="83" t="b">
        <v>0</v>
      </c>
      <c r="H239" s="83" t="b">
        <v>0</v>
      </c>
      <c r="I239" s="83" t="b">
        <v>0</v>
      </c>
      <c r="J239" s="83" t="b">
        <v>0</v>
      </c>
      <c r="K239" s="83" t="b">
        <v>0</v>
      </c>
      <c r="L239" s="83" t="b">
        <v>0</v>
      </c>
    </row>
    <row r="240" spans="1:12" ht="15">
      <c r="A240" s="84" t="s">
        <v>2699</v>
      </c>
      <c r="B240" s="83" t="s">
        <v>2556</v>
      </c>
      <c r="C240" s="83">
        <v>2</v>
      </c>
      <c r="D240" s="110">
        <v>0.0007042718569142821</v>
      </c>
      <c r="E240" s="110">
        <v>3.15755749745902</v>
      </c>
      <c r="F240" s="83" t="s">
        <v>3175</v>
      </c>
      <c r="G240" s="83" t="b">
        <v>0</v>
      </c>
      <c r="H240" s="83" t="b">
        <v>1</v>
      </c>
      <c r="I240" s="83" t="b">
        <v>0</v>
      </c>
      <c r="J240" s="83" t="b">
        <v>0</v>
      </c>
      <c r="K240" s="83" t="b">
        <v>0</v>
      </c>
      <c r="L240" s="83" t="b">
        <v>0</v>
      </c>
    </row>
    <row r="241" spans="1:12" ht="15">
      <c r="A241" s="84" t="s">
        <v>2556</v>
      </c>
      <c r="B241" s="83" t="s">
        <v>3044</v>
      </c>
      <c r="C241" s="83">
        <v>2</v>
      </c>
      <c r="D241" s="110">
        <v>0.0007042718569142821</v>
      </c>
      <c r="E241" s="110">
        <v>3.3336487565147013</v>
      </c>
      <c r="F241" s="83" t="s">
        <v>3175</v>
      </c>
      <c r="G241" s="83" t="b">
        <v>0</v>
      </c>
      <c r="H241" s="83" t="b">
        <v>0</v>
      </c>
      <c r="I241" s="83" t="b">
        <v>0</v>
      </c>
      <c r="J241" s="83" t="b">
        <v>0</v>
      </c>
      <c r="K241" s="83" t="b">
        <v>0</v>
      </c>
      <c r="L241" s="83" t="b">
        <v>0</v>
      </c>
    </row>
    <row r="242" spans="1:12" ht="15">
      <c r="A242" s="84" t="s">
        <v>2500</v>
      </c>
      <c r="B242" s="83" t="s">
        <v>2228</v>
      </c>
      <c r="C242" s="83">
        <v>2</v>
      </c>
      <c r="D242" s="110">
        <v>0.0007893686754765382</v>
      </c>
      <c r="E242" s="110">
        <v>2.5554975061310574</v>
      </c>
      <c r="F242" s="83" t="s">
        <v>3175</v>
      </c>
      <c r="G242" s="83" t="b">
        <v>0</v>
      </c>
      <c r="H242" s="83" t="b">
        <v>0</v>
      </c>
      <c r="I242" s="83" t="b">
        <v>0</v>
      </c>
      <c r="J242" s="83" t="b">
        <v>0</v>
      </c>
      <c r="K242" s="83" t="b">
        <v>0</v>
      </c>
      <c r="L242" s="83" t="b">
        <v>0</v>
      </c>
    </row>
    <row r="243" spans="1:12" ht="15">
      <c r="A243" s="84" t="s">
        <v>2341</v>
      </c>
      <c r="B243" s="83" t="s">
        <v>2194</v>
      </c>
      <c r="C243" s="83">
        <v>2</v>
      </c>
      <c r="D243" s="110">
        <v>0.0007042718569142821</v>
      </c>
      <c r="E243" s="110">
        <v>2.254467510467076</v>
      </c>
      <c r="F243" s="83" t="s">
        <v>3175</v>
      </c>
      <c r="G243" s="83" t="b">
        <v>0</v>
      </c>
      <c r="H243" s="83" t="b">
        <v>0</v>
      </c>
      <c r="I243" s="83" t="b">
        <v>0</v>
      </c>
      <c r="J243" s="83" t="b">
        <v>0</v>
      </c>
      <c r="K243" s="83" t="b">
        <v>0</v>
      </c>
      <c r="L243" s="83" t="b">
        <v>0</v>
      </c>
    </row>
    <row r="244" spans="1:12" ht="15">
      <c r="A244" s="84" t="s">
        <v>3054</v>
      </c>
      <c r="B244" s="83" t="s">
        <v>2701</v>
      </c>
      <c r="C244" s="83">
        <v>2</v>
      </c>
      <c r="D244" s="110">
        <v>0.0007893686754765382</v>
      </c>
      <c r="E244" s="110">
        <v>3.3336487565147013</v>
      </c>
      <c r="F244" s="83" t="s">
        <v>3175</v>
      </c>
      <c r="G244" s="83" t="b">
        <v>0</v>
      </c>
      <c r="H244" s="83" t="b">
        <v>0</v>
      </c>
      <c r="I244" s="83" t="b">
        <v>0</v>
      </c>
      <c r="J244" s="83" t="b">
        <v>0</v>
      </c>
      <c r="K244" s="83" t="b">
        <v>0</v>
      </c>
      <c r="L244" s="83" t="b">
        <v>0</v>
      </c>
    </row>
    <row r="245" spans="1:12" ht="15">
      <c r="A245" s="84" t="s">
        <v>2224</v>
      </c>
      <c r="B245" s="83" t="s">
        <v>2317</v>
      </c>
      <c r="C245" s="83">
        <v>2</v>
      </c>
      <c r="D245" s="110">
        <v>0.0007042718569142821</v>
      </c>
      <c r="E245" s="110">
        <v>2.3336487565147013</v>
      </c>
      <c r="F245" s="83" t="s">
        <v>3175</v>
      </c>
      <c r="G245" s="83" t="b">
        <v>0</v>
      </c>
      <c r="H245" s="83" t="b">
        <v>0</v>
      </c>
      <c r="I245" s="83" t="b">
        <v>0</v>
      </c>
      <c r="J245" s="83" t="b">
        <v>0</v>
      </c>
      <c r="K245" s="83" t="b">
        <v>0</v>
      </c>
      <c r="L245" s="83" t="b">
        <v>0</v>
      </c>
    </row>
    <row r="246" spans="1:12" ht="15">
      <c r="A246" s="84" t="s">
        <v>2206</v>
      </c>
      <c r="B246" s="83" t="s">
        <v>2456</v>
      </c>
      <c r="C246" s="83">
        <v>2</v>
      </c>
      <c r="D246" s="110">
        <v>0.0007042718569142821</v>
      </c>
      <c r="E246" s="110">
        <v>2.4683473304121573</v>
      </c>
      <c r="F246" s="83" t="s">
        <v>3175</v>
      </c>
      <c r="G246" s="83" t="b">
        <v>0</v>
      </c>
      <c r="H246" s="83" t="b">
        <v>0</v>
      </c>
      <c r="I246" s="83" t="b">
        <v>0</v>
      </c>
      <c r="J246" s="83" t="b">
        <v>1</v>
      </c>
      <c r="K246" s="83" t="b">
        <v>0</v>
      </c>
      <c r="L246" s="83" t="b">
        <v>0</v>
      </c>
    </row>
    <row r="247" spans="1:12" ht="15">
      <c r="A247" s="84" t="s">
        <v>2224</v>
      </c>
      <c r="B247" s="83" t="s">
        <v>2161</v>
      </c>
      <c r="C247" s="83">
        <v>2</v>
      </c>
      <c r="D247" s="110">
        <v>0.0007042718569142821</v>
      </c>
      <c r="E247" s="110">
        <v>1.8565275017950387</v>
      </c>
      <c r="F247" s="83" t="s">
        <v>3175</v>
      </c>
      <c r="G247" s="83" t="b">
        <v>0</v>
      </c>
      <c r="H247" s="83" t="b">
        <v>0</v>
      </c>
      <c r="I247" s="83" t="b">
        <v>0</v>
      </c>
      <c r="J247" s="83" t="b">
        <v>0</v>
      </c>
      <c r="K247" s="83" t="b">
        <v>0</v>
      </c>
      <c r="L247" s="83" t="b">
        <v>0</v>
      </c>
    </row>
    <row r="248" spans="1:12" ht="15">
      <c r="A248" s="84" t="s">
        <v>3065</v>
      </c>
      <c r="B248" s="83" t="s">
        <v>2395</v>
      </c>
      <c r="C248" s="83">
        <v>2</v>
      </c>
      <c r="D248" s="110">
        <v>0.0007893686754765382</v>
      </c>
      <c r="E248" s="110">
        <v>3.1118000068983447</v>
      </c>
      <c r="F248" s="83" t="s">
        <v>3175</v>
      </c>
      <c r="G248" s="83" t="b">
        <v>0</v>
      </c>
      <c r="H248" s="83" t="b">
        <v>0</v>
      </c>
      <c r="I248" s="83" t="b">
        <v>0</v>
      </c>
      <c r="J248" s="83" t="b">
        <v>0</v>
      </c>
      <c r="K248" s="83" t="b">
        <v>0</v>
      </c>
      <c r="L248" s="83" t="b">
        <v>0</v>
      </c>
    </row>
    <row r="249" spans="1:12" ht="15">
      <c r="A249" s="84" t="s">
        <v>2135</v>
      </c>
      <c r="B249" s="83" t="s">
        <v>2214</v>
      </c>
      <c r="C249" s="83">
        <v>2</v>
      </c>
      <c r="D249" s="110">
        <v>0.0007042718569142821</v>
      </c>
      <c r="E249" s="110">
        <v>1.4793427147136204</v>
      </c>
      <c r="F249" s="83" t="s">
        <v>3175</v>
      </c>
      <c r="G249" s="83" t="b">
        <v>1</v>
      </c>
      <c r="H249" s="83" t="b">
        <v>0</v>
      </c>
      <c r="I249" s="83" t="b">
        <v>0</v>
      </c>
      <c r="J249" s="83" t="b">
        <v>0</v>
      </c>
      <c r="K249" s="83" t="b">
        <v>1</v>
      </c>
      <c r="L249" s="83" t="b">
        <v>0</v>
      </c>
    </row>
    <row r="250" spans="1:12" ht="15">
      <c r="A250" s="84" t="s">
        <v>2132</v>
      </c>
      <c r="B250" s="83" t="s">
        <v>2135</v>
      </c>
      <c r="C250" s="83">
        <v>2</v>
      </c>
      <c r="D250" s="110">
        <v>0.0007042718569142821</v>
      </c>
      <c r="E250" s="110">
        <v>0.7654470324477062</v>
      </c>
      <c r="F250" s="83" t="s">
        <v>3175</v>
      </c>
      <c r="G250" s="83" t="b">
        <v>0</v>
      </c>
      <c r="H250" s="83" t="b">
        <v>0</v>
      </c>
      <c r="I250" s="83" t="b">
        <v>0</v>
      </c>
      <c r="J250" s="83" t="b">
        <v>1</v>
      </c>
      <c r="K250" s="83" t="b">
        <v>0</v>
      </c>
      <c r="L250" s="83" t="b">
        <v>0</v>
      </c>
    </row>
    <row r="251" spans="1:12" ht="15">
      <c r="A251" s="84" t="s">
        <v>3073</v>
      </c>
      <c r="B251" s="83" t="s">
        <v>2138</v>
      </c>
      <c r="C251" s="83">
        <v>2</v>
      </c>
      <c r="D251" s="110">
        <v>0.0007042718569142821</v>
      </c>
      <c r="E251" s="110">
        <v>2.2425682871673684</v>
      </c>
      <c r="F251" s="83" t="s">
        <v>3175</v>
      </c>
      <c r="G251" s="83" t="b">
        <v>0</v>
      </c>
      <c r="H251" s="83" t="b">
        <v>0</v>
      </c>
      <c r="I251" s="83" t="b">
        <v>0</v>
      </c>
      <c r="J251" s="83" t="b">
        <v>0</v>
      </c>
      <c r="K251" s="83" t="b">
        <v>0</v>
      </c>
      <c r="L251" s="83" t="b">
        <v>0</v>
      </c>
    </row>
    <row r="252" spans="1:12" ht="15">
      <c r="A252" s="84" t="s">
        <v>2704</v>
      </c>
      <c r="B252" s="83" t="s">
        <v>2138</v>
      </c>
      <c r="C252" s="83">
        <v>2</v>
      </c>
      <c r="D252" s="110">
        <v>0.0007042718569142821</v>
      </c>
      <c r="E252" s="110">
        <v>2.0664770281116875</v>
      </c>
      <c r="F252" s="83" t="s">
        <v>3175</v>
      </c>
      <c r="G252" s="83" t="b">
        <v>0</v>
      </c>
      <c r="H252" s="83" t="b">
        <v>0</v>
      </c>
      <c r="I252" s="83" t="b">
        <v>0</v>
      </c>
      <c r="J252" s="83" t="b">
        <v>0</v>
      </c>
      <c r="K252" s="83" t="b">
        <v>0</v>
      </c>
      <c r="L252" s="83" t="b">
        <v>0</v>
      </c>
    </row>
    <row r="253" spans="1:12" ht="15">
      <c r="A253" s="84" t="s">
        <v>2145</v>
      </c>
      <c r="B253" s="83" t="s">
        <v>2422</v>
      </c>
      <c r="C253" s="83">
        <v>2</v>
      </c>
      <c r="D253" s="110">
        <v>0.0007042718569142821</v>
      </c>
      <c r="E253" s="110">
        <v>2.2729509161610895</v>
      </c>
      <c r="F253" s="83" t="s">
        <v>3175</v>
      </c>
      <c r="G253" s="83" t="b">
        <v>0</v>
      </c>
      <c r="H253" s="83" t="b">
        <v>0</v>
      </c>
      <c r="I253" s="83" t="b">
        <v>0</v>
      </c>
      <c r="J253" s="83" t="b">
        <v>1</v>
      </c>
      <c r="K253" s="83" t="b">
        <v>0</v>
      </c>
      <c r="L253" s="83" t="b">
        <v>0</v>
      </c>
    </row>
    <row r="254" spans="1:12" ht="15">
      <c r="A254" s="84" t="s">
        <v>2422</v>
      </c>
      <c r="B254" s="83" t="s">
        <v>2129</v>
      </c>
      <c r="C254" s="83">
        <v>2</v>
      </c>
      <c r="D254" s="110">
        <v>0.0007042718569142821</v>
      </c>
      <c r="E254" s="110">
        <v>1.3597515590789062</v>
      </c>
      <c r="F254" s="83" t="s">
        <v>3175</v>
      </c>
      <c r="G254" s="83" t="b">
        <v>1</v>
      </c>
      <c r="H254" s="83" t="b">
        <v>0</v>
      </c>
      <c r="I254" s="83" t="b">
        <v>0</v>
      </c>
      <c r="J254" s="83" t="b">
        <v>0</v>
      </c>
      <c r="K254" s="83" t="b">
        <v>0</v>
      </c>
      <c r="L254" s="83" t="b">
        <v>0</v>
      </c>
    </row>
    <row r="255" spans="1:12" ht="15">
      <c r="A255" s="84" t="s">
        <v>2129</v>
      </c>
      <c r="B255" s="83" t="s">
        <v>2129</v>
      </c>
      <c r="C255" s="83">
        <v>2</v>
      </c>
      <c r="D255" s="110">
        <v>0.0007042718569142821</v>
      </c>
      <c r="E255" s="110">
        <v>0.017328878256700025</v>
      </c>
      <c r="F255" s="83" t="s">
        <v>3175</v>
      </c>
      <c r="G255" s="83" t="b">
        <v>0</v>
      </c>
      <c r="H255" s="83" t="b">
        <v>0</v>
      </c>
      <c r="I255" s="83" t="b">
        <v>0</v>
      </c>
      <c r="J255" s="83" t="b">
        <v>0</v>
      </c>
      <c r="K255" s="83" t="b">
        <v>0</v>
      </c>
      <c r="L255" s="83" t="b">
        <v>0</v>
      </c>
    </row>
    <row r="256" spans="1:12" ht="15">
      <c r="A256" s="84" t="s">
        <v>2370</v>
      </c>
      <c r="B256" s="83" t="s">
        <v>2198</v>
      </c>
      <c r="C256" s="83">
        <v>2</v>
      </c>
      <c r="D256" s="110">
        <v>0.0007042718569142821</v>
      </c>
      <c r="E256" s="110">
        <v>2.4305587695227575</v>
      </c>
      <c r="F256" s="83" t="s">
        <v>3175</v>
      </c>
      <c r="G256" s="83" t="b">
        <v>0</v>
      </c>
      <c r="H256" s="83" t="b">
        <v>0</v>
      </c>
      <c r="I256" s="83" t="b">
        <v>0</v>
      </c>
      <c r="J256" s="83" t="b">
        <v>0</v>
      </c>
      <c r="K256" s="83" t="b">
        <v>0</v>
      </c>
      <c r="L256" s="83" t="b">
        <v>0</v>
      </c>
    </row>
    <row r="257" spans="1:12" ht="15">
      <c r="A257" s="84" t="s">
        <v>2135</v>
      </c>
      <c r="B257" s="83" t="s">
        <v>2188</v>
      </c>
      <c r="C257" s="83">
        <v>2</v>
      </c>
      <c r="D257" s="110">
        <v>0.0007042718569142821</v>
      </c>
      <c r="E257" s="110">
        <v>1.3746073641936074</v>
      </c>
      <c r="F257" s="83" t="s">
        <v>3175</v>
      </c>
      <c r="G257" s="83" t="b">
        <v>1</v>
      </c>
      <c r="H257" s="83" t="b">
        <v>0</v>
      </c>
      <c r="I257" s="83" t="b">
        <v>0</v>
      </c>
      <c r="J257" s="83" t="b">
        <v>1</v>
      </c>
      <c r="K257" s="83" t="b">
        <v>0</v>
      </c>
      <c r="L257" s="83" t="b">
        <v>0</v>
      </c>
    </row>
    <row r="258" spans="1:12" ht="15">
      <c r="A258" s="84" t="s">
        <v>3092</v>
      </c>
      <c r="B258" s="83" t="s">
        <v>3093</v>
      </c>
      <c r="C258" s="83">
        <v>2</v>
      </c>
      <c r="D258" s="110">
        <v>0.0007042718569142821</v>
      </c>
      <c r="E258" s="110">
        <v>3.509740015570382</v>
      </c>
      <c r="F258" s="83" t="s">
        <v>3175</v>
      </c>
      <c r="G258" s="83" t="b">
        <v>1</v>
      </c>
      <c r="H258" s="83" t="b">
        <v>0</v>
      </c>
      <c r="I258" s="83" t="b">
        <v>0</v>
      </c>
      <c r="J258" s="83" t="b">
        <v>0</v>
      </c>
      <c r="K258" s="83" t="b">
        <v>0</v>
      </c>
      <c r="L258" s="83" t="b">
        <v>0</v>
      </c>
    </row>
    <row r="259" spans="1:12" ht="15">
      <c r="A259" s="84" t="s">
        <v>2226</v>
      </c>
      <c r="B259" s="83" t="s">
        <v>2134</v>
      </c>
      <c r="C259" s="83">
        <v>2</v>
      </c>
      <c r="D259" s="110">
        <v>0.0007042718569142821</v>
      </c>
      <c r="E259" s="110">
        <v>1.4854596395233024</v>
      </c>
      <c r="F259" s="83" t="s">
        <v>3175</v>
      </c>
      <c r="G259" s="83" t="b">
        <v>0</v>
      </c>
      <c r="H259" s="83" t="b">
        <v>0</v>
      </c>
      <c r="I259" s="83" t="b">
        <v>0</v>
      </c>
      <c r="J259" s="83" t="b">
        <v>0</v>
      </c>
      <c r="K259" s="83" t="b">
        <v>0</v>
      </c>
      <c r="L259" s="83" t="b">
        <v>0</v>
      </c>
    </row>
    <row r="260" spans="1:12" ht="15">
      <c r="A260" s="84" t="s">
        <v>2134</v>
      </c>
      <c r="B260" s="83" t="s">
        <v>2711</v>
      </c>
      <c r="C260" s="83">
        <v>2</v>
      </c>
      <c r="D260" s="110">
        <v>0.0007042718569142821</v>
      </c>
      <c r="E260" s="110">
        <v>1.9814662384033386</v>
      </c>
      <c r="F260" s="83" t="s">
        <v>3175</v>
      </c>
      <c r="G260" s="83" t="b">
        <v>0</v>
      </c>
      <c r="H260" s="83" t="b">
        <v>0</v>
      </c>
      <c r="I260" s="83" t="b">
        <v>0</v>
      </c>
      <c r="J260" s="83" t="b">
        <v>0</v>
      </c>
      <c r="K260" s="83" t="b">
        <v>0</v>
      </c>
      <c r="L260" s="83" t="b">
        <v>0</v>
      </c>
    </row>
    <row r="261" spans="1:12" ht="15">
      <c r="A261" s="84" t="s">
        <v>2711</v>
      </c>
      <c r="B261" s="83" t="s">
        <v>2527</v>
      </c>
      <c r="C261" s="83">
        <v>2</v>
      </c>
      <c r="D261" s="110">
        <v>0.0007042718569142821</v>
      </c>
      <c r="E261" s="110">
        <v>3.208710019906401</v>
      </c>
      <c r="F261" s="83" t="s">
        <v>3175</v>
      </c>
      <c r="G261" s="83" t="b">
        <v>0</v>
      </c>
      <c r="H261" s="83" t="b">
        <v>0</v>
      </c>
      <c r="I261" s="83" t="b">
        <v>0</v>
      </c>
      <c r="J261" s="83" t="b">
        <v>0</v>
      </c>
      <c r="K261" s="83" t="b">
        <v>0</v>
      </c>
      <c r="L261" s="83" t="b">
        <v>0</v>
      </c>
    </row>
    <row r="262" spans="1:12" ht="15">
      <c r="A262" s="84" t="s">
        <v>3100</v>
      </c>
      <c r="B262" s="83" t="s">
        <v>3101</v>
      </c>
      <c r="C262" s="83">
        <v>2</v>
      </c>
      <c r="D262" s="110">
        <v>0.0007042718569142821</v>
      </c>
      <c r="E262" s="110">
        <v>3.509740015570382</v>
      </c>
      <c r="F262" s="83" t="s">
        <v>3175</v>
      </c>
      <c r="G262" s="83" t="b">
        <v>0</v>
      </c>
      <c r="H262" s="83" t="b">
        <v>0</v>
      </c>
      <c r="I262" s="83" t="b">
        <v>0</v>
      </c>
      <c r="J262" s="83" t="b">
        <v>0</v>
      </c>
      <c r="K262" s="83" t="b">
        <v>0</v>
      </c>
      <c r="L262" s="83" t="b">
        <v>0</v>
      </c>
    </row>
    <row r="263" spans="1:12" ht="15">
      <c r="A263" s="84" t="s">
        <v>2304</v>
      </c>
      <c r="B263" s="83" t="s">
        <v>2349</v>
      </c>
      <c r="C263" s="83">
        <v>2</v>
      </c>
      <c r="D263" s="110">
        <v>0.0007042718569142821</v>
      </c>
      <c r="E263" s="110">
        <v>2.5554975061310574</v>
      </c>
      <c r="F263" s="83" t="s">
        <v>3175</v>
      </c>
      <c r="G263" s="83" t="b">
        <v>1</v>
      </c>
      <c r="H263" s="83" t="b">
        <v>0</v>
      </c>
      <c r="I263" s="83" t="b">
        <v>0</v>
      </c>
      <c r="J263" s="83" t="b">
        <v>0</v>
      </c>
      <c r="K263" s="83" t="b">
        <v>0</v>
      </c>
      <c r="L263" s="83" t="b">
        <v>0</v>
      </c>
    </row>
    <row r="264" spans="1:12" ht="15">
      <c r="A264" s="84" t="s">
        <v>2145</v>
      </c>
      <c r="B264" s="83" t="s">
        <v>2150</v>
      </c>
      <c r="C264" s="83">
        <v>2</v>
      </c>
      <c r="D264" s="110">
        <v>0.0007042718569142821</v>
      </c>
      <c r="E264" s="110">
        <v>1.4490421752167708</v>
      </c>
      <c r="F264" s="83" t="s">
        <v>3175</v>
      </c>
      <c r="G264" s="83" t="b">
        <v>0</v>
      </c>
      <c r="H264" s="83" t="b">
        <v>0</v>
      </c>
      <c r="I264" s="83" t="b">
        <v>0</v>
      </c>
      <c r="J264" s="83" t="b">
        <v>0</v>
      </c>
      <c r="K264" s="83" t="b">
        <v>0</v>
      </c>
      <c r="L264" s="83" t="b">
        <v>0</v>
      </c>
    </row>
    <row r="265" spans="1:12" ht="15">
      <c r="A265" s="84" t="s">
        <v>2391</v>
      </c>
      <c r="B265" s="83" t="s">
        <v>2404</v>
      </c>
      <c r="C265" s="83">
        <v>2</v>
      </c>
      <c r="D265" s="110">
        <v>0.0007042718569142821</v>
      </c>
      <c r="E265" s="110">
        <v>2.8107700112343634</v>
      </c>
      <c r="F265" s="83" t="s">
        <v>3175</v>
      </c>
      <c r="G265" s="83" t="b">
        <v>0</v>
      </c>
      <c r="H265" s="83" t="b">
        <v>0</v>
      </c>
      <c r="I265" s="83" t="b">
        <v>0</v>
      </c>
      <c r="J265" s="83" t="b">
        <v>0</v>
      </c>
      <c r="K265" s="83" t="b">
        <v>0</v>
      </c>
      <c r="L265" s="83" t="b">
        <v>0</v>
      </c>
    </row>
    <row r="266" spans="1:12" ht="15">
      <c r="A266" s="84" t="s">
        <v>2404</v>
      </c>
      <c r="B266" s="83" t="s">
        <v>2338</v>
      </c>
      <c r="C266" s="83">
        <v>2</v>
      </c>
      <c r="D266" s="110">
        <v>0.0007042718569142821</v>
      </c>
      <c r="E266" s="110">
        <v>2.713859998226307</v>
      </c>
      <c r="F266" s="83" t="s">
        <v>3175</v>
      </c>
      <c r="G266" s="83" t="b">
        <v>0</v>
      </c>
      <c r="H266" s="83" t="b">
        <v>0</v>
      </c>
      <c r="I266" s="83" t="b">
        <v>0</v>
      </c>
      <c r="J266" s="83" t="b">
        <v>0</v>
      </c>
      <c r="K266" s="83" t="b">
        <v>0</v>
      </c>
      <c r="L266" s="83" t="b">
        <v>0</v>
      </c>
    </row>
    <row r="267" spans="1:12" ht="15">
      <c r="A267" s="84" t="s">
        <v>2338</v>
      </c>
      <c r="B267" s="83" t="s">
        <v>2206</v>
      </c>
      <c r="C267" s="83">
        <v>2</v>
      </c>
      <c r="D267" s="110">
        <v>0.0007042718569142821</v>
      </c>
      <c r="E267" s="110">
        <v>2.4305587695227575</v>
      </c>
      <c r="F267" s="83" t="s">
        <v>3175</v>
      </c>
      <c r="G267" s="83" t="b">
        <v>0</v>
      </c>
      <c r="H267" s="83" t="b">
        <v>0</v>
      </c>
      <c r="I267" s="83" t="b">
        <v>0</v>
      </c>
      <c r="J267" s="83" t="b">
        <v>0</v>
      </c>
      <c r="K267" s="83" t="b">
        <v>0</v>
      </c>
      <c r="L267" s="83" t="b">
        <v>0</v>
      </c>
    </row>
    <row r="268" spans="1:12" ht="15">
      <c r="A268" s="84" t="s">
        <v>2206</v>
      </c>
      <c r="B268" s="83" t="s">
        <v>2713</v>
      </c>
      <c r="C268" s="83">
        <v>2</v>
      </c>
      <c r="D268" s="110">
        <v>0.0007042718569142821</v>
      </c>
      <c r="E268" s="110">
        <v>2.593286067020457</v>
      </c>
      <c r="F268" s="83" t="s">
        <v>3175</v>
      </c>
      <c r="G268" s="83" t="b">
        <v>0</v>
      </c>
      <c r="H268" s="83" t="b">
        <v>0</v>
      </c>
      <c r="I268" s="83" t="b">
        <v>0</v>
      </c>
      <c r="J268" s="83" t="b">
        <v>0</v>
      </c>
      <c r="K268" s="83" t="b">
        <v>0</v>
      </c>
      <c r="L268" s="83" t="b">
        <v>0</v>
      </c>
    </row>
    <row r="269" spans="1:12" ht="15">
      <c r="A269" s="84" t="s">
        <v>3115</v>
      </c>
      <c r="B269" s="83" t="s">
        <v>2052</v>
      </c>
      <c r="C269" s="83">
        <v>2</v>
      </c>
      <c r="D269" s="110">
        <v>0.0007042718569142821</v>
      </c>
      <c r="E269" s="110">
        <v>2.9656719712201065</v>
      </c>
      <c r="F269" s="83" t="s">
        <v>3175</v>
      </c>
      <c r="G269" s="83" t="b">
        <v>0</v>
      </c>
      <c r="H269" s="83" t="b">
        <v>0</v>
      </c>
      <c r="I269" s="83" t="b">
        <v>0</v>
      </c>
      <c r="J269" s="83" t="b">
        <v>0</v>
      </c>
      <c r="K269" s="83" t="b">
        <v>0</v>
      </c>
      <c r="L269" s="83" t="b">
        <v>0</v>
      </c>
    </row>
    <row r="270" spans="1:12" ht="15">
      <c r="A270" s="84" t="s">
        <v>2204</v>
      </c>
      <c r="B270" s="83" t="s">
        <v>2609</v>
      </c>
      <c r="C270" s="83">
        <v>2</v>
      </c>
      <c r="D270" s="110">
        <v>0.0007042718569142821</v>
      </c>
      <c r="E270" s="110">
        <v>2.593286067020457</v>
      </c>
      <c r="F270" s="83" t="s">
        <v>3175</v>
      </c>
      <c r="G270" s="83" t="b">
        <v>0</v>
      </c>
      <c r="H270" s="83" t="b">
        <v>0</v>
      </c>
      <c r="I270" s="83" t="b">
        <v>0</v>
      </c>
      <c r="J270" s="83" t="b">
        <v>0</v>
      </c>
      <c r="K270" s="83" t="b">
        <v>1</v>
      </c>
      <c r="L270" s="83" t="b">
        <v>0</v>
      </c>
    </row>
    <row r="271" spans="1:12" ht="15">
      <c r="A271" s="84" t="s">
        <v>3119</v>
      </c>
      <c r="B271" s="83" t="s">
        <v>2147</v>
      </c>
      <c r="C271" s="83">
        <v>2</v>
      </c>
      <c r="D271" s="110">
        <v>0.0007893686754765382</v>
      </c>
      <c r="E271" s="110">
        <v>2.509740015570382</v>
      </c>
      <c r="F271" s="83" t="s">
        <v>3175</v>
      </c>
      <c r="G271" s="83" t="b">
        <v>0</v>
      </c>
      <c r="H271" s="83" t="b">
        <v>0</v>
      </c>
      <c r="I271" s="83" t="b">
        <v>0</v>
      </c>
      <c r="J271" s="83" t="b">
        <v>0</v>
      </c>
      <c r="K271" s="83" t="b">
        <v>0</v>
      </c>
      <c r="L271" s="83" t="b">
        <v>0</v>
      </c>
    </row>
    <row r="272" spans="1:12" ht="15">
      <c r="A272" s="84" t="s">
        <v>3121</v>
      </c>
      <c r="B272" s="83" t="s">
        <v>3122</v>
      </c>
      <c r="C272" s="83">
        <v>2</v>
      </c>
      <c r="D272" s="110">
        <v>0.0007042718569142821</v>
      </c>
      <c r="E272" s="110">
        <v>3.509740015570382</v>
      </c>
      <c r="F272" s="83" t="s">
        <v>3175</v>
      </c>
      <c r="G272" s="83" t="b">
        <v>0</v>
      </c>
      <c r="H272" s="83" t="b">
        <v>0</v>
      </c>
      <c r="I272" s="83" t="b">
        <v>0</v>
      </c>
      <c r="J272" s="83" t="b">
        <v>0</v>
      </c>
      <c r="K272" s="83" t="b">
        <v>0</v>
      </c>
      <c r="L272" s="83" t="b">
        <v>0</v>
      </c>
    </row>
    <row r="273" spans="1:12" ht="15">
      <c r="A273" s="84" t="s">
        <v>2378</v>
      </c>
      <c r="B273" s="83" t="s">
        <v>2714</v>
      </c>
      <c r="C273" s="83">
        <v>2</v>
      </c>
      <c r="D273" s="110">
        <v>0.0007042718569142821</v>
      </c>
      <c r="E273" s="110">
        <v>3.03261876085072</v>
      </c>
      <c r="F273" s="83" t="s">
        <v>3175</v>
      </c>
      <c r="G273" s="83" t="b">
        <v>0</v>
      </c>
      <c r="H273" s="83" t="b">
        <v>0</v>
      </c>
      <c r="I273" s="83" t="b">
        <v>0</v>
      </c>
      <c r="J273" s="83" t="b">
        <v>0</v>
      </c>
      <c r="K273" s="83" t="b">
        <v>0</v>
      </c>
      <c r="L273" s="83" t="b">
        <v>0</v>
      </c>
    </row>
    <row r="274" spans="1:12" ht="15">
      <c r="A274" s="84" t="s">
        <v>2716</v>
      </c>
      <c r="B274" s="83" t="s">
        <v>2717</v>
      </c>
      <c r="C274" s="83">
        <v>2</v>
      </c>
      <c r="D274" s="110">
        <v>0.0007042718569142821</v>
      </c>
      <c r="E274" s="110">
        <v>3.15755749745902</v>
      </c>
      <c r="F274" s="83" t="s">
        <v>3175</v>
      </c>
      <c r="G274" s="83" t="b">
        <v>0</v>
      </c>
      <c r="H274" s="83" t="b">
        <v>0</v>
      </c>
      <c r="I274" s="83" t="b">
        <v>0</v>
      </c>
      <c r="J274" s="83" t="b">
        <v>0</v>
      </c>
      <c r="K274" s="83" t="b">
        <v>0</v>
      </c>
      <c r="L274" s="83" t="b">
        <v>0</v>
      </c>
    </row>
    <row r="275" spans="1:12" ht="15">
      <c r="A275" s="84" t="s">
        <v>2534</v>
      </c>
      <c r="B275" s="83" t="s">
        <v>2293</v>
      </c>
      <c r="C275" s="83">
        <v>2</v>
      </c>
      <c r="D275" s="110">
        <v>0.0007042718569142821</v>
      </c>
      <c r="E275" s="110">
        <v>2.6646419755561253</v>
      </c>
      <c r="F275" s="83" t="s">
        <v>3175</v>
      </c>
      <c r="G275" s="83" t="b">
        <v>0</v>
      </c>
      <c r="H275" s="83" t="b">
        <v>0</v>
      </c>
      <c r="I275" s="83" t="b">
        <v>0</v>
      </c>
      <c r="J275" s="83" t="b">
        <v>0</v>
      </c>
      <c r="K275" s="83" t="b">
        <v>0</v>
      </c>
      <c r="L275" s="83" t="b">
        <v>0</v>
      </c>
    </row>
    <row r="276" spans="1:12" ht="15">
      <c r="A276" s="84" t="s">
        <v>2294</v>
      </c>
      <c r="B276" s="83" t="s">
        <v>2181</v>
      </c>
      <c r="C276" s="83">
        <v>2</v>
      </c>
      <c r="D276" s="110">
        <v>0.0007042718569142821</v>
      </c>
      <c r="E276" s="110">
        <v>2.090610707828407</v>
      </c>
      <c r="F276" s="83" t="s">
        <v>3175</v>
      </c>
      <c r="G276" s="83" t="b">
        <v>0</v>
      </c>
      <c r="H276" s="83" t="b">
        <v>0</v>
      </c>
      <c r="I276" s="83" t="b">
        <v>0</v>
      </c>
      <c r="J276" s="83" t="b">
        <v>0</v>
      </c>
      <c r="K276" s="83" t="b">
        <v>0</v>
      </c>
      <c r="L276" s="83" t="b">
        <v>0</v>
      </c>
    </row>
    <row r="277" spans="1:12" ht="15">
      <c r="A277" s="84" t="s">
        <v>2181</v>
      </c>
      <c r="B277" s="83" t="s">
        <v>2242</v>
      </c>
      <c r="C277" s="83">
        <v>2</v>
      </c>
      <c r="D277" s="110">
        <v>0.0007042718569142821</v>
      </c>
      <c r="E277" s="110">
        <v>2.03261876085072</v>
      </c>
      <c r="F277" s="83" t="s">
        <v>3175</v>
      </c>
      <c r="G277" s="83" t="b">
        <v>0</v>
      </c>
      <c r="H277" s="83" t="b">
        <v>0</v>
      </c>
      <c r="I277" s="83" t="b">
        <v>0</v>
      </c>
      <c r="J277" s="83" t="b">
        <v>0</v>
      </c>
      <c r="K277" s="83" t="b">
        <v>0</v>
      </c>
      <c r="L277" s="83" t="b">
        <v>0</v>
      </c>
    </row>
    <row r="278" spans="1:12" ht="15">
      <c r="A278" s="84" t="s">
        <v>2295</v>
      </c>
      <c r="B278" s="83" t="s">
        <v>2242</v>
      </c>
      <c r="C278" s="83">
        <v>2</v>
      </c>
      <c r="D278" s="110">
        <v>0.0007042718569142821</v>
      </c>
      <c r="E278" s="110">
        <v>2.4305587695227575</v>
      </c>
      <c r="F278" s="83" t="s">
        <v>3175</v>
      </c>
      <c r="G278" s="83" t="b">
        <v>0</v>
      </c>
      <c r="H278" s="83" t="b">
        <v>0</v>
      </c>
      <c r="I278" s="83" t="b">
        <v>0</v>
      </c>
      <c r="J278" s="83" t="b">
        <v>0</v>
      </c>
      <c r="K278" s="83" t="b">
        <v>0</v>
      </c>
      <c r="L278" s="83" t="b">
        <v>0</v>
      </c>
    </row>
    <row r="279" spans="1:12" ht="15">
      <c r="A279" s="84" t="s">
        <v>3136</v>
      </c>
      <c r="B279" s="83" t="s">
        <v>2181</v>
      </c>
      <c r="C279" s="83">
        <v>2</v>
      </c>
      <c r="D279" s="110">
        <v>0.0007893686754765382</v>
      </c>
      <c r="E279" s="110">
        <v>2.634678752178682</v>
      </c>
      <c r="F279" s="83" t="s">
        <v>3175</v>
      </c>
      <c r="G279" s="83" t="b">
        <v>0</v>
      </c>
      <c r="H279" s="83" t="b">
        <v>0</v>
      </c>
      <c r="I279" s="83" t="b">
        <v>0</v>
      </c>
      <c r="J279" s="83" t="b">
        <v>0</v>
      </c>
      <c r="K279" s="83" t="b">
        <v>0</v>
      </c>
      <c r="L279" s="83" t="b">
        <v>0</v>
      </c>
    </row>
    <row r="280" spans="1:12" ht="15">
      <c r="A280" s="84" t="s">
        <v>2181</v>
      </c>
      <c r="B280" s="83" t="s">
        <v>2295</v>
      </c>
      <c r="C280" s="83">
        <v>2</v>
      </c>
      <c r="D280" s="110">
        <v>0.0007042718569142821</v>
      </c>
      <c r="E280" s="110">
        <v>2.2367387435066446</v>
      </c>
      <c r="F280" s="83" t="s">
        <v>3175</v>
      </c>
      <c r="G280" s="83" t="b">
        <v>0</v>
      </c>
      <c r="H280" s="83" t="b">
        <v>0</v>
      </c>
      <c r="I280" s="83" t="b">
        <v>0</v>
      </c>
      <c r="J280" s="83" t="b">
        <v>0</v>
      </c>
      <c r="K280" s="83" t="b">
        <v>0</v>
      </c>
      <c r="L280" s="83" t="b">
        <v>0</v>
      </c>
    </row>
    <row r="281" spans="1:12" ht="15">
      <c r="A281" s="84" t="s">
        <v>2242</v>
      </c>
      <c r="B281" s="83" t="s">
        <v>2535</v>
      </c>
      <c r="C281" s="83">
        <v>2</v>
      </c>
      <c r="D281" s="110">
        <v>0.0007042718569142821</v>
      </c>
      <c r="E281" s="110">
        <v>2.606650028578439</v>
      </c>
      <c r="F281" s="83" t="s">
        <v>3175</v>
      </c>
      <c r="G281" s="83" t="b">
        <v>0</v>
      </c>
      <c r="H281" s="83" t="b">
        <v>0</v>
      </c>
      <c r="I281" s="83" t="b">
        <v>0</v>
      </c>
      <c r="J281" s="83" t="b">
        <v>0</v>
      </c>
      <c r="K281" s="83" t="b">
        <v>1</v>
      </c>
      <c r="L281" s="83" t="b">
        <v>0</v>
      </c>
    </row>
    <row r="282" spans="1:12" ht="15">
      <c r="A282" s="84" t="s">
        <v>2052</v>
      </c>
      <c r="B282" s="83" t="s">
        <v>2169</v>
      </c>
      <c r="C282" s="83">
        <v>2</v>
      </c>
      <c r="D282" s="110">
        <v>0.0007042718569142821</v>
      </c>
      <c r="E282" s="110">
        <v>2.2367387435066446</v>
      </c>
      <c r="F282" s="83" t="s">
        <v>3175</v>
      </c>
      <c r="G282" s="83" t="b">
        <v>0</v>
      </c>
      <c r="H282" s="83" t="b">
        <v>0</v>
      </c>
      <c r="I282" s="83" t="b">
        <v>0</v>
      </c>
      <c r="J282" s="83" t="b">
        <v>0</v>
      </c>
      <c r="K282" s="83" t="b">
        <v>0</v>
      </c>
      <c r="L282" s="83" t="b">
        <v>0</v>
      </c>
    </row>
    <row r="283" spans="1:12" ht="15">
      <c r="A283" s="84" t="s">
        <v>2721</v>
      </c>
      <c r="B283" s="83" t="s">
        <v>2180</v>
      </c>
      <c r="C283" s="83">
        <v>2</v>
      </c>
      <c r="D283" s="110">
        <v>0.0007893686754765382</v>
      </c>
      <c r="E283" s="110">
        <v>2.458587493123001</v>
      </c>
      <c r="F283" s="83" t="s">
        <v>3175</v>
      </c>
      <c r="G283" s="83" t="b">
        <v>0</v>
      </c>
      <c r="H283" s="83" t="b">
        <v>0</v>
      </c>
      <c r="I283" s="83" t="b">
        <v>0</v>
      </c>
      <c r="J283" s="83" t="b">
        <v>0</v>
      </c>
      <c r="K283" s="83" t="b">
        <v>0</v>
      </c>
      <c r="L283" s="83" t="b">
        <v>0</v>
      </c>
    </row>
    <row r="284" spans="1:12" ht="15">
      <c r="A284" s="84" t="s">
        <v>2180</v>
      </c>
      <c r="B284" s="83" t="s">
        <v>2287</v>
      </c>
      <c r="C284" s="83">
        <v>2</v>
      </c>
      <c r="D284" s="110">
        <v>0.0007893686754765382</v>
      </c>
      <c r="E284" s="110">
        <v>2.12057393120585</v>
      </c>
      <c r="F284" s="83" t="s">
        <v>3175</v>
      </c>
      <c r="G284" s="83" t="b">
        <v>0</v>
      </c>
      <c r="H284" s="83" t="b">
        <v>0</v>
      </c>
      <c r="I284" s="83" t="b">
        <v>0</v>
      </c>
      <c r="J284" s="83" t="b">
        <v>0</v>
      </c>
      <c r="K284" s="83" t="b">
        <v>0</v>
      </c>
      <c r="L284" s="83" t="b">
        <v>0</v>
      </c>
    </row>
    <row r="285" spans="1:12" ht="15">
      <c r="A285" s="84" t="s">
        <v>2208</v>
      </c>
      <c r="B285" s="83" t="s">
        <v>2131</v>
      </c>
      <c r="C285" s="83">
        <v>2</v>
      </c>
      <c r="D285" s="110">
        <v>0.0007042718569142821</v>
      </c>
      <c r="E285" s="110">
        <v>1.3056200329144576</v>
      </c>
      <c r="F285" s="83" t="s">
        <v>3175</v>
      </c>
      <c r="G285" s="83" t="b">
        <v>0</v>
      </c>
      <c r="H285" s="83" t="b">
        <v>0</v>
      </c>
      <c r="I285" s="83" t="b">
        <v>0</v>
      </c>
      <c r="J285" s="83" t="b">
        <v>1</v>
      </c>
      <c r="K285" s="83" t="b">
        <v>0</v>
      </c>
      <c r="L285" s="83" t="b">
        <v>0</v>
      </c>
    </row>
    <row r="286" spans="1:12" ht="15">
      <c r="A286" s="84" t="s">
        <v>2165</v>
      </c>
      <c r="B286" s="83" t="s">
        <v>2129</v>
      </c>
      <c r="C286" s="83">
        <v>2</v>
      </c>
      <c r="D286" s="110">
        <v>0.0007042718569142821</v>
      </c>
      <c r="E286" s="110">
        <v>0.912593527736687</v>
      </c>
      <c r="F286" s="83" t="s">
        <v>3175</v>
      </c>
      <c r="G286" s="83" t="b">
        <v>0</v>
      </c>
      <c r="H286" s="83" t="b">
        <v>0</v>
      </c>
      <c r="I286" s="83" t="b">
        <v>0</v>
      </c>
      <c r="J286" s="83" t="b">
        <v>0</v>
      </c>
      <c r="K286" s="83" t="b">
        <v>0</v>
      </c>
      <c r="L286" s="83" t="b">
        <v>0</v>
      </c>
    </row>
    <row r="287" spans="1:12" ht="15">
      <c r="A287" s="84" t="s">
        <v>2129</v>
      </c>
      <c r="B287" s="83" t="s">
        <v>2476</v>
      </c>
      <c r="C287" s="83">
        <v>2</v>
      </c>
      <c r="D287" s="110">
        <v>0.0007042718569142821</v>
      </c>
      <c r="E287" s="110">
        <v>1.4683473304121573</v>
      </c>
      <c r="F287" s="83" t="s">
        <v>3175</v>
      </c>
      <c r="G287" s="83" t="b">
        <v>0</v>
      </c>
      <c r="H287" s="83" t="b">
        <v>0</v>
      </c>
      <c r="I287" s="83" t="b">
        <v>0</v>
      </c>
      <c r="J287" s="83" t="b">
        <v>0</v>
      </c>
      <c r="K287" s="83" t="b">
        <v>0</v>
      </c>
      <c r="L287" s="83" t="b">
        <v>0</v>
      </c>
    </row>
    <row r="288" spans="1:12" ht="15">
      <c r="A288" s="84" t="s">
        <v>2476</v>
      </c>
      <c r="B288" s="83" t="s">
        <v>2129</v>
      </c>
      <c r="C288" s="83">
        <v>2</v>
      </c>
      <c r="D288" s="110">
        <v>0.0007042718569142821</v>
      </c>
      <c r="E288" s="110">
        <v>1.5816003086952626</v>
      </c>
      <c r="F288" s="83" t="s">
        <v>3175</v>
      </c>
      <c r="G288" s="83" t="b">
        <v>0</v>
      </c>
      <c r="H288" s="83" t="b">
        <v>0</v>
      </c>
      <c r="I288" s="83" t="b">
        <v>0</v>
      </c>
      <c r="J288" s="83" t="b">
        <v>0</v>
      </c>
      <c r="K288" s="83" t="b">
        <v>0</v>
      </c>
      <c r="L288" s="83" t="b">
        <v>0</v>
      </c>
    </row>
    <row r="289" spans="1:12" ht="15">
      <c r="A289" s="84" t="s">
        <v>2282</v>
      </c>
      <c r="B289" s="83" t="s">
        <v>2722</v>
      </c>
      <c r="C289" s="83">
        <v>2</v>
      </c>
      <c r="D289" s="110">
        <v>0.0007893686754765382</v>
      </c>
      <c r="E289" s="110">
        <v>2.7895807121644256</v>
      </c>
      <c r="F289" s="83" t="s">
        <v>3175</v>
      </c>
      <c r="G289" s="83" t="b">
        <v>0</v>
      </c>
      <c r="H289" s="83" t="b">
        <v>1</v>
      </c>
      <c r="I289" s="83" t="b">
        <v>0</v>
      </c>
      <c r="J289" s="83" t="b">
        <v>1</v>
      </c>
      <c r="K289" s="83" t="b">
        <v>0</v>
      </c>
      <c r="L289" s="83" t="b">
        <v>0</v>
      </c>
    </row>
    <row r="290" spans="1:12" ht="15">
      <c r="A290" s="84" t="s">
        <v>2129</v>
      </c>
      <c r="B290" s="83" t="s">
        <v>2283</v>
      </c>
      <c r="C290" s="83">
        <v>2</v>
      </c>
      <c r="D290" s="110">
        <v>0.0007893686754765382</v>
      </c>
      <c r="E290" s="110">
        <v>1.2253092817258628</v>
      </c>
      <c r="F290" s="83" t="s">
        <v>3175</v>
      </c>
      <c r="G290" s="83" t="b">
        <v>0</v>
      </c>
      <c r="H290" s="83" t="b">
        <v>0</v>
      </c>
      <c r="I290" s="83" t="b">
        <v>0</v>
      </c>
      <c r="J290" s="83" t="b">
        <v>0</v>
      </c>
      <c r="K290" s="83" t="b">
        <v>1</v>
      </c>
      <c r="L290" s="83" t="b">
        <v>0</v>
      </c>
    </row>
    <row r="291" spans="1:12" ht="15">
      <c r="A291" s="84" t="s">
        <v>2150</v>
      </c>
      <c r="B291" s="83" t="s">
        <v>2130</v>
      </c>
      <c r="C291" s="83">
        <v>2</v>
      </c>
      <c r="D291" s="110">
        <v>0.0007893686754765382</v>
      </c>
      <c r="E291" s="110">
        <v>0.9638146862145397</v>
      </c>
      <c r="F291" s="83" t="s">
        <v>3175</v>
      </c>
      <c r="G291" s="83" t="b">
        <v>0</v>
      </c>
      <c r="H291" s="83" t="b">
        <v>0</v>
      </c>
      <c r="I291" s="83" t="b">
        <v>0</v>
      </c>
      <c r="J291" s="83" t="b">
        <v>0</v>
      </c>
      <c r="K291" s="83" t="b">
        <v>0</v>
      </c>
      <c r="L291" s="83" t="b">
        <v>0</v>
      </c>
    </row>
    <row r="292" spans="1:12" ht="15">
      <c r="A292" s="84" t="s">
        <v>2176</v>
      </c>
      <c r="B292" s="83" t="s">
        <v>2134</v>
      </c>
      <c r="C292" s="83">
        <v>2</v>
      </c>
      <c r="D292" s="110">
        <v>0.0007042718569142821</v>
      </c>
      <c r="E292" s="110">
        <v>1.2355821663067026</v>
      </c>
      <c r="F292" s="83" t="s">
        <v>3175</v>
      </c>
      <c r="G292" s="83" t="b">
        <v>0</v>
      </c>
      <c r="H292" s="83" t="b">
        <v>0</v>
      </c>
      <c r="I292" s="83" t="b">
        <v>0</v>
      </c>
      <c r="J292" s="83" t="b">
        <v>0</v>
      </c>
      <c r="K292" s="83" t="b">
        <v>0</v>
      </c>
      <c r="L292" s="83" t="b">
        <v>0</v>
      </c>
    </row>
    <row r="293" spans="1:12" ht="15">
      <c r="A293" s="84" t="s">
        <v>3142</v>
      </c>
      <c r="B293" s="83" t="s">
        <v>2313</v>
      </c>
      <c r="C293" s="83">
        <v>2</v>
      </c>
      <c r="D293" s="110">
        <v>0.0007042718569142821</v>
      </c>
      <c r="E293" s="110">
        <v>3.03261876085072</v>
      </c>
      <c r="F293" s="83" t="s">
        <v>3175</v>
      </c>
      <c r="G293" s="83" t="b">
        <v>0</v>
      </c>
      <c r="H293" s="83" t="b">
        <v>0</v>
      </c>
      <c r="I293" s="83" t="b">
        <v>0</v>
      </c>
      <c r="J293" s="83" t="b">
        <v>0</v>
      </c>
      <c r="K293" s="83" t="b">
        <v>0</v>
      </c>
      <c r="L293" s="83" t="b">
        <v>0</v>
      </c>
    </row>
    <row r="294" spans="1:12" ht="15">
      <c r="A294" s="84" t="s">
        <v>2724</v>
      </c>
      <c r="B294" s="83" t="s">
        <v>2715</v>
      </c>
      <c r="C294" s="83">
        <v>2</v>
      </c>
      <c r="D294" s="110">
        <v>0.0007042718569142821</v>
      </c>
      <c r="E294" s="110">
        <v>3.15755749745902</v>
      </c>
      <c r="F294" s="83" t="s">
        <v>3175</v>
      </c>
      <c r="G294" s="83" t="b">
        <v>0</v>
      </c>
      <c r="H294" s="83" t="b">
        <v>0</v>
      </c>
      <c r="I294" s="83" t="b">
        <v>0</v>
      </c>
      <c r="J294" s="83" t="b">
        <v>0</v>
      </c>
      <c r="K294" s="83" t="b">
        <v>0</v>
      </c>
      <c r="L294" s="83" t="b">
        <v>0</v>
      </c>
    </row>
    <row r="295" spans="1:12" ht="15">
      <c r="A295" s="84" t="s">
        <v>2536</v>
      </c>
      <c r="B295" s="83" t="s">
        <v>2150</v>
      </c>
      <c r="C295" s="83">
        <v>2</v>
      </c>
      <c r="D295" s="110">
        <v>0.0007893686754765382</v>
      </c>
      <c r="E295" s="110">
        <v>2.208710019906401</v>
      </c>
      <c r="F295" s="83" t="s">
        <v>3175</v>
      </c>
      <c r="G295" s="83" t="b">
        <v>0</v>
      </c>
      <c r="H295" s="83" t="b">
        <v>1</v>
      </c>
      <c r="I295" s="83" t="b">
        <v>0</v>
      </c>
      <c r="J295" s="83" t="b">
        <v>0</v>
      </c>
      <c r="K295" s="83" t="b">
        <v>0</v>
      </c>
      <c r="L295" s="83" t="b">
        <v>0</v>
      </c>
    </row>
    <row r="296" spans="1:12" ht="15">
      <c r="A296" s="84" t="s">
        <v>2536</v>
      </c>
      <c r="B296" s="83" t="s">
        <v>2309</v>
      </c>
      <c r="C296" s="83">
        <v>2</v>
      </c>
      <c r="D296" s="110">
        <v>0.0007042718569142821</v>
      </c>
      <c r="E296" s="110">
        <v>2.7315887651867388</v>
      </c>
      <c r="F296" s="83" t="s">
        <v>3175</v>
      </c>
      <c r="G296" s="83" t="b">
        <v>0</v>
      </c>
      <c r="H296" s="83" t="b">
        <v>1</v>
      </c>
      <c r="I296" s="83" t="b">
        <v>0</v>
      </c>
      <c r="J296" s="83" t="b">
        <v>0</v>
      </c>
      <c r="K296" s="83" t="b">
        <v>0</v>
      </c>
      <c r="L296" s="83" t="b">
        <v>0</v>
      </c>
    </row>
    <row r="297" spans="1:12" ht="15">
      <c r="A297" s="84" t="s">
        <v>2132</v>
      </c>
      <c r="B297" s="83" t="s">
        <v>2426</v>
      </c>
      <c r="C297" s="83">
        <v>2</v>
      </c>
      <c r="D297" s="110">
        <v>0.0007893686754765382</v>
      </c>
      <c r="E297" s="110">
        <v>1.7315887651867388</v>
      </c>
      <c r="F297" s="83" t="s">
        <v>3175</v>
      </c>
      <c r="G297" s="83" t="b">
        <v>0</v>
      </c>
      <c r="H297" s="83" t="b">
        <v>0</v>
      </c>
      <c r="I297" s="83" t="b">
        <v>0</v>
      </c>
      <c r="J297" s="83" t="b">
        <v>0</v>
      </c>
      <c r="K297" s="83" t="b">
        <v>0</v>
      </c>
      <c r="L297" s="83" t="b">
        <v>0</v>
      </c>
    </row>
    <row r="298" spans="1:12" ht="15">
      <c r="A298" s="84" t="s">
        <v>2148</v>
      </c>
      <c r="B298" s="83" t="s">
        <v>2712</v>
      </c>
      <c r="C298" s="83">
        <v>2</v>
      </c>
      <c r="D298" s="110">
        <v>0.0007042718569142821</v>
      </c>
      <c r="E298" s="110">
        <v>2.3794062470753765</v>
      </c>
      <c r="F298" s="83" t="s">
        <v>3175</v>
      </c>
      <c r="G298" s="83" t="b">
        <v>0</v>
      </c>
      <c r="H298" s="83" t="b">
        <v>0</v>
      </c>
      <c r="I298" s="83" t="b">
        <v>0</v>
      </c>
      <c r="J298" s="83" t="b">
        <v>0</v>
      </c>
      <c r="K298" s="83" t="b">
        <v>0</v>
      </c>
      <c r="L298" s="83" t="b">
        <v>0</v>
      </c>
    </row>
    <row r="299" spans="1:12" ht="15">
      <c r="A299" s="84" t="s">
        <v>2519</v>
      </c>
      <c r="B299" s="83" t="s">
        <v>3147</v>
      </c>
      <c r="C299" s="83">
        <v>2</v>
      </c>
      <c r="D299" s="110">
        <v>0.0007042718569142821</v>
      </c>
      <c r="E299" s="110">
        <v>3.208710019906401</v>
      </c>
      <c r="F299" s="83" t="s">
        <v>3175</v>
      </c>
      <c r="G299" s="83" t="b">
        <v>0</v>
      </c>
      <c r="H299" s="83" t="b">
        <v>0</v>
      </c>
      <c r="I299" s="83" t="b">
        <v>0</v>
      </c>
      <c r="J299" s="83" t="b">
        <v>0</v>
      </c>
      <c r="K299" s="83" t="b">
        <v>0</v>
      </c>
      <c r="L299" s="83" t="b">
        <v>0</v>
      </c>
    </row>
    <row r="300" spans="1:12" ht="15">
      <c r="A300" s="84" t="s">
        <v>2451</v>
      </c>
      <c r="B300" s="83" t="s">
        <v>2138</v>
      </c>
      <c r="C300" s="83">
        <v>2</v>
      </c>
      <c r="D300" s="110">
        <v>0.0007042718569142821</v>
      </c>
      <c r="E300" s="110">
        <v>1.9415382915033874</v>
      </c>
      <c r="F300" s="83" t="s">
        <v>3175</v>
      </c>
      <c r="G300" s="83" t="b">
        <v>1</v>
      </c>
      <c r="H300" s="83" t="b">
        <v>0</v>
      </c>
      <c r="I300" s="83" t="b">
        <v>0</v>
      </c>
      <c r="J300" s="83" t="b">
        <v>0</v>
      </c>
      <c r="K300" s="83" t="b">
        <v>0</v>
      </c>
      <c r="L300" s="83" t="b">
        <v>0</v>
      </c>
    </row>
    <row r="301" spans="1:12" ht="15">
      <c r="A301" s="84" t="s">
        <v>2132</v>
      </c>
      <c r="B301" s="83" t="s">
        <v>2348</v>
      </c>
      <c r="C301" s="83">
        <v>2</v>
      </c>
      <c r="D301" s="110">
        <v>0.0007893686754765382</v>
      </c>
      <c r="E301" s="110">
        <v>1.5554975061310574</v>
      </c>
      <c r="F301" s="83" t="s">
        <v>3175</v>
      </c>
      <c r="G301" s="83" t="b">
        <v>0</v>
      </c>
      <c r="H301" s="83" t="b">
        <v>0</v>
      </c>
      <c r="I301" s="83" t="b">
        <v>0</v>
      </c>
      <c r="J301" s="83" t="b">
        <v>1</v>
      </c>
      <c r="K301" s="83" t="b">
        <v>0</v>
      </c>
      <c r="L301" s="83" t="b">
        <v>0</v>
      </c>
    </row>
    <row r="302" spans="1:12" ht="15">
      <c r="A302" s="84" t="s">
        <v>2221</v>
      </c>
      <c r="B302" s="83" t="s">
        <v>2132</v>
      </c>
      <c r="C302" s="83">
        <v>2</v>
      </c>
      <c r="D302" s="110">
        <v>0.0007893686754765382</v>
      </c>
      <c r="E302" s="110">
        <v>1.5043449836836762</v>
      </c>
      <c r="F302" s="83" t="s">
        <v>3175</v>
      </c>
      <c r="G302" s="83" t="b">
        <v>0</v>
      </c>
      <c r="H302" s="83" t="b">
        <v>0</v>
      </c>
      <c r="I302" s="83" t="b">
        <v>0</v>
      </c>
      <c r="J302" s="83" t="b">
        <v>0</v>
      </c>
      <c r="K302" s="83" t="b">
        <v>0</v>
      </c>
      <c r="L302" s="83" t="b">
        <v>0</v>
      </c>
    </row>
    <row r="303" spans="1:12" ht="15">
      <c r="A303" s="84" t="s">
        <v>3159</v>
      </c>
      <c r="B303" s="83" t="s">
        <v>2181</v>
      </c>
      <c r="C303" s="83">
        <v>2</v>
      </c>
      <c r="D303" s="110">
        <v>0.0007893686754765382</v>
      </c>
      <c r="E303" s="110">
        <v>2.634678752178682</v>
      </c>
      <c r="F303" s="83" t="s">
        <v>3175</v>
      </c>
      <c r="G303" s="83" t="b">
        <v>0</v>
      </c>
      <c r="H303" s="83" t="b">
        <v>0</v>
      </c>
      <c r="I303" s="83" t="b">
        <v>0</v>
      </c>
      <c r="J303" s="83" t="b">
        <v>0</v>
      </c>
      <c r="K303" s="83" t="b">
        <v>0</v>
      </c>
      <c r="L303" s="83" t="b">
        <v>0</v>
      </c>
    </row>
    <row r="304" spans="1:12" ht="15">
      <c r="A304" s="84" t="s">
        <v>2720</v>
      </c>
      <c r="B304" s="83" t="s">
        <v>2294</v>
      </c>
      <c r="C304" s="83">
        <v>2</v>
      </c>
      <c r="D304" s="110">
        <v>0.0007893686754765382</v>
      </c>
      <c r="E304" s="110">
        <v>2.7895807121644256</v>
      </c>
      <c r="F304" s="83" t="s">
        <v>3175</v>
      </c>
      <c r="G304" s="83" t="b">
        <v>0</v>
      </c>
      <c r="H304" s="83" t="b">
        <v>0</v>
      </c>
      <c r="I304" s="83" t="b">
        <v>0</v>
      </c>
      <c r="J304" s="83" t="b">
        <v>0</v>
      </c>
      <c r="K304" s="83" t="b">
        <v>0</v>
      </c>
      <c r="L304" s="83" t="b">
        <v>0</v>
      </c>
    </row>
    <row r="305" spans="1:12" ht="15">
      <c r="A305" s="84" t="s">
        <v>2294</v>
      </c>
      <c r="B305" s="83" t="s">
        <v>2531</v>
      </c>
      <c r="C305" s="83">
        <v>2</v>
      </c>
      <c r="D305" s="110">
        <v>0.0007893686754765382</v>
      </c>
      <c r="E305" s="110">
        <v>2.6646419755561253</v>
      </c>
      <c r="F305" s="83" t="s">
        <v>3175</v>
      </c>
      <c r="G305" s="83" t="b">
        <v>0</v>
      </c>
      <c r="H305" s="83" t="b">
        <v>0</v>
      </c>
      <c r="I305" s="83" t="b">
        <v>0</v>
      </c>
      <c r="J305" s="83" t="b">
        <v>0</v>
      </c>
      <c r="K305" s="83" t="b">
        <v>0</v>
      </c>
      <c r="L305" s="83" t="b">
        <v>0</v>
      </c>
    </row>
    <row r="306" spans="1:12" ht="15">
      <c r="A306" s="84" t="s">
        <v>2200</v>
      </c>
      <c r="B306" s="83" t="s">
        <v>2174</v>
      </c>
      <c r="C306" s="83">
        <v>2</v>
      </c>
      <c r="D306" s="110">
        <v>0.0007042718569142821</v>
      </c>
      <c r="E306" s="110">
        <v>1.90768002424242</v>
      </c>
      <c r="F306" s="83" t="s">
        <v>3175</v>
      </c>
      <c r="G306" s="83" t="b">
        <v>0</v>
      </c>
      <c r="H306" s="83" t="b">
        <v>0</v>
      </c>
      <c r="I306" s="83" t="b">
        <v>0</v>
      </c>
      <c r="J306" s="83" t="b">
        <v>0</v>
      </c>
      <c r="K306" s="83" t="b">
        <v>0</v>
      </c>
      <c r="L306" s="83" t="b">
        <v>0</v>
      </c>
    </row>
    <row r="307" spans="1:12" ht="15">
      <c r="A307" s="84" t="s">
        <v>2180</v>
      </c>
      <c r="B307" s="83" t="s">
        <v>2187</v>
      </c>
      <c r="C307" s="83">
        <v>2</v>
      </c>
      <c r="D307" s="110">
        <v>0.0007042718569142821</v>
      </c>
      <c r="E307" s="110">
        <v>1.85172861891327</v>
      </c>
      <c r="F307" s="83" t="s">
        <v>3175</v>
      </c>
      <c r="G307" s="83" t="b">
        <v>0</v>
      </c>
      <c r="H307" s="83" t="b">
        <v>0</v>
      </c>
      <c r="I307" s="83" t="b">
        <v>0</v>
      </c>
      <c r="J307" s="83" t="b">
        <v>0</v>
      </c>
      <c r="K307" s="83" t="b">
        <v>1</v>
      </c>
      <c r="L307" s="83" t="b">
        <v>0</v>
      </c>
    </row>
    <row r="308" spans="1:12" ht="15">
      <c r="A308" s="84" t="s">
        <v>2160</v>
      </c>
      <c r="B308" s="83" t="s">
        <v>2174</v>
      </c>
      <c r="C308" s="83">
        <v>2</v>
      </c>
      <c r="D308" s="110">
        <v>0.0007042718569142821</v>
      </c>
      <c r="E308" s="110">
        <v>1.6524075191391139</v>
      </c>
      <c r="F308" s="83" t="s">
        <v>3175</v>
      </c>
      <c r="G308" s="83" t="b">
        <v>0</v>
      </c>
      <c r="H308" s="83" t="b">
        <v>0</v>
      </c>
      <c r="I308" s="83" t="b">
        <v>0</v>
      </c>
      <c r="J308" s="83" t="b">
        <v>0</v>
      </c>
      <c r="K308" s="83" t="b">
        <v>0</v>
      </c>
      <c r="L308" s="83" t="b">
        <v>0</v>
      </c>
    </row>
    <row r="309" spans="1:12" ht="15">
      <c r="A309" s="84" t="s">
        <v>2174</v>
      </c>
      <c r="B309" s="83" t="s">
        <v>2215</v>
      </c>
      <c r="C309" s="83">
        <v>2</v>
      </c>
      <c r="D309" s="110">
        <v>0.0007042718569142821</v>
      </c>
      <c r="E309" s="110">
        <v>2.043614145152183</v>
      </c>
      <c r="F309" s="83" t="s">
        <v>3175</v>
      </c>
      <c r="G309" s="83" t="b">
        <v>0</v>
      </c>
      <c r="H309" s="83" t="b">
        <v>0</v>
      </c>
      <c r="I309" s="83" t="b">
        <v>0</v>
      </c>
      <c r="J309" s="83" t="b">
        <v>0</v>
      </c>
      <c r="K309" s="83" t="b">
        <v>0</v>
      </c>
      <c r="L309" s="83" t="b">
        <v>0</v>
      </c>
    </row>
    <row r="310" spans="1:12" ht="15">
      <c r="A310" s="84" t="s">
        <v>3166</v>
      </c>
      <c r="B310" s="83" t="s">
        <v>2187</v>
      </c>
      <c r="C310" s="83">
        <v>2</v>
      </c>
      <c r="D310" s="110">
        <v>0.0007042718569142821</v>
      </c>
      <c r="E310" s="110">
        <v>2.696826658927527</v>
      </c>
      <c r="F310" s="83" t="s">
        <v>3175</v>
      </c>
      <c r="G310" s="83" t="b">
        <v>0</v>
      </c>
      <c r="H310" s="83" t="b">
        <v>1</v>
      </c>
      <c r="I310" s="83" t="b">
        <v>0</v>
      </c>
      <c r="J310" s="83" t="b">
        <v>0</v>
      </c>
      <c r="K310" s="83" t="b">
        <v>1</v>
      </c>
      <c r="L310" s="83" t="b">
        <v>0</v>
      </c>
    </row>
    <row r="311" spans="1:12" ht="15">
      <c r="A311" s="84" t="s">
        <v>3167</v>
      </c>
      <c r="B311" s="83" t="s">
        <v>3168</v>
      </c>
      <c r="C311" s="83">
        <v>2</v>
      </c>
      <c r="D311" s="110">
        <v>0.0007893686754765382</v>
      </c>
      <c r="E311" s="110">
        <v>3.509740015570382</v>
      </c>
      <c r="F311" s="83" t="s">
        <v>3175</v>
      </c>
      <c r="G311" s="83" t="b">
        <v>0</v>
      </c>
      <c r="H311" s="83" t="b">
        <v>0</v>
      </c>
      <c r="I311" s="83" t="b">
        <v>0</v>
      </c>
      <c r="J311" s="83" t="b">
        <v>0</v>
      </c>
      <c r="K311" s="83" t="b">
        <v>0</v>
      </c>
      <c r="L311" s="83" t="b">
        <v>0</v>
      </c>
    </row>
    <row r="312" spans="1:12" ht="15">
      <c r="A312" s="84" t="s">
        <v>3168</v>
      </c>
      <c r="B312" s="83" t="s">
        <v>3169</v>
      </c>
      <c r="C312" s="83">
        <v>2</v>
      </c>
      <c r="D312" s="110">
        <v>0.0007893686754765382</v>
      </c>
      <c r="E312" s="110">
        <v>3.509740015570382</v>
      </c>
      <c r="F312" s="83" t="s">
        <v>3175</v>
      </c>
      <c r="G312" s="83" t="b">
        <v>0</v>
      </c>
      <c r="H312" s="83" t="b">
        <v>0</v>
      </c>
      <c r="I312" s="83" t="b">
        <v>0</v>
      </c>
      <c r="J312" s="83" t="b">
        <v>0</v>
      </c>
      <c r="K312" s="83" t="b">
        <v>0</v>
      </c>
      <c r="L312" s="83" t="b">
        <v>0</v>
      </c>
    </row>
    <row r="313" spans="1:12" ht="15">
      <c r="A313" s="84" t="s">
        <v>2138</v>
      </c>
      <c r="B313" s="83" t="s">
        <v>2138</v>
      </c>
      <c r="C313" s="83">
        <v>24</v>
      </c>
      <c r="D313" s="110">
        <v>0.010367432118186129</v>
      </c>
      <c r="E313" s="110">
        <v>2.05162409243606</v>
      </c>
      <c r="F313" s="83" t="s">
        <v>2087</v>
      </c>
      <c r="G313" s="83" t="b">
        <v>0</v>
      </c>
      <c r="H313" s="83" t="b">
        <v>0</v>
      </c>
      <c r="I313" s="83" t="b">
        <v>0</v>
      </c>
      <c r="J313" s="83" t="b">
        <v>0</v>
      </c>
      <c r="K313" s="83" t="b">
        <v>0</v>
      </c>
      <c r="L313" s="83" t="b">
        <v>0</v>
      </c>
    </row>
    <row r="314" spans="1:12" ht="15">
      <c r="A314" s="84" t="s">
        <v>2130</v>
      </c>
      <c r="B314" s="83" t="s">
        <v>2155</v>
      </c>
      <c r="C314" s="83">
        <v>8</v>
      </c>
      <c r="D314" s="110">
        <v>0.0025912478034191243</v>
      </c>
      <c r="E314" s="110">
        <v>1.573298136578027</v>
      </c>
      <c r="F314" s="83" t="s">
        <v>2087</v>
      </c>
      <c r="G314" s="83" t="b">
        <v>0</v>
      </c>
      <c r="H314" s="83" t="b">
        <v>0</v>
      </c>
      <c r="I314" s="83" t="b">
        <v>0</v>
      </c>
      <c r="J314" s="83" t="b">
        <v>0</v>
      </c>
      <c r="K314" s="83" t="b">
        <v>0</v>
      </c>
      <c r="L314" s="83" t="b">
        <v>0</v>
      </c>
    </row>
    <row r="315" spans="1:12" ht="15">
      <c r="A315" s="84" t="s">
        <v>2199</v>
      </c>
      <c r="B315" s="83" t="s">
        <v>2132</v>
      </c>
      <c r="C315" s="83">
        <v>6</v>
      </c>
      <c r="D315" s="110">
        <v>0.002077995611970159</v>
      </c>
      <c r="E315" s="110">
        <v>1.8597385661971468</v>
      </c>
      <c r="F315" s="83" t="s">
        <v>2087</v>
      </c>
      <c r="G315" s="83" t="b">
        <v>0</v>
      </c>
      <c r="H315" s="83" t="b">
        <v>0</v>
      </c>
      <c r="I315" s="83" t="b">
        <v>0</v>
      </c>
      <c r="J315" s="83" t="b">
        <v>0</v>
      </c>
      <c r="K315" s="83" t="b">
        <v>0</v>
      </c>
      <c r="L315" s="83" t="b">
        <v>0</v>
      </c>
    </row>
    <row r="316" spans="1:12" ht="15">
      <c r="A316" s="84" t="s">
        <v>2130</v>
      </c>
      <c r="B316" s="83" t="s">
        <v>2182</v>
      </c>
      <c r="C316" s="83">
        <v>6</v>
      </c>
      <c r="D316" s="110">
        <v>0.002077995611970159</v>
      </c>
      <c r="E316" s="110">
        <v>1.647931754874931</v>
      </c>
      <c r="F316" s="83" t="s">
        <v>2087</v>
      </c>
      <c r="G316" s="83" t="b">
        <v>0</v>
      </c>
      <c r="H316" s="83" t="b">
        <v>0</v>
      </c>
      <c r="I316" s="83" t="b">
        <v>0</v>
      </c>
      <c r="J316" s="83" t="b">
        <v>0</v>
      </c>
      <c r="K316" s="83" t="b">
        <v>0</v>
      </c>
      <c r="L316" s="83" t="b">
        <v>0</v>
      </c>
    </row>
    <row r="317" spans="1:12" ht="15">
      <c r="A317" s="84" t="s">
        <v>2287</v>
      </c>
      <c r="B317" s="83" t="s">
        <v>2212</v>
      </c>
      <c r="C317" s="83">
        <v>5</v>
      </c>
      <c r="D317" s="110">
        <v>0.0018897057842128646</v>
      </c>
      <c r="E317" s="110">
        <v>2.671412850724454</v>
      </c>
      <c r="F317" s="83" t="s">
        <v>2087</v>
      </c>
      <c r="G317" s="83" t="b">
        <v>0</v>
      </c>
      <c r="H317" s="83" t="b">
        <v>0</v>
      </c>
      <c r="I317" s="83" t="b">
        <v>0</v>
      </c>
      <c r="J317" s="83" t="b">
        <v>0</v>
      </c>
      <c r="K317" s="83" t="b">
        <v>0</v>
      </c>
      <c r="L317" s="83" t="b">
        <v>0</v>
      </c>
    </row>
    <row r="318" spans="1:12" ht="15">
      <c r="A318" s="84" t="s">
        <v>2229</v>
      </c>
      <c r="B318" s="83" t="s">
        <v>2357</v>
      </c>
      <c r="C318" s="83">
        <v>4</v>
      </c>
      <c r="D318" s="110">
        <v>0.0015117646273702919</v>
      </c>
      <c r="E318" s="110">
        <v>2.7048366062114035</v>
      </c>
      <c r="F318" s="83" t="s">
        <v>2087</v>
      </c>
      <c r="G318" s="83" t="b">
        <v>0</v>
      </c>
      <c r="H318" s="83" t="b">
        <v>0</v>
      </c>
      <c r="I318" s="83" t="b">
        <v>0</v>
      </c>
      <c r="J318" s="83" t="b">
        <v>0</v>
      </c>
      <c r="K318" s="83" t="b">
        <v>0</v>
      </c>
      <c r="L318" s="83" t="b">
        <v>0</v>
      </c>
    </row>
    <row r="319" spans="1:12" ht="15">
      <c r="A319" s="84" t="s">
        <v>2130</v>
      </c>
      <c r="B319" s="83" t="s">
        <v>2275</v>
      </c>
      <c r="C319" s="83">
        <v>4</v>
      </c>
      <c r="D319" s="110">
        <v>0.0015117646273702919</v>
      </c>
      <c r="E319" s="110">
        <v>1.7059237018526179</v>
      </c>
      <c r="F319" s="83" t="s">
        <v>2087</v>
      </c>
      <c r="G319" s="83" t="b">
        <v>0</v>
      </c>
      <c r="H319" s="83" t="b">
        <v>0</v>
      </c>
      <c r="I319" s="83" t="b">
        <v>0</v>
      </c>
      <c r="J319" s="83" t="b">
        <v>0</v>
      </c>
      <c r="K319" s="83" t="b">
        <v>0</v>
      </c>
      <c r="L319" s="83" t="b">
        <v>0</v>
      </c>
    </row>
    <row r="320" spans="1:12" ht="15">
      <c r="A320" s="84" t="s">
        <v>2470</v>
      </c>
      <c r="B320" s="83" t="s">
        <v>2156</v>
      </c>
      <c r="C320" s="83">
        <v>4</v>
      </c>
      <c r="D320" s="110">
        <v>0.001601471133640836</v>
      </c>
      <c r="E320" s="110">
        <v>2.500716623555479</v>
      </c>
      <c r="F320" s="83" t="s">
        <v>2087</v>
      </c>
      <c r="G320" s="83" t="b">
        <v>0</v>
      </c>
      <c r="H320" s="83" t="b">
        <v>0</v>
      </c>
      <c r="I320" s="83" t="b">
        <v>0</v>
      </c>
      <c r="J320" s="83" t="b">
        <v>0</v>
      </c>
      <c r="K320" s="83" t="b">
        <v>0</v>
      </c>
      <c r="L320" s="83" t="b">
        <v>0</v>
      </c>
    </row>
    <row r="321" spans="1:12" ht="15">
      <c r="A321" s="84" t="s">
        <v>2306</v>
      </c>
      <c r="B321" s="83" t="s">
        <v>2153</v>
      </c>
      <c r="C321" s="83">
        <v>4</v>
      </c>
      <c r="D321" s="110">
        <v>0.0015117646273702919</v>
      </c>
      <c r="E321" s="110">
        <v>2.2499917462028933</v>
      </c>
      <c r="F321" s="83" t="s">
        <v>2087</v>
      </c>
      <c r="G321" s="83" t="b">
        <v>0</v>
      </c>
      <c r="H321" s="83" t="b">
        <v>0</v>
      </c>
      <c r="I321" s="83" t="b">
        <v>0</v>
      </c>
      <c r="J321" s="83" t="b">
        <v>0</v>
      </c>
      <c r="K321" s="83" t="b">
        <v>0</v>
      </c>
      <c r="L321" s="83" t="b">
        <v>0</v>
      </c>
    </row>
    <row r="322" spans="1:12" ht="15">
      <c r="A322" s="84" t="s">
        <v>2417</v>
      </c>
      <c r="B322" s="83" t="s">
        <v>2417</v>
      </c>
      <c r="C322" s="83">
        <v>4</v>
      </c>
      <c r="D322" s="110">
        <v>0.001944046078691751</v>
      </c>
      <c r="E322" s="110">
        <v>2.9089565888673286</v>
      </c>
      <c r="F322" s="83" t="s">
        <v>2087</v>
      </c>
      <c r="G322" s="83" t="b">
        <v>0</v>
      </c>
      <c r="H322" s="83" t="b">
        <v>0</v>
      </c>
      <c r="I322" s="83" t="b">
        <v>0</v>
      </c>
      <c r="J322" s="83" t="b">
        <v>0</v>
      </c>
      <c r="K322" s="83" t="b">
        <v>0</v>
      </c>
      <c r="L322" s="83" t="b">
        <v>0</v>
      </c>
    </row>
    <row r="323" spans="1:12" ht="15">
      <c r="A323" s="84" t="s">
        <v>2375</v>
      </c>
      <c r="B323" s="83" t="s">
        <v>2376</v>
      </c>
      <c r="C323" s="83">
        <v>4</v>
      </c>
      <c r="D323" s="110">
        <v>0.0015117646273702919</v>
      </c>
      <c r="E323" s="110">
        <v>2.9089565888673286</v>
      </c>
      <c r="F323" s="83" t="s">
        <v>2087</v>
      </c>
      <c r="G323" s="83" t="b">
        <v>0</v>
      </c>
      <c r="H323" s="83" t="b">
        <v>0</v>
      </c>
      <c r="I323" s="83" t="b">
        <v>0</v>
      </c>
      <c r="J323" s="83" t="b">
        <v>0</v>
      </c>
      <c r="K323" s="83" t="b">
        <v>0</v>
      </c>
      <c r="L323" s="83" t="b">
        <v>0</v>
      </c>
    </row>
    <row r="324" spans="1:12" ht="15">
      <c r="A324" s="84" t="s">
        <v>2426</v>
      </c>
      <c r="B324" s="83" t="s">
        <v>2170</v>
      </c>
      <c r="C324" s="83">
        <v>4</v>
      </c>
      <c r="D324" s="110">
        <v>0.001944046078691751</v>
      </c>
      <c r="E324" s="110">
        <v>2.431835334147666</v>
      </c>
      <c r="F324" s="83" t="s">
        <v>2087</v>
      </c>
      <c r="G324" s="83" t="b">
        <v>0</v>
      </c>
      <c r="H324" s="83" t="b">
        <v>0</v>
      </c>
      <c r="I324" s="83" t="b">
        <v>0</v>
      </c>
      <c r="J324" s="83" t="b">
        <v>0</v>
      </c>
      <c r="K324" s="83" t="b">
        <v>0</v>
      </c>
      <c r="L324" s="83" t="b">
        <v>0</v>
      </c>
    </row>
    <row r="325" spans="1:12" ht="15">
      <c r="A325" s="84" t="s">
        <v>2187</v>
      </c>
      <c r="B325" s="83" t="s">
        <v>2129</v>
      </c>
      <c r="C325" s="83">
        <v>4</v>
      </c>
      <c r="D325" s="110">
        <v>0.0017279053530310214</v>
      </c>
      <c r="E325" s="110">
        <v>1.2262701106175604</v>
      </c>
      <c r="F325" s="83" t="s">
        <v>2087</v>
      </c>
      <c r="G325" s="83" t="b">
        <v>0</v>
      </c>
      <c r="H325" s="83" t="b">
        <v>1</v>
      </c>
      <c r="I325" s="83" t="b">
        <v>0</v>
      </c>
      <c r="J325" s="83" t="b">
        <v>0</v>
      </c>
      <c r="K325" s="83" t="b">
        <v>0</v>
      </c>
      <c r="L325" s="83" t="b">
        <v>0</v>
      </c>
    </row>
    <row r="326" spans="1:12" ht="15">
      <c r="A326" s="84" t="s">
        <v>2170</v>
      </c>
      <c r="B326" s="83" t="s">
        <v>2136</v>
      </c>
      <c r="C326" s="83">
        <v>3</v>
      </c>
      <c r="D326" s="110">
        <v>0.001295929014773266</v>
      </c>
      <c r="E326" s="110">
        <v>1.500716623555479</v>
      </c>
      <c r="F326" s="83" t="s">
        <v>2087</v>
      </c>
      <c r="G326" s="83" t="b">
        <v>0</v>
      </c>
      <c r="H326" s="83" t="b">
        <v>0</v>
      </c>
      <c r="I326" s="83" t="b">
        <v>0</v>
      </c>
      <c r="J326" s="83" t="b">
        <v>0</v>
      </c>
      <c r="K326" s="83" t="b">
        <v>1</v>
      </c>
      <c r="L326" s="83" t="b">
        <v>0</v>
      </c>
    </row>
    <row r="327" spans="1:12" ht="15">
      <c r="A327" s="84" t="s">
        <v>2136</v>
      </c>
      <c r="B327" s="83" t="s">
        <v>2436</v>
      </c>
      <c r="C327" s="83">
        <v>3</v>
      </c>
      <c r="D327" s="110">
        <v>0.0012011033502306269</v>
      </c>
      <c r="E327" s="110">
        <v>2.035829825252828</v>
      </c>
      <c r="F327" s="83" t="s">
        <v>2087</v>
      </c>
      <c r="G327" s="83" t="b">
        <v>0</v>
      </c>
      <c r="H327" s="83" t="b">
        <v>1</v>
      </c>
      <c r="I327" s="83" t="b">
        <v>0</v>
      </c>
      <c r="J327" s="83" t="b">
        <v>0</v>
      </c>
      <c r="K327" s="83" t="b">
        <v>0</v>
      </c>
      <c r="L327" s="83" t="b">
        <v>0</v>
      </c>
    </row>
    <row r="328" spans="1:12" ht="15">
      <c r="A328" s="84" t="s">
        <v>2157</v>
      </c>
      <c r="B328" s="83" t="s">
        <v>2137</v>
      </c>
      <c r="C328" s="83">
        <v>3</v>
      </c>
      <c r="D328" s="110">
        <v>0.0014580345590188132</v>
      </c>
      <c r="E328" s="110">
        <v>1.6878032669126235</v>
      </c>
      <c r="F328" s="83" t="s">
        <v>2087</v>
      </c>
      <c r="G328" s="83" t="b">
        <v>1</v>
      </c>
      <c r="H328" s="83" t="b">
        <v>0</v>
      </c>
      <c r="I328" s="83" t="b">
        <v>0</v>
      </c>
      <c r="J328" s="83" t="b">
        <v>0</v>
      </c>
      <c r="K328" s="83" t="b">
        <v>0</v>
      </c>
      <c r="L328" s="83" t="b">
        <v>0</v>
      </c>
    </row>
    <row r="329" spans="1:12" ht="15">
      <c r="A329" s="84" t="s">
        <v>2369</v>
      </c>
      <c r="B329" s="83" t="s">
        <v>2135</v>
      </c>
      <c r="C329" s="83">
        <v>3</v>
      </c>
      <c r="D329" s="110">
        <v>0.001295929014773266</v>
      </c>
      <c r="E329" s="110">
        <v>2.088536175768831</v>
      </c>
      <c r="F329" s="83" t="s">
        <v>2087</v>
      </c>
      <c r="G329" s="83" t="b">
        <v>0</v>
      </c>
      <c r="H329" s="83" t="b">
        <v>0</v>
      </c>
      <c r="I329" s="83" t="b">
        <v>0</v>
      </c>
      <c r="J329" s="83" t="b">
        <v>1</v>
      </c>
      <c r="K329" s="83" t="b">
        <v>0</v>
      </c>
      <c r="L329" s="83" t="b">
        <v>0</v>
      </c>
    </row>
    <row r="330" spans="1:12" ht="15">
      <c r="A330" s="84" t="s">
        <v>2429</v>
      </c>
      <c r="B330" s="83" t="s">
        <v>2562</v>
      </c>
      <c r="C330" s="83">
        <v>3</v>
      </c>
      <c r="D330" s="110">
        <v>0.0012011033502306269</v>
      </c>
      <c r="E330" s="110">
        <v>3.1027766148834415</v>
      </c>
      <c r="F330" s="83" t="s">
        <v>2087</v>
      </c>
      <c r="G330" s="83" t="b">
        <v>1</v>
      </c>
      <c r="H330" s="83" t="b">
        <v>0</v>
      </c>
      <c r="I330" s="83" t="b">
        <v>0</v>
      </c>
      <c r="J330" s="83" t="b">
        <v>0</v>
      </c>
      <c r="K330" s="83" t="b">
        <v>0</v>
      </c>
      <c r="L330" s="83" t="b">
        <v>0</v>
      </c>
    </row>
    <row r="331" spans="1:12" ht="15">
      <c r="A331" s="84" t="s">
        <v>2562</v>
      </c>
      <c r="B331" s="83" t="s">
        <v>2170</v>
      </c>
      <c r="C331" s="83">
        <v>3</v>
      </c>
      <c r="D331" s="110">
        <v>0.0012011033502306269</v>
      </c>
      <c r="E331" s="110">
        <v>2.5287453471557226</v>
      </c>
      <c r="F331" s="83" t="s">
        <v>2087</v>
      </c>
      <c r="G331" s="83" t="b">
        <v>0</v>
      </c>
      <c r="H331" s="83" t="b">
        <v>0</v>
      </c>
      <c r="I331" s="83" t="b">
        <v>0</v>
      </c>
      <c r="J331" s="83" t="b">
        <v>0</v>
      </c>
      <c r="K331" s="83" t="b">
        <v>0</v>
      </c>
      <c r="L331" s="83" t="b">
        <v>0</v>
      </c>
    </row>
    <row r="332" spans="1:12" ht="15">
      <c r="A332" s="84" t="s">
        <v>2132</v>
      </c>
      <c r="B332" s="83" t="s">
        <v>2171</v>
      </c>
      <c r="C332" s="83">
        <v>3</v>
      </c>
      <c r="D332" s="110">
        <v>0.0012011033502306269</v>
      </c>
      <c r="E332" s="110">
        <v>1.4329949996749047</v>
      </c>
      <c r="F332" s="83" t="s">
        <v>2087</v>
      </c>
      <c r="G332" s="83" t="b">
        <v>0</v>
      </c>
      <c r="H332" s="83" t="b">
        <v>0</v>
      </c>
      <c r="I332" s="83" t="b">
        <v>0</v>
      </c>
      <c r="J332" s="83" t="b">
        <v>1</v>
      </c>
      <c r="K332" s="83" t="b">
        <v>0</v>
      </c>
      <c r="L332" s="83" t="b">
        <v>0</v>
      </c>
    </row>
    <row r="333" spans="1:12" ht="15">
      <c r="A333" s="84" t="s">
        <v>2276</v>
      </c>
      <c r="B333" s="83" t="s">
        <v>2189</v>
      </c>
      <c r="C333" s="83">
        <v>3</v>
      </c>
      <c r="D333" s="110">
        <v>0.0012011033502306269</v>
      </c>
      <c r="E333" s="110">
        <v>2.433769833924866</v>
      </c>
      <c r="F333" s="83" t="s">
        <v>2087</v>
      </c>
      <c r="G333" s="83" t="b">
        <v>0</v>
      </c>
      <c r="H333" s="83" t="b">
        <v>0</v>
      </c>
      <c r="I333" s="83" t="b">
        <v>0</v>
      </c>
      <c r="J333" s="83" t="b">
        <v>0</v>
      </c>
      <c r="K333" s="83" t="b">
        <v>0</v>
      </c>
      <c r="L333" s="83" t="b">
        <v>0</v>
      </c>
    </row>
    <row r="334" spans="1:12" ht="15">
      <c r="A334" s="84" t="s">
        <v>2231</v>
      </c>
      <c r="B334" s="83" t="s">
        <v>2129</v>
      </c>
      <c r="C334" s="83">
        <v>3</v>
      </c>
      <c r="D334" s="110">
        <v>0.0014580345590188132</v>
      </c>
      <c r="E334" s="110">
        <v>1.2932169002481735</v>
      </c>
      <c r="F334" s="83" t="s">
        <v>2087</v>
      </c>
      <c r="G334" s="83" t="b">
        <v>0</v>
      </c>
      <c r="H334" s="83" t="b">
        <v>1</v>
      </c>
      <c r="I334" s="83" t="b">
        <v>0</v>
      </c>
      <c r="J334" s="83" t="b">
        <v>0</v>
      </c>
      <c r="K334" s="83" t="b">
        <v>0</v>
      </c>
      <c r="L334" s="83" t="b">
        <v>0</v>
      </c>
    </row>
    <row r="335" spans="1:12" ht="15">
      <c r="A335" s="84" t="s">
        <v>2139</v>
      </c>
      <c r="B335" s="83" t="s">
        <v>2622</v>
      </c>
      <c r="C335" s="83">
        <v>3</v>
      </c>
      <c r="D335" s="110">
        <v>0.0012011033502306269</v>
      </c>
      <c r="E335" s="110">
        <v>2.213474912377131</v>
      </c>
      <c r="F335" s="83" t="s">
        <v>2087</v>
      </c>
      <c r="G335" s="83" t="b">
        <v>0</v>
      </c>
      <c r="H335" s="83" t="b">
        <v>0</v>
      </c>
      <c r="I335" s="83" t="b">
        <v>0</v>
      </c>
      <c r="J335" s="83" t="b">
        <v>0</v>
      </c>
      <c r="K335" s="83" t="b">
        <v>0</v>
      </c>
      <c r="L335" s="83" t="b">
        <v>0</v>
      </c>
    </row>
    <row r="336" spans="1:12" ht="15">
      <c r="A336" s="84" t="s">
        <v>2622</v>
      </c>
      <c r="B336" s="83" t="s">
        <v>2306</v>
      </c>
      <c r="C336" s="83">
        <v>3</v>
      </c>
      <c r="D336" s="110">
        <v>0.0012011033502306269</v>
      </c>
      <c r="E336" s="110">
        <v>3.1027766148834415</v>
      </c>
      <c r="F336" s="83" t="s">
        <v>2087</v>
      </c>
      <c r="G336" s="83" t="b">
        <v>0</v>
      </c>
      <c r="H336" s="83" t="b">
        <v>0</v>
      </c>
      <c r="I336" s="83" t="b">
        <v>0</v>
      </c>
      <c r="J336" s="83" t="b">
        <v>0</v>
      </c>
      <c r="K336" s="83" t="b">
        <v>0</v>
      </c>
      <c r="L336" s="83" t="b">
        <v>0</v>
      </c>
    </row>
    <row r="337" spans="1:12" ht="15">
      <c r="A337" s="84" t="s">
        <v>2129</v>
      </c>
      <c r="B337" s="83" t="s">
        <v>2202</v>
      </c>
      <c r="C337" s="83">
        <v>3</v>
      </c>
      <c r="D337" s="110">
        <v>0.0012011033502306269</v>
      </c>
      <c r="E337" s="110">
        <v>1.2214870833967673</v>
      </c>
      <c r="F337" s="83" t="s">
        <v>2087</v>
      </c>
      <c r="G337" s="83" t="b">
        <v>0</v>
      </c>
      <c r="H337" s="83" t="b">
        <v>0</v>
      </c>
      <c r="I337" s="83" t="b">
        <v>0</v>
      </c>
      <c r="J337" s="83" t="b">
        <v>0</v>
      </c>
      <c r="K337" s="83" t="b">
        <v>1</v>
      </c>
      <c r="L337" s="83" t="b">
        <v>0</v>
      </c>
    </row>
    <row r="338" spans="1:12" ht="15">
      <c r="A338" s="84" t="s">
        <v>2140</v>
      </c>
      <c r="B338" s="83" t="s">
        <v>2140</v>
      </c>
      <c r="C338" s="83">
        <v>3</v>
      </c>
      <c r="D338" s="110">
        <v>0.0014580345590188132</v>
      </c>
      <c r="E338" s="110">
        <v>1.7062866726066366</v>
      </c>
      <c r="F338" s="83" t="s">
        <v>2087</v>
      </c>
      <c r="G338" s="83" t="b">
        <v>1</v>
      </c>
      <c r="H338" s="83" t="b">
        <v>0</v>
      </c>
      <c r="I338" s="83" t="b">
        <v>0</v>
      </c>
      <c r="J338" s="83" t="b">
        <v>1</v>
      </c>
      <c r="K338" s="83" t="b">
        <v>0</v>
      </c>
      <c r="L338" s="83" t="b">
        <v>0</v>
      </c>
    </row>
    <row r="339" spans="1:12" ht="15">
      <c r="A339" s="84" t="s">
        <v>2258</v>
      </c>
      <c r="B339" s="83" t="s">
        <v>2346</v>
      </c>
      <c r="C339" s="83">
        <v>3</v>
      </c>
      <c r="D339" s="110">
        <v>0.0012011033502306269</v>
      </c>
      <c r="E339" s="110">
        <v>2.625655360163779</v>
      </c>
      <c r="F339" s="83" t="s">
        <v>2087</v>
      </c>
      <c r="G339" s="83" t="b">
        <v>1</v>
      </c>
      <c r="H339" s="83" t="b">
        <v>0</v>
      </c>
      <c r="I339" s="83" t="b">
        <v>0</v>
      </c>
      <c r="J339" s="83" t="b">
        <v>0</v>
      </c>
      <c r="K339" s="83" t="b">
        <v>0</v>
      </c>
      <c r="L339" s="83" t="b">
        <v>0</v>
      </c>
    </row>
    <row r="340" spans="1:12" ht="15">
      <c r="A340" s="84" t="s">
        <v>2132</v>
      </c>
      <c r="B340" s="83" t="s">
        <v>2130</v>
      </c>
      <c r="C340" s="83">
        <v>3</v>
      </c>
      <c r="D340" s="110">
        <v>0.0012011033502306269</v>
      </c>
      <c r="E340" s="110">
        <v>0.775417680497111</v>
      </c>
      <c r="F340" s="83" t="s">
        <v>2087</v>
      </c>
      <c r="G340" s="83" t="b">
        <v>0</v>
      </c>
      <c r="H340" s="83" t="b">
        <v>0</v>
      </c>
      <c r="I340" s="83" t="b">
        <v>0</v>
      </c>
      <c r="J340" s="83" t="b">
        <v>0</v>
      </c>
      <c r="K340" s="83" t="b">
        <v>0</v>
      </c>
      <c r="L340" s="83" t="b">
        <v>0</v>
      </c>
    </row>
    <row r="341" spans="1:12" ht="15">
      <c r="A341" s="84" t="s">
        <v>2349</v>
      </c>
      <c r="B341" s="83" t="s">
        <v>2191</v>
      </c>
      <c r="C341" s="83">
        <v>3</v>
      </c>
      <c r="D341" s="110">
        <v>0.001295929014773266</v>
      </c>
      <c r="E341" s="110">
        <v>2.4415951714368225</v>
      </c>
      <c r="F341" s="83" t="s">
        <v>2087</v>
      </c>
      <c r="G341" s="83" t="b">
        <v>0</v>
      </c>
      <c r="H341" s="83" t="b">
        <v>0</v>
      </c>
      <c r="I341" s="83" t="b">
        <v>0</v>
      </c>
      <c r="J341" s="83" t="b">
        <v>0</v>
      </c>
      <c r="K341" s="83" t="b">
        <v>0</v>
      </c>
      <c r="L341" s="83" t="b">
        <v>0</v>
      </c>
    </row>
    <row r="342" spans="1:12" ht="15">
      <c r="A342" s="84" t="s">
        <v>2713</v>
      </c>
      <c r="B342" s="83" t="s">
        <v>2138</v>
      </c>
      <c r="C342" s="83">
        <v>3</v>
      </c>
      <c r="D342" s="110">
        <v>0.0012011033502306269</v>
      </c>
      <c r="E342" s="110">
        <v>2.1485341054441163</v>
      </c>
      <c r="F342" s="83" t="s">
        <v>2087</v>
      </c>
      <c r="G342" s="83" t="b">
        <v>0</v>
      </c>
      <c r="H342" s="83" t="b">
        <v>0</v>
      </c>
      <c r="I342" s="83" t="b">
        <v>0</v>
      </c>
      <c r="J342" s="83" t="b">
        <v>0</v>
      </c>
      <c r="K342" s="83" t="b">
        <v>0</v>
      </c>
      <c r="L342" s="83" t="b">
        <v>0</v>
      </c>
    </row>
    <row r="343" spans="1:12" ht="15">
      <c r="A343" s="84" t="s">
        <v>2130</v>
      </c>
      <c r="B343" s="83" t="s">
        <v>2532</v>
      </c>
      <c r="C343" s="83">
        <v>3</v>
      </c>
      <c r="D343" s="110">
        <v>0.0012011033502306269</v>
      </c>
      <c r="E343" s="110">
        <v>1.8240230139306124</v>
      </c>
      <c r="F343" s="83" t="s">
        <v>2087</v>
      </c>
      <c r="G343" s="83" t="b">
        <v>0</v>
      </c>
      <c r="H343" s="83" t="b">
        <v>0</v>
      </c>
      <c r="I343" s="83" t="b">
        <v>0</v>
      </c>
      <c r="J343" s="83" t="b">
        <v>0</v>
      </c>
      <c r="K343" s="83" t="b">
        <v>0</v>
      </c>
      <c r="L343" s="83" t="b">
        <v>0</v>
      </c>
    </row>
    <row r="344" spans="1:12" ht="15">
      <c r="A344" s="84" t="s">
        <v>2718</v>
      </c>
      <c r="B344" s="83" t="s">
        <v>2719</v>
      </c>
      <c r="C344" s="83">
        <v>3</v>
      </c>
      <c r="D344" s="110">
        <v>0.001295929014773266</v>
      </c>
      <c r="E344" s="110">
        <v>3.2277153514917414</v>
      </c>
      <c r="F344" s="83" t="s">
        <v>2087</v>
      </c>
      <c r="G344" s="83" t="b">
        <v>0</v>
      </c>
      <c r="H344" s="83" t="b">
        <v>0</v>
      </c>
      <c r="I344" s="83" t="b">
        <v>0</v>
      </c>
      <c r="J344" s="83" t="b">
        <v>0</v>
      </c>
      <c r="K344" s="83" t="b">
        <v>0</v>
      </c>
      <c r="L344" s="83" t="b">
        <v>0</v>
      </c>
    </row>
    <row r="345" spans="1:12" ht="15">
      <c r="A345" s="84" t="s">
        <v>2515</v>
      </c>
      <c r="B345" s="83" t="s">
        <v>2180</v>
      </c>
      <c r="C345" s="83">
        <v>3</v>
      </c>
      <c r="D345" s="110">
        <v>0.0014580345590188132</v>
      </c>
      <c r="E345" s="110">
        <v>2.625655360163779</v>
      </c>
      <c r="F345" s="83" t="s">
        <v>2087</v>
      </c>
      <c r="G345" s="83" t="b">
        <v>0</v>
      </c>
      <c r="H345" s="83" t="b">
        <v>0</v>
      </c>
      <c r="I345" s="83" t="b">
        <v>0</v>
      </c>
      <c r="J345" s="83" t="b">
        <v>0</v>
      </c>
      <c r="K345" s="83" t="b">
        <v>0</v>
      </c>
      <c r="L345" s="83" t="b">
        <v>0</v>
      </c>
    </row>
    <row r="346" spans="1:12" ht="15">
      <c r="A346" s="84" t="s">
        <v>2129</v>
      </c>
      <c r="B346" s="83" t="s">
        <v>2131</v>
      </c>
      <c r="C346" s="83">
        <v>3</v>
      </c>
      <c r="D346" s="110">
        <v>0.001295929014773266</v>
      </c>
      <c r="E346" s="110">
        <v>0.5553095924570559</v>
      </c>
      <c r="F346" s="83" t="s">
        <v>2087</v>
      </c>
      <c r="G346" s="83" t="b">
        <v>0</v>
      </c>
      <c r="H346" s="83" t="b">
        <v>0</v>
      </c>
      <c r="I346" s="83" t="b">
        <v>0</v>
      </c>
      <c r="J346" s="83" t="b">
        <v>1</v>
      </c>
      <c r="K346" s="83" t="b">
        <v>0</v>
      </c>
      <c r="L346" s="83" t="b">
        <v>0</v>
      </c>
    </row>
    <row r="347" spans="1:12" ht="15">
      <c r="A347" s="84" t="s">
        <v>2427</v>
      </c>
      <c r="B347" s="83" t="s">
        <v>2427</v>
      </c>
      <c r="C347" s="83">
        <v>3</v>
      </c>
      <c r="D347" s="110">
        <v>0.0014580345590188132</v>
      </c>
      <c r="E347" s="110">
        <v>2.9778378782751416</v>
      </c>
      <c r="F347" s="83" t="s">
        <v>2087</v>
      </c>
      <c r="G347" s="83" t="b">
        <v>0</v>
      </c>
      <c r="H347" s="83" t="b">
        <v>0</v>
      </c>
      <c r="I347" s="83" t="b">
        <v>0</v>
      </c>
      <c r="J347" s="83" t="b">
        <v>0</v>
      </c>
      <c r="K347" s="83" t="b">
        <v>0</v>
      </c>
      <c r="L347" s="83" t="b">
        <v>0</v>
      </c>
    </row>
    <row r="348" spans="1:12" ht="15">
      <c r="A348" s="84" t="s">
        <v>2160</v>
      </c>
      <c r="B348" s="83" t="s">
        <v>2200</v>
      </c>
      <c r="C348" s="83">
        <v>3</v>
      </c>
      <c r="D348" s="110">
        <v>0.0012011033502306269</v>
      </c>
      <c r="E348" s="110">
        <v>1.9644739167171599</v>
      </c>
      <c r="F348" s="83" t="s">
        <v>2087</v>
      </c>
      <c r="G348" s="83" t="b">
        <v>0</v>
      </c>
      <c r="H348" s="83" t="b">
        <v>0</v>
      </c>
      <c r="I348" s="83" t="b">
        <v>0</v>
      </c>
      <c r="J348" s="83" t="b">
        <v>0</v>
      </c>
      <c r="K348" s="83" t="b">
        <v>0</v>
      </c>
      <c r="L348" s="83" t="b">
        <v>0</v>
      </c>
    </row>
    <row r="349" spans="1:12" ht="15">
      <c r="A349" s="84" t="s">
        <v>2729</v>
      </c>
      <c r="B349" s="83" t="s">
        <v>2131</v>
      </c>
      <c r="C349" s="83">
        <v>2</v>
      </c>
      <c r="D349" s="110">
        <v>0.0008639526765155107</v>
      </c>
      <c r="E349" s="110">
        <v>1.9972664301134673</v>
      </c>
      <c r="F349" s="83" t="s">
        <v>2087</v>
      </c>
      <c r="G349" s="83" t="b">
        <v>0</v>
      </c>
      <c r="H349" s="83" t="b">
        <v>0</v>
      </c>
      <c r="I349" s="83" t="b">
        <v>0</v>
      </c>
      <c r="J349" s="83" t="b">
        <v>1</v>
      </c>
      <c r="K349" s="83" t="b">
        <v>0</v>
      </c>
      <c r="L349" s="83" t="b">
        <v>0</v>
      </c>
    </row>
    <row r="350" spans="1:12" ht="15">
      <c r="A350" s="84" t="s">
        <v>2130</v>
      </c>
      <c r="B350" s="83" t="s">
        <v>2137</v>
      </c>
      <c r="C350" s="83">
        <v>2</v>
      </c>
      <c r="D350" s="110">
        <v>0.0008639526765155107</v>
      </c>
      <c r="E350" s="110">
        <v>0.8350183982320756</v>
      </c>
      <c r="F350" s="83" t="s">
        <v>2087</v>
      </c>
      <c r="G350" s="83" t="b">
        <v>0</v>
      </c>
      <c r="H350" s="83" t="b">
        <v>0</v>
      </c>
      <c r="I350" s="83" t="b">
        <v>0</v>
      </c>
      <c r="J350" s="83" t="b">
        <v>0</v>
      </c>
      <c r="K350" s="83" t="b">
        <v>0</v>
      </c>
      <c r="L350" s="83" t="b">
        <v>0</v>
      </c>
    </row>
    <row r="351" spans="1:12" ht="15">
      <c r="A351" s="84" t="s">
        <v>3167</v>
      </c>
      <c r="B351" s="83" t="s">
        <v>3168</v>
      </c>
      <c r="C351" s="83">
        <v>2</v>
      </c>
      <c r="D351" s="110">
        <v>0.0009720230393458755</v>
      </c>
      <c r="E351" s="110">
        <v>3.4038066105474227</v>
      </c>
      <c r="F351" s="83" t="s">
        <v>2087</v>
      </c>
      <c r="G351" s="83" t="b">
        <v>0</v>
      </c>
      <c r="H351" s="83" t="b">
        <v>0</v>
      </c>
      <c r="I351" s="83" t="b">
        <v>0</v>
      </c>
      <c r="J351" s="83" t="b">
        <v>0</v>
      </c>
      <c r="K351" s="83" t="b">
        <v>0</v>
      </c>
      <c r="L351" s="83" t="b">
        <v>0</v>
      </c>
    </row>
    <row r="352" spans="1:12" ht="15">
      <c r="A352" s="84" t="s">
        <v>3168</v>
      </c>
      <c r="B352" s="83" t="s">
        <v>3169</v>
      </c>
      <c r="C352" s="83">
        <v>2</v>
      </c>
      <c r="D352" s="110">
        <v>0.0009720230393458755</v>
      </c>
      <c r="E352" s="110">
        <v>3.4038066105474227</v>
      </c>
      <c r="F352" s="83" t="s">
        <v>2087</v>
      </c>
      <c r="G352" s="83" t="b">
        <v>0</v>
      </c>
      <c r="H352" s="83" t="b">
        <v>0</v>
      </c>
      <c r="I352" s="83" t="b">
        <v>0</v>
      </c>
      <c r="J352" s="83" t="b">
        <v>0</v>
      </c>
      <c r="K352" s="83" t="b">
        <v>0</v>
      </c>
      <c r="L352" s="83" t="b">
        <v>0</v>
      </c>
    </row>
    <row r="353" spans="1:12" ht="15">
      <c r="A353" s="84" t="s">
        <v>2739</v>
      </c>
      <c r="B353" s="83" t="s">
        <v>2161</v>
      </c>
      <c r="C353" s="83">
        <v>2</v>
      </c>
      <c r="D353" s="110">
        <v>0.0008639526765155107</v>
      </c>
      <c r="E353" s="110">
        <v>2.47438768483313</v>
      </c>
      <c r="F353" s="83" t="s">
        <v>2087</v>
      </c>
      <c r="G353" s="83" t="b">
        <v>0</v>
      </c>
      <c r="H353" s="83" t="b">
        <v>0</v>
      </c>
      <c r="I353" s="83" t="b">
        <v>0</v>
      </c>
      <c r="J353" s="83" t="b">
        <v>0</v>
      </c>
      <c r="K353" s="83" t="b">
        <v>0</v>
      </c>
      <c r="L353" s="83" t="b">
        <v>0</v>
      </c>
    </row>
    <row r="354" spans="1:12" ht="15">
      <c r="A354" s="84" t="s">
        <v>2145</v>
      </c>
      <c r="B354" s="83" t="s">
        <v>2131</v>
      </c>
      <c r="C354" s="83">
        <v>2</v>
      </c>
      <c r="D354" s="110">
        <v>0.0008639526765155107</v>
      </c>
      <c r="E354" s="110">
        <v>1.0941764431215237</v>
      </c>
      <c r="F354" s="83" t="s">
        <v>2087</v>
      </c>
      <c r="G354" s="83" t="b">
        <v>0</v>
      </c>
      <c r="H354" s="83" t="b">
        <v>0</v>
      </c>
      <c r="I354" s="83" t="b">
        <v>0</v>
      </c>
      <c r="J354" s="83" t="b">
        <v>1</v>
      </c>
      <c r="K354" s="83" t="b">
        <v>0</v>
      </c>
      <c r="L354" s="83" t="b">
        <v>0</v>
      </c>
    </row>
    <row r="355" spans="1:12" ht="15">
      <c r="A355" s="84" t="s">
        <v>2148</v>
      </c>
      <c r="B355" s="83" t="s">
        <v>2133</v>
      </c>
      <c r="C355" s="83">
        <v>2</v>
      </c>
      <c r="D355" s="110">
        <v>0.0008639526765155107</v>
      </c>
      <c r="E355" s="110">
        <v>1.6898962564184672</v>
      </c>
      <c r="F355" s="83" t="s">
        <v>2087</v>
      </c>
      <c r="G355" s="83" t="b">
        <v>0</v>
      </c>
      <c r="H355" s="83" t="b">
        <v>0</v>
      </c>
      <c r="I355" s="83" t="b">
        <v>0</v>
      </c>
      <c r="J355" s="83" t="b">
        <v>0</v>
      </c>
      <c r="K355" s="83" t="b">
        <v>0</v>
      </c>
      <c r="L355" s="83" t="b">
        <v>0</v>
      </c>
    </row>
    <row r="356" spans="1:12" ht="15">
      <c r="A356" s="84" t="s">
        <v>2140</v>
      </c>
      <c r="B356" s="83" t="s">
        <v>2546</v>
      </c>
      <c r="C356" s="83">
        <v>2</v>
      </c>
      <c r="D356" s="110">
        <v>0.0008639526765155107</v>
      </c>
      <c r="E356" s="110">
        <v>2.1670175111381296</v>
      </c>
      <c r="F356" s="83" t="s">
        <v>2087</v>
      </c>
      <c r="G356" s="83" t="b">
        <v>1</v>
      </c>
      <c r="H356" s="83" t="b">
        <v>0</v>
      </c>
      <c r="I356" s="83" t="b">
        <v>0</v>
      </c>
      <c r="J356" s="83" t="b">
        <v>0</v>
      </c>
      <c r="K356" s="83" t="b">
        <v>0</v>
      </c>
      <c r="L356" s="83" t="b">
        <v>0</v>
      </c>
    </row>
    <row r="357" spans="1:12" ht="15">
      <c r="A357" s="84" t="s">
        <v>2135</v>
      </c>
      <c r="B357" s="83" t="s">
        <v>2163</v>
      </c>
      <c r="C357" s="83">
        <v>2</v>
      </c>
      <c r="D357" s="110">
        <v>0.0008639526765155107</v>
      </c>
      <c r="E357" s="110">
        <v>1.2832326793415727</v>
      </c>
      <c r="F357" s="83" t="s">
        <v>2087</v>
      </c>
      <c r="G357" s="83" t="b">
        <v>1</v>
      </c>
      <c r="H357" s="83" t="b">
        <v>0</v>
      </c>
      <c r="I357" s="83" t="b">
        <v>0</v>
      </c>
      <c r="J357" s="83" t="b">
        <v>0</v>
      </c>
      <c r="K357" s="83" t="b">
        <v>0</v>
      </c>
      <c r="L357" s="83" t="b">
        <v>0</v>
      </c>
    </row>
    <row r="358" spans="1:12" ht="15">
      <c r="A358" s="84" t="s">
        <v>2136</v>
      </c>
      <c r="B358" s="83" t="s">
        <v>2137</v>
      </c>
      <c r="C358" s="83">
        <v>2</v>
      </c>
      <c r="D358" s="110">
        <v>0.0009720230393458755</v>
      </c>
      <c r="E358" s="110">
        <v>1.0468252095542914</v>
      </c>
      <c r="F358" s="83" t="s">
        <v>2087</v>
      </c>
      <c r="G358" s="83" t="b">
        <v>0</v>
      </c>
      <c r="H358" s="83" t="b">
        <v>1</v>
      </c>
      <c r="I358" s="83" t="b">
        <v>0</v>
      </c>
      <c r="J358" s="83" t="b">
        <v>0</v>
      </c>
      <c r="K358" s="83" t="b">
        <v>0</v>
      </c>
      <c r="L358" s="83" t="b">
        <v>0</v>
      </c>
    </row>
    <row r="359" spans="1:12" ht="15">
      <c r="A359" s="84" t="s">
        <v>2747</v>
      </c>
      <c r="B359" s="83" t="s">
        <v>2136</v>
      </c>
      <c r="C359" s="83">
        <v>2</v>
      </c>
      <c r="D359" s="110">
        <v>0.0009720230393458755</v>
      </c>
      <c r="E359" s="110">
        <v>2.1996866278914977</v>
      </c>
      <c r="F359" s="83" t="s">
        <v>2087</v>
      </c>
      <c r="G359" s="83" t="b">
        <v>0</v>
      </c>
      <c r="H359" s="83" t="b">
        <v>0</v>
      </c>
      <c r="I359" s="83" t="b">
        <v>0</v>
      </c>
      <c r="J359" s="83" t="b">
        <v>0</v>
      </c>
      <c r="K359" s="83" t="b">
        <v>1</v>
      </c>
      <c r="L359" s="83" t="b">
        <v>0</v>
      </c>
    </row>
    <row r="360" spans="1:12" ht="15">
      <c r="A360" s="84" t="s">
        <v>2266</v>
      </c>
      <c r="B360" s="83" t="s">
        <v>2170</v>
      </c>
      <c r="C360" s="83">
        <v>2</v>
      </c>
      <c r="D360" s="110">
        <v>0.0008639526765155107</v>
      </c>
      <c r="E360" s="110">
        <v>2.05162409243606</v>
      </c>
      <c r="F360" s="83" t="s">
        <v>2087</v>
      </c>
      <c r="G360" s="83" t="b">
        <v>0</v>
      </c>
      <c r="H360" s="83" t="b">
        <v>0</v>
      </c>
      <c r="I360" s="83" t="b">
        <v>0</v>
      </c>
      <c r="J360" s="83" t="b">
        <v>0</v>
      </c>
      <c r="K360" s="83" t="b">
        <v>0</v>
      </c>
      <c r="L360" s="83" t="b">
        <v>0</v>
      </c>
    </row>
    <row r="361" spans="1:12" ht="15">
      <c r="A361" s="84" t="s">
        <v>2137</v>
      </c>
      <c r="B361" s="83" t="s">
        <v>2134</v>
      </c>
      <c r="C361" s="83">
        <v>2</v>
      </c>
      <c r="D361" s="110">
        <v>0.0008639526765155107</v>
      </c>
      <c r="E361" s="110">
        <v>1.05162409243606</v>
      </c>
      <c r="F361" s="83" t="s">
        <v>2087</v>
      </c>
      <c r="G361" s="83" t="b">
        <v>0</v>
      </c>
      <c r="H361" s="83" t="b">
        <v>0</v>
      </c>
      <c r="I361" s="83" t="b">
        <v>0</v>
      </c>
      <c r="J361" s="83" t="b">
        <v>0</v>
      </c>
      <c r="K361" s="83" t="b">
        <v>0</v>
      </c>
      <c r="L361" s="83" t="b">
        <v>0</v>
      </c>
    </row>
    <row r="362" spans="1:12" ht="15">
      <c r="A362" s="84" t="s">
        <v>2134</v>
      </c>
      <c r="B362" s="83" t="s">
        <v>2432</v>
      </c>
      <c r="C362" s="83">
        <v>2</v>
      </c>
      <c r="D362" s="110">
        <v>0.0008639526765155107</v>
      </c>
      <c r="E362" s="110">
        <v>1.9972664301134673</v>
      </c>
      <c r="F362" s="83" t="s">
        <v>2087</v>
      </c>
      <c r="G362" s="83" t="b">
        <v>0</v>
      </c>
      <c r="H362" s="83" t="b">
        <v>0</v>
      </c>
      <c r="I362" s="83" t="b">
        <v>0</v>
      </c>
      <c r="J362" s="83" t="b">
        <v>0</v>
      </c>
      <c r="K362" s="83" t="b">
        <v>0</v>
      </c>
      <c r="L362" s="83" t="b">
        <v>0</v>
      </c>
    </row>
    <row r="363" spans="1:12" ht="15">
      <c r="A363" s="84" t="s">
        <v>2170</v>
      </c>
      <c r="B363" s="83" t="s">
        <v>2129</v>
      </c>
      <c r="C363" s="83">
        <v>2</v>
      </c>
      <c r="D363" s="110">
        <v>0.0008639526765155107</v>
      </c>
      <c r="E363" s="110">
        <v>0.8952768915761359</v>
      </c>
      <c r="F363" s="83" t="s">
        <v>2087</v>
      </c>
      <c r="G363" s="83" t="b">
        <v>0</v>
      </c>
      <c r="H363" s="83" t="b">
        <v>0</v>
      </c>
      <c r="I363" s="83" t="b">
        <v>0</v>
      </c>
      <c r="J363" s="83" t="b">
        <v>0</v>
      </c>
      <c r="K363" s="83" t="b">
        <v>0</v>
      </c>
      <c r="L363" s="83" t="b">
        <v>0</v>
      </c>
    </row>
    <row r="364" spans="1:12" ht="15">
      <c r="A364" s="84" t="s">
        <v>2129</v>
      </c>
      <c r="B364" s="83" t="s">
        <v>2174</v>
      </c>
      <c r="C364" s="83">
        <v>2</v>
      </c>
      <c r="D364" s="110">
        <v>0.0008639526765155107</v>
      </c>
      <c r="E364" s="110">
        <v>0.9106972504436298</v>
      </c>
      <c r="F364" s="83" t="s">
        <v>2087</v>
      </c>
      <c r="G364" s="83" t="b">
        <v>0</v>
      </c>
      <c r="H364" s="83" t="b">
        <v>0</v>
      </c>
      <c r="I364" s="83" t="b">
        <v>0</v>
      </c>
      <c r="J364" s="83" t="b">
        <v>0</v>
      </c>
      <c r="K364" s="83" t="b">
        <v>0</v>
      </c>
      <c r="L364" s="83" t="b">
        <v>0</v>
      </c>
    </row>
    <row r="365" spans="1:12" ht="15">
      <c r="A365" s="84" t="s">
        <v>2277</v>
      </c>
      <c r="B365" s="83" t="s">
        <v>2371</v>
      </c>
      <c r="C365" s="83">
        <v>2</v>
      </c>
      <c r="D365" s="110">
        <v>0.0008639526765155107</v>
      </c>
      <c r="E365" s="110">
        <v>2.625655360163779</v>
      </c>
      <c r="F365" s="83" t="s">
        <v>2087</v>
      </c>
      <c r="G365" s="83" t="b">
        <v>0</v>
      </c>
      <c r="H365" s="83" t="b">
        <v>0</v>
      </c>
      <c r="I365" s="83" t="b">
        <v>0</v>
      </c>
      <c r="J365" s="83" t="b">
        <v>0</v>
      </c>
      <c r="K365" s="83" t="b">
        <v>0</v>
      </c>
      <c r="L365" s="83" t="b">
        <v>0</v>
      </c>
    </row>
    <row r="366" spans="1:12" ht="15">
      <c r="A366" s="84" t="s">
        <v>2358</v>
      </c>
      <c r="B366" s="83" t="s">
        <v>2131</v>
      </c>
      <c r="C366" s="83">
        <v>2</v>
      </c>
      <c r="D366" s="110">
        <v>0.0008639526765155107</v>
      </c>
      <c r="E366" s="110">
        <v>1.5993264214414298</v>
      </c>
      <c r="F366" s="83" t="s">
        <v>2087</v>
      </c>
      <c r="G366" s="83" t="b">
        <v>0</v>
      </c>
      <c r="H366" s="83" t="b">
        <v>0</v>
      </c>
      <c r="I366" s="83" t="b">
        <v>0</v>
      </c>
      <c r="J366" s="83" t="b">
        <v>1</v>
      </c>
      <c r="K366" s="83" t="b">
        <v>0</v>
      </c>
      <c r="L366" s="83" t="b">
        <v>0</v>
      </c>
    </row>
    <row r="367" spans="1:12" ht="15">
      <c r="A367" s="84" t="s">
        <v>2569</v>
      </c>
      <c r="B367" s="83" t="s">
        <v>2137</v>
      </c>
      <c r="C367" s="83">
        <v>2</v>
      </c>
      <c r="D367" s="110">
        <v>0.0008639526765155107</v>
      </c>
      <c r="E367" s="110">
        <v>2.289863258240586</v>
      </c>
      <c r="F367" s="83" t="s">
        <v>2087</v>
      </c>
      <c r="G367" s="83" t="b">
        <v>0</v>
      </c>
      <c r="H367" s="83" t="b">
        <v>0</v>
      </c>
      <c r="I367" s="83" t="b">
        <v>0</v>
      </c>
      <c r="J367" s="83" t="b">
        <v>0</v>
      </c>
      <c r="K367" s="83" t="b">
        <v>0</v>
      </c>
      <c r="L367" s="83" t="b">
        <v>0</v>
      </c>
    </row>
    <row r="368" spans="1:12" ht="15">
      <c r="A368" s="84" t="s">
        <v>2357</v>
      </c>
      <c r="B368" s="83" t="s">
        <v>2783</v>
      </c>
      <c r="C368" s="83">
        <v>2</v>
      </c>
      <c r="D368" s="110">
        <v>0.0008639526765155107</v>
      </c>
      <c r="E368" s="110">
        <v>3.005866601875385</v>
      </c>
      <c r="F368" s="83" t="s">
        <v>2087</v>
      </c>
      <c r="G368" s="83" t="b">
        <v>0</v>
      </c>
      <c r="H368" s="83" t="b">
        <v>0</v>
      </c>
      <c r="I368" s="83" t="b">
        <v>0</v>
      </c>
      <c r="J368" s="83" t="b">
        <v>0</v>
      </c>
      <c r="K368" s="83" t="b">
        <v>1</v>
      </c>
      <c r="L368" s="83" t="b">
        <v>0</v>
      </c>
    </row>
    <row r="369" spans="1:12" ht="15">
      <c r="A369" s="84" t="s">
        <v>2454</v>
      </c>
      <c r="B369" s="83" t="s">
        <v>2571</v>
      </c>
      <c r="C369" s="83">
        <v>2</v>
      </c>
      <c r="D369" s="110">
        <v>0.0008639526765155107</v>
      </c>
      <c r="E369" s="110">
        <v>2.92668535582776</v>
      </c>
      <c r="F369" s="83" t="s">
        <v>2087</v>
      </c>
      <c r="G369" s="83" t="b">
        <v>0</v>
      </c>
      <c r="H369" s="83" t="b">
        <v>0</v>
      </c>
      <c r="I369" s="83" t="b">
        <v>0</v>
      </c>
      <c r="J369" s="83" t="b">
        <v>0</v>
      </c>
      <c r="K369" s="83" t="b">
        <v>0</v>
      </c>
      <c r="L369" s="83" t="b">
        <v>0</v>
      </c>
    </row>
    <row r="370" spans="1:12" ht="15">
      <c r="A370" s="84" t="s">
        <v>2136</v>
      </c>
      <c r="B370" s="83" t="s">
        <v>2179</v>
      </c>
      <c r="C370" s="83">
        <v>2</v>
      </c>
      <c r="D370" s="110">
        <v>0.0008639526765155107</v>
      </c>
      <c r="E370" s="110">
        <v>1.6836473071414657</v>
      </c>
      <c r="F370" s="83" t="s">
        <v>2087</v>
      </c>
      <c r="G370" s="83" t="b">
        <v>0</v>
      </c>
      <c r="H370" s="83" t="b">
        <v>1</v>
      </c>
      <c r="I370" s="83" t="b">
        <v>0</v>
      </c>
      <c r="J370" s="83" t="b">
        <v>0</v>
      </c>
      <c r="K370" s="83" t="b">
        <v>0</v>
      </c>
      <c r="L370" s="83" t="b">
        <v>0</v>
      </c>
    </row>
    <row r="371" spans="1:12" ht="15">
      <c r="A371" s="84" t="s">
        <v>2179</v>
      </c>
      <c r="B371" s="83" t="s">
        <v>2254</v>
      </c>
      <c r="C371" s="83">
        <v>2</v>
      </c>
      <c r="D371" s="110">
        <v>0.0008639526765155107</v>
      </c>
      <c r="E371" s="110">
        <v>2.3826173114774845</v>
      </c>
      <c r="F371" s="83" t="s">
        <v>2087</v>
      </c>
      <c r="G371" s="83" t="b">
        <v>0</v>
      </c>
      <c r="H371" s="83" t="b">
        <v>0</v>
      </c>
      <c r="I371" s="83" t="b">
        <v>0</v>
      </c>
      <c r="J371" s="83" t="b">
        <v>0</v>
      </c>
      <c r="K371" s="83" t="b">
        <v>0</v>
      </c>
      <c r="L371" s="83" t="b">
        <v>0</v>
      </c>
    </row>
    <row r="372" spans="1:12" ht="15">
      <c r="A372" s="84" t="s">
        <v>2573</v>
      </c>
      <c r="B372" s="83" t="s">
        <v>2318</v>
      </c>
      <c r="C372" s="83">
        <v>2</v>
      </c>
      <c r="D372" s="110">
        <v>0.0008639526765155107</v>
      </c>
      <c r="E372" s="110">
        <v>3.4038066105474227</v>
      </c>
      <c r="F372" s="83" t="s">
        <v>2087</v>
      </c>
      <c r="G372" s="83" t="b">
        <v>0</v>
      </c>
      <c r="H372" s="83" t="b">
        <v>0</v>
      </c>
      <c r="I372" s="83" t="b">
        <v>0</v>
      </c>
      <c r="J372" s="83" t="b">
        <v>0</v>
      </c>
      <c r="K372" s="83" t="b">
        <v>0</v>
      </c>
      <c r="L372" s="83" t="b">
        <v>0</v>
      </c>
    </row>
    <row r="373" spans="1:12" ht="15">
      <c r="A373" s="84" t="s">
        <v>2579</v>
      </c>
      <c r="B373" s="83" t="s">
        <v>2458</v>
      </c>
      <c r="C373" s="83">
        <v>2</v>
      </c>
      <c r="D373" s="110">
        <v>0.0009720230393458755</v>
      </c>
      <c r="E373" s="110">
        <v>3.1027766148834415</v>
      </c>
      <c r="F373" s="83" t="s">
        <v>2087</v>
      </c>
      <c r="G373" s="83" t="b">
        <v>0</v>
      </c>
      <c r="H373" s="83" t="b">
        <v>0</v>
      </c>
      <c r="I373" s="83" t="b">
        <v>0</v>
      </c>
      <c r="J373" s="83" t="b">
        <v>1</v>
      </c>
      <c r="K373" s="83" t="b">
        <v>0</v>
      </c>
      <c r="L373" s="83" t="b">
        <v>0</v>
      </c>
    </row>
    <row r="374" spans="1:12" ht="15">
      <c r="A374" s="84" t="s">
        <v>2275</v>
      </c>
      <c r="B374" s="83" t="s">
        <v>2792</v>
      </c>
      <c r="C374" s="83">
        <v>2</v>
      </c>
      <c r="D374" s="110">
        <v>0.0008639526765155107</v>
      </c>
      <c r="E374" s="110">
        <v>3.005866601875385</v>
      </c>
      <c r="F374" s="83" t="s">
        <v>2087</v>
      </c>
      <c r="G374" s="83" t="b">
        <v>0</v>
      </c>
      <c r="H374" s="83" t="b">
        <v>0</v>
      </c>
      <c r="I374" s="83" t="b">
        <v>0</v>
      </c>
      <c r="J374" s="83" t="b">
        <v>1</v>
      </c>
      <c r="K374" s="83" t="b">
        <v>0</v>
      </c>
      <c r="L374" s="83" t="b">
        <v>0</v>
      </c>
    </row>
    <row r="375" spans="1:12" ht="15">
      <c r="A375" s="84" t="s">
        <v>2137</v>
      </c>
      <c r="B375" s="83" t="s">
        <v>2131</v>
      </c>
      <c r="C375" s="83">
        <v>2</v>
      </c>
      <c r="D375" s="110">
        <v>0.0008639526765155107</v>
      </c>
      <c r="E375" s="110">
        <v>0.9003564171054109</v>
      </c>
      <c r="F375" s="83" t="s">
        <v>2087</v>
      </c>
      <c r="G375" s="83" t="b">
        <v>0</v>
      </c>
      <c r="H375" s="83" t="b">
        <v>0</v>
      </c>
      <c r="I375" s="83" t="b">
        <v>0</v>
      </c>
      <c r="J375" s="83" t="b">
        <v>1</v>
      </c>
      <c r="K375" s="83" t="b">
        <v>0</v>
      </c>
      <c r="L375" s="83" t="b">
        <v>0</v>
      </c>
    </row>
    <row r="376" spans="1:12" ht="15">
      <c r="A376" s="84" t="s">
        <v>2162</v>
      </c>
      <c r="B376" s="83" t="s">
        <v>2169</v>
      </c>
      <c r="C376" s="83">
        <v>2</v>
      </c>
      <c r="D376" s="110">
        <v>0.0008639526765155107</v>
      </c>
      <c r="E376" s="110">
        <v>1.6536840837640225</v>
      </c>
      <c r="F376" s="83" t="s">
        <v>2087</v>
      </c>
      <c r="G376" s="83" t="b">
        <v>1</v>
      </c>
      <c r="H376" s="83" t="b">
        <v>0</v>
      </c>
      <c r="I376" s="83" t="b">
        <v>0</v>
      </c>
      <c r="J376" s="83" t="b">
        <v>0</v>
      </c>
      <c r="K376" s="83" t="b">
        <v>0</v>
      </c>
      <c r="L376" s="83" t="b">
        <v>0</v>
      </c>
    </row>
    <row r="377" spans="1:12" ht="15">
      <c r="A377" s="84" t="s">
        <v>2384</v>
      </c>
      <c r="B377" s="83" t="s">
        <v>2136</v>
      </c>
      <c r="C377" s="83">
        <v>2</v>
      </c>
      <c r="D377" s="110">
        <v>0.0008639526765155107</v>
      </c>
      <c r="E377" s="110">
        <v>2.1996866278914977</v>
      </c>
      <c r="F377" s="83" t="s">
        <v>2087</v>
      </c>
      <c r="G377" s="83" t="b">
        <v>0</v>
      </c>
      <c r="H377" s="83" t="b">
        <v>0</v>
      </c>
      <c r="I377" s="83" t="b">
        <v>0</v>
      </c>
      <c r="J377" s="83" t="b">
        <v>0</v>
      </c>
      <c r="K377" s="83" t="b">
        <v>1</v>
      </c>
      <c r="L377" s="83" t="b">
        <v>0</v>
      </c>
    </row>
    <row r="378" spans="1:12" ht="15">
      <c r="A378" s="84" t="s">
        <v>2838</v>
      </c>
      <c r="B378" s="83" t="s">
        <v>2608</v>
      </c>
      <c r="C378" s="83">
        <v>2</v>
      </c>
      <c r="D378" s="110">
        <v>0.0009720230393458755</v>
      </c>
      <c r="E378" s="110">
        <v>3.2277153514917414</v>
      </c>
      <c r="F378" s="83" t="s">
        <v>2087</v>
      </c>
      <c r="G378" s="83" t="b">
        <v>1</v>
      </c>
      <c r="H378" s="83" t="b">
        <v>0</v>
      </c>
      <c r="I378" s="83" t="b">
        <v>0</v>
      </c>
      <c r="J378" s="83" t="b">
        <v>0</v>
      </c>
      <c r="K378" s="83" t="b">
        <v>0</v>
      </c>
      <c r="L378" s="83" t="b">
        <v>0</v>
      </c>
    </row>
    <row r="379" spans="1:12" ht="15">
      <c r="A379" s="84" t="s">
        <v>2164</v>
      </c>
      <c r="B379" s="83" t="s">
        <v>2161</v>
      </c>
      <c r="C379" s="83">
        <v>2</v>
      </c>
      <c r="D379" s="110">
        <v>0.0008639526765155107</v>
      </c>
      <c r="E379" s="110">
        <v>1.8211751710577861</v>
      </c>
      <c r="F379" s="83" t="s">
        <v>2087</v>
      </c>
      <c r="G379" s="83" t="b">
        <v>0</v>
      </c>
      <c r="H379" s="83" t="b">
        <v>0</v>
      </c>
      <c r="I379" s="83" t="b">
        <v>0</v>
      </c>
      <c r="J379" s="83" t="b">
        <v>0</v>
      </c>
      <c r="K379" s="83" t="b">
        <v>0</v>
      </c>
      <c r="L379" s="83" t="b">
        <v>0</v>
      </c>
    </row>
    <row r="380" spans="1:12" ht="15">
      <c r="A380" s="84" t="s">
        <v>2197</v>
      </c>
      <c r="B380" s="83" t="s">
        <v>2142</v>
      </c>
      <c r="C380" s="83">
        <v>2</v>
      </c>
      <c r="D380" s="110">
        <v>0.0008639526765155107</v>
      </c>
      <c r="E380" s="110">
        <v>1.6422546219832406</v>
      </c>
      <c r="F380" s="83" t="s">
        <v>2087</v>
      </c>
      <c r="G380" s="83" t="b">
        <v>0</v>
      </c>
      <c r="H380" s="83" t="b">
        <v>0</v>
      </c>
      <c r="I380" s="83" t="b">
        <v>0</v>
      </c>
      <c r="J380" s="83" t="b">
        <v>0</v>
      </c>
      <c r="K380" s="83" t="b">
        <v>0</v>
      </c>
      <c r="L380" s="83" t="b">
        <v>0</v>
      </c>
    </row>
    <row r="381" spans="1:12" ht="15">
      <c r="A381" s="84" t="s">
        <v>2229</v>
      </c>
      <c r="B381" s="83" t="s">
        <v>2131</v>
      </c>
      <c r="C381" s="83">
        <v>2</v>
      </c>
      <c r="D381" s="110">
        <v>0.0008639526765155107</v>
      </c>
      <c r="E381" s="110">
        <v>1.395206438785505</v>
      </c>
      <c r="F381" s="83" t="s">
        <v>2087</v>
      </c>
      <c r="G381" s="83" t="b">
        <v>0</v>
      </c>
      <c r="H381" s="83" t="b">
        <v>0</v>
      </c>
      <c r="I381" s="83" t="b">
        <v>0</v>
      </c>
      <c r="J381" s="83" t="b">
        <v>1</v>
      </c>
      <c r="K381" s="83" t="b">
        <v>0</v>
      </c>
      <c r="L381" s="83" t="b">
        <v>0</v>
      </c>
    </row>
    <row r="382" spans="1:12" ht="15">
      <c r="A382" s="84" t="s">
        <v>2192</v>
      </c>
      <c r="B382" s="83" t="s">
        <v>2358</v>
      </c>
      <c r="C382" s="83">
        <v>2</v>
      </c>
      <c r="D382" s="110">
        <v>0.0008639526765155107</v>
      </c>
      <c r="E382" s="110">
        <v>2.7048366062114035</v>
      </c>
      <c r="F382" s="83" t="s">
        <v>2087</v>
      </c>
      <c r="G382" s="83" t="b">
        <v>0</v>
      </c>
      <c r="H382" s="83" t="b">
        <v>0</v>
      </c>
      <c r="I382" s="83" t="b">
        <v>0</v>
      </c>
      <c r="J382" s="83" t="b">
        <v>0</v>
      </c>
      <c r="K382" s="83" t="b">
        <v>0</v>
      </c>
      <c r="L382" s="83" t="b">
        <v>0</v>
      </c>
    </row>
    <row r="383" spans="1:12" ht="15">
      <c r="A383" s="84" t="s">
        <v>2244</v>
      </c>
      <c r="B383" s="83" t="s">
        <v>2131</v>
      </c>
      <c r="C383" s="83">
        <v>2</v>
      </c>
      <c r="D383" s="110">
        <v>0.0008639526765155107</v>
      </c>
      <c r="E383" s="110">
        <v>1.4531983857631918</v>
      </c>
      <c r="F383" s="83" t="s">
        <v>2087</v>
      </c>
      <c r="G383" s="83" t="b">
        <v>0</v>
      </c>
      <c r="H383" s="83" t="b">
        <v>0</v>
      </c>
      <c r="I383" s="83" t="b">
        <v>0</v>
      </c>
      <c r="J383" s="83" t="b">
        <v>1</v>
      </c>
      <c r="K383" s="83" t="b">
        <v>0</v>
      </c>
      <c r="L383" s="83" t="b">
        <v>0</v>
      </c>
    </row>
    <row r="384" spans="1:12" ht="15">
      <c r="A384" s="84" t="s">
        <v>2856</v>
      </c>
      <c r="B384" s="83" t="s">
        <v>2857</v>
      </c>
      <c r="C384" s="83">
        <v>2</v>
      </c>
      <c r="D384" s="110">
        <v>0.0009720230393458755</v>
      </c>
      <c r="E384" s="110">
        <v>3.4038066105474227</v>
      </c>
      <c r="F384" s="83" t="s">
        <v>2087</v>
      </c>
      <c r="G384" s="83" t="b">
        <v>0</v>
      </c>
      <c r="H384" s="83" t="b">
        <v>0</v>
      </c>
      <c r="I384" s="83" t="b">
        <v>0</v>
      </c>
      <c r="J384" s="83" t="b">
        <v>0</v>
      </c>
      <c r="K384" s="83" t="b">
        <v>0</v>
      </c>
      <c r="L384" s="83" t="b">
        <v>0</v>
      </c>
    </row>
    <row r="385" spans="1:12" ht="15">
      <c r="A385" s="84" t="s">
        <v>2130</v>
      </c>
      <c r="B385" s="83" t="s">
        <v>2148</v>
      </c>
      <c r="C385" s="83">
        <v>2</v>
      </c>
      <c r="D385" s="110">
        <v>0.0008639526765155107</v>
      </c>
      <c r="E385" s="110">
        <v>1.1708105001552687</v>
      </c>
      <c r="F385" s="83" t="s">
        <v>2087</v>
      </c>
      <c r="G385" s="83" t="b">
        <v>0</v>
      </c>
      <c r="H385" s="83" t="b">
        <v>0</v>
      </c>
      <c r="I385" s="83" t="b">
        <v>0</v>
      </c>
      <c r="J385" s="83" t="b">
        <v>0</v>
      </c>
      <c r="K385" s="83" t="b">
        <v>0</v>
      </c>
      <c r="L385" s="83" t="b">
        <v>0</v>
      </c>
    </row>
    <row r="386" spans="1:12" ht="15">
      <c r="A386" s="84" t="s">
        <v>2139</v>
      </c>
      <c r="B386" s="83" t="s">
        <v>2890</v>
      </c>
      <c r="C386" s="83">
        <v>2</v>
      </c>
      <c r="D386" s="110">
        <v>0.0008639526765155107</v>
      </c>
      <c r="E386" s="110">
        <v>2.213474912377131</v>
      </c>
      <c r="F386" s="83" t="s">
        <v>2087</v>
      </c>
      <c r="G386" s="83" t="b">
        <v>0</v>
      </c>
      <c r="H386" s="83" t="b">
        <v>0</v>
      </c>
      <c r="I386" s="83" t="b">
        <v>0</v>
      </c>
      <c r="J386" s="83" t="b">
        <v>0</v>
      </c>
      <c r="K386" s="83" t="b">
        <v>0</v>
      </c>
      <c r="L386" s="83" t="b">
        <v>0</v>
      </c>
    </row>
    <row r="387" spans="1:12" ht="15">
      <c r="A387" s="84" t="s">
        <v>2890</v>
      </c>
      <c r="B387" s="83" t="s">
        <v>2398</v>
      </c>
      <c r="C387" s="83">
        <v>2</v>
      </c>
      <c r="D387" s="110">
        <v>0.0008639526765155107</v>
      </c>
      <c r="E387" s="110">
        <v>3.1027766148834415</v>
      </c>
      <c r="F387" s="83" t="s">
        <v>2087</v>
      </c>
      <c r="G387" s="83" t="b">
        <v>0</v>
      </c>
      <c r="H387" s="83" t="b">
        <v>0</v>
      </c>
      <c r="I387" s="83" t="b">
        <v>0</v>
      </c>
      <c r="J387" s="83" t="b">
        <v>0</v>
      </c>
      <c r="K387" s="83" t="b">
        <v>0</v>
      </c>
      <c r="L387" s="83" t="b">
        <v>0</v>
      </c>
    </row>
    <row r="388" spans="1:12" ht="15">
      <c r="A388" s="84" t="s">
        <v>2398</v>
      </c>
      <c r="B388" s="83" t="s">
        <v>2399</v>
      </c>
      <c r="C388" s="83">
        <v>2</v>
      </c>
      <c r="D388" s="110">
        <v>0.0008639526765155107</v>
      </c>
      <c r="E388" s="110">
        <v>2.7048366062114035</v>
      </c>
      <c r="F388" s="83" t="s">
        <v>2087</v>
      </c>
      <c r="G388" s="83" t="b">
        <v>0</v>
      </c>
      <c r="H388" s="83" t="b">
        <v>0</v>
      </c>
      <c r="I388" s="83" t="b">
        <v>0</v>
      </c>
      <c r="J388" s="83" t="b">
        <v>0</v>
      </c>
      <c r="K388" s="83" t="b">
        <v>0</v>
      </c>
      <c r="L388" s="83" t="b">
        <v>0</v>
      </c>
    </row>
    <row r="389" spans="1:12" ht="15">
      <c r="A389" s="84" t="s">
        <v>2399</v>
      </c>
      <c r="B389" s="83" t="s">
        <v>2139</v>
      </c>
      <c r="C389" s="83">
        <v>2</v>
      </c>
      <c r="D389" s="110">
        <v>0.0008639526765155107</v>
      </c>
      <c r="E389" s="110">
        <v>2.6079265932033473</v>
      </c>
      <c r="F389" s="83" t="s">
        <v>2087</v>
      </c>
      <c r="G389" s="83" t="b">
        <v>0</v>
      </c>
      <c r="H389" s="83" t="b">
        <v>0</v>
      </c>
      <c r="I389" s="83" t="b">
        <v>0</v>
      </c>
      <c r="J389" s="83" t="b">
        <v>0</v>
      </c>
      <c r="K389" s="83" t="b">
        <v>0</v>
      </c>
      <c r="L389" s="83" t="b">
        <v>0</v>
      </c>
    </row>
    <row r="390" spans="1:12" ht="15">
      <c r="A390" s="84" t="s">
        <v>2139</v>
      </c>
      <c r="B390" s="83" t="s">
        <v>2893</v>
      </c>
      <c r="C390" s="83">
        <v>2</v>
      </c>
      <c r="D390" s="110">
        <v>0.0008639526765155107</v>
      </c>
      <c r="E390" s="110">
        <v>2.213474912377131</v>
      </c>
      <c r="F390" s="83" t="s">
        <v>2087</v>
      </c>
      <c r="G390" s="83" t="b">
        <v>0</v>
      </c>
      <c r="H390" s="83" t="b">
        <v>0</v>
      </c>
      <c r="I390" s="83" t="b">
        <v>0</v>
      </c>
      <c r="J390" s="83" t="b">
        <v>0</v>
      </c>
      <c r="K390" s="83" t="b">
        <v>0</v>
      </c>
      <c r="L390" s="83" t="b">
        <v>0</v>
      </c>
    </row>
    <row r="391" spans="1:12" ht="15">
      <c r="A391" s="84" t="s">
        <v>2893</v>
      </c>
      <c r="B391" s="83" t="s">
        <v>2399</v>
      </c>
      <c r="C391" s="83">
        <v>2</v>
      </c>
      <c r="D391" s="110">
        <v>0.0008639526765155107</v>
      </c>
      <c r="E391" s="110">
        <v>3.005866601875385</v>
      </c>
      <c r="F391" s="83" t="s">
        <v>2087</v>
      </c>
      <c r="G391" s="83" t="b">
        <v>0</v>
      </c>
      <c r="H391" s="83" t="b">
        <v>0</v>
      </c>
      <c r="I391" s="83" t="b">
        <v>0</v>
      </c>
      <c r="J391" s="83" t="b">
        <v>0</v>
      </c>
      <c r="K391" s="83" t="b">
        <v>0</v>
      </c>
      <c r="L391" s="83" t="b">
        <v>0</v>
      </c>
    </row>
    <row r="392" spans="1:12" ht="15">
      <c r="A392" s="84" t="s">
        <v>2399</v>
      </c>
      <c r="B392" s="83" t="s">
        <v>2153</v>
      </c>
      <c r="C392" s="83">
        <v>2</v>
      </c>
      <c r="D392" s="110">
        <v>0.0008639526765155107</v>
      </c>
      <c r="E392" s="110">
        <v>2.028142996586537</v>
      </c>
      <c r="F392" s="83" t="s">
        <v>2087</v>
      </c>
      <c r="G392" s="83" t="b">
        <v>0</v>
      </c>
      <c r="H392" s="83" t="b">
        <v>0</v>
      </c>
      <c r="I392" s="83" t="b">
        <v>0</v>
      </c>
      <c r="J392" s="83" t="b">
        <v>0</v>
      </c>
      <c r="K392" s="83" t="b">
        <v>0</v>
      </c>
      <c r="L392" s="83" t="b">
        <v>0</v>
      </c>
    </row>
    <row r="393" spans="1:12" ht="15">
      <c r="A393" s="84" t="s">
        <v>2139</v>
      </c>
      <c r="B393" s="83" t="s">
        <v>2895</v>
      </c>
      <c r="C393" s="83">
        <v>2</v>
      </c>
      <c r="D393" s="110">
        <v>0.0008639526765155107</v>
      </c>
      <c r="E393" s="110">
        <v>2.213474912377131</v>
      </c>
      <c r="F393" s="83" t="s">
        <v>2087</v>
      </c>
      <c r="G393" s="83" t="b">
        <v>0</v>
      </c>
      <c r="H393" s="83" t="b">
        <v>0</v>
      </c>
      <c r="I393" s="83" t="b">
        <v>0</v>
      </c>
      <c r="J393" s="83" t="b">
        <v>0</v>
      </c>
      <c r="K393" s="83" t="b">
        <v>0</v>
      </c>
      <c r="L393" s="83" t="b">
        <v>0</v>
      </c>
    </row>
    <row r="394" spans="1:12" ht="15">
      <c r="A394" s="84" t="s">
        <v>2895</v>
      </c>
      <c r="B394" s="83" t="s">
        <v>2400</v>
      </c>
      <c r="C394" s="83">
        <v>2</v>
      </c>
      <c r="D394" s="110">
        <v>0.0008639526765155107</v>
      </c>
      <c r="E394" s="110">
        <v>3.1027766148834415</v>
      </c>
      <c r="F394" s="83" t="s">
        <v>2087</v>
      </c>
      <c r="G394" s="83" t="b">
        <v>0</v>
      </c>
      <c r="H394" s="83" t="b">
        <v>0</v>
      </c>
      <c r="I394" s="83" t="b">
        <v>0</v>
      </c>
      <c r="J394" s="83" t="b">
        <v>0</v>
      </c>
      <c r="K394" s="83" t="b">
        <v>0</v>
      </c>
      <c r="L394" s="83" t="b">
        <v>0</v>
      </c>
    </row>
    <row r="395" spans="1:12" ht="15">
      <c r="A395" s="84" t="s">
        <v>2400</v>
      </c>
      <c r="B395" s="83" t="s">
        <v>2153</v>
      </c>
      <c r="C395" s="83">
        <v>2</v>
      </c>
      <c r="D395" s="110">
        <v>0.0008639526765155107</v>
      </c>
      <c r="E395" s="110">
        <v>2.2499917462028933</v>
      </c>
      <c r="F395" s="83" t="s">
        <v>2087</v>
      </c>
      <c r="G395" s="83" t="b">
        <v>0</v>
      </c>
      <c r="H395" s="83" t="b">
        <v>0</v>
      </c>
      <c r="I395" s="83" t="b">
        <v>0</v>
      </c>
      <c r="J395" s="83" t="b">
        <v>0</v>
      </c>
      <c r="K395" s="83" t="b">
        <v>0</v>
      </c>
      <c r="L395" s="83" t="b">
        <v>0</v>
      </c>
    </row>
    <row r="396" spans="1:12" ht="15">
      <c r="A396" s="84" t="s">
        <v>2899</v>
      </c>
      <c r="B396" s="83" t="s">
        <v>2259</v>
      </c>
      <c r="C396" s="83">
        <v>2</v>
      </c>
      <c r="D396" s="110">
        <v>0.0008639526765155107</v>
      </c>
      <c r="E396" s="110">
        <v>2.92668535582776</v>
      </c>
      <c r="F396" s="83" t="s">
        <v>2087</v>
      </c>
      <c r="G396" s="83" t="b">
        <v>0</v>
      </c>
      <c r="H396" s="83" t="b">
        <v>0</v>
      </c>
      <c r="I396" s="83" t="b">
        <v>0</v>
      </c>
      <c r="J396" s="83" t="b">
        <v>0</v>
      </c>
      <c r="K396" s="83" t="b">
        <v>0</v>
      </c>
      <c r="L396" s="83" t="b">
        <v>0</v>
      </c>
    </row>
    <row r="397" spans="1:12" ht="15">
      <c r="A397" s="84" t="s">
        <v>2491</v>
      </c>
      <c r="B397" s="83" t="s">
        <v>2232</v>
      </c>
      <c r="C397" s="83">
        <v>2</v>
      </c>
      <c r="D397" s="110">
        <v>0.0008639526765155107</v>
      </c>
      <c r="E397" s="110">
        <v>2.558708570533166</v>
      </c>
      <c r="F397" s="83" t="s">
        <v>2087</v>
      </c>
      <c r="G397" s="83" t="b">
        <v>0</v>
      </c>
      <c r="H397" s="83" t="b">
        <v>0</v>
      </c>
      <c r="I397" s="83" t="b">
        <v>0</v>
      </c>
      <c r="J397" s="83" t="b">
        <v>0</v>
      </c>
      <c r="K397" s="83" t="b">
        <v>0</v>
      </c>
      <c r="L397" s="83" t="b">
        <v>0</v>
      </c>
    </row>
    <row r="398" spans="1:12" ht="15">
      <c r="A398" s="84" t="s">
        <v>2129</v>
      </c>
      <c r="B398" s="83" t="s">
        <v>2334</v>
      </c>
      <c r="C398" s="83">
        <v>2</v>
      </c>
      <c r="D398" s="110">
        <v>0.0008639526765155107</v>
      </c>
      <c r="E398" s="110">
        <v>1.3878185051632923</v>
      </c>
      <c r="F398" s="83" t="s">
        <v>2087</v>
      </c>
      <c r="G398" s="83" t="b">
        <v>0</v>
      </c>
      <c r="H398" s="83" t="b">
        <v>0</v>
      </c>
      <c r="I398" s="83" t="b">
        <v>0</v>
      </c>
      <c r="J398" s="83" t="b">
        <v>0</v>
      </c>
      <c r="K398" s="83" t="b">
        <v>0</v>
      </c>
      <c r="L398" s="83" t="b">
        <v>0</v>
      </c>
    </row>
    <row r="399" spans="1:12" ht="15">
      <c r="A399" s="84" t="s">
        <v>2196</v>
      </c>
      <c r="B399" s="83" t="s">
        <v>2129</v>
      </c>
      <c r="C399" s="83">
        <v>2</v>
      </c>
      <c r="D399" s="110">
        <v>0.0008639526765155107</v>
      </c>
      <c r="E399" s="110">
        <v>1.3723981462957984</v>
      </c>
      <c r="F399" s="83" t="s">
        <v>2087</v>
      </c>
      <c r="G399" s="83" t="b">
        <v>0</v>
      </c>
      <c r="H399" s="83" t="b">
        <v>0</v>
      </c>
      <c r="I399" s="83" t="b">
        <v>0</v>
      </c>
      <c r="J399" s="83" t="b">
        <v>0</v>
      </c>
      <c r="K399" s="83" t="b">
        <v>0</v>
      </c>
      <c r="L399" s="83" t="b">
        <v>0</v>
      </c>
    </row>
    <row r="400" spans="1:12" ht="15">
      <c r="A400" s="84" t="s">
        <v>2134</v>
      </c>
      <c r="B400" s="83" t="s">
        <v>2129</v>
      </c>
      <c r="C400" s="83">
        <v>2</v>
      </c>
      <c r="D400" s="110">
        <v>0.0008639526765155107</v>
      </c>
      <c r="E400" s="110">
        <v>0.5398892335895621</v>
      </c>
      <c r="F400" s="83" t="s">
        <v>2087</v>
      </c>
      <c r="G400" s="83" t="b">
        <v>0</v>
      </c>
      <c r="H400" s="83" t="b">
        <v>0</v>
      </c>
      <c r="I400" s="83" t="b">
        <v>0</v>
      </c>
      <c r="J400" s="83" t="b">
        <v>0</v>
      </c>
      <c r="K400" s="83" t="b">
        <v>0</v>
      </c>
      <c r="L400" s="83" t="b">
        <v>0</v>
      </c>
    </row>
    <row r="401" spans="1:12" ht="15">
      <c r="A401" s="84" t="s">
        <v>2337</v>
      </c>
      <c r="B401" s="83" t="s">
        <v>2937</v>
      </c>
      <c r="C401" s="83">
        <v>2</v>
      </c>
      <c r="D401" s="110">
        <v>0.0009720230393458755</v>
      </c>
      <c r="E401" s="110">
        <v>3.2277153514917414</v>
      </c>
      <c r="F401" s="83" t="s">
        <v>2087</v>
      </c>
      <c r="G401" s="83" t="b">
        <v>0</v>
      </c>
      <c r="H401" s="83" t="b">
        <v>0</v>
      </c>
      <c r="I401" s="83" t="b">
        <v>0</v>
      </c>
      <c r="J401" s="83" t="b">
        <v>0</v>
      </c>
      <c r="K401" s="83" t="b">
        <v>0</v>
      </c>
      <c r="L401" s="83" t="b">
        <v>0</v>
      </c>
    </row>
    <row r="402" spans="1:12" ht="15">
      <c r="A402" s="84" t="s">
        <v>2937</v>
      </c>
      <c r="B402" s="83" t="s">
        <v>2661</v>
      </c>
      <c r="C402" s="83">
        <v>2</v>
      </c>
      <c r="D402" s="110">
        <v>0.0009720230393458755</v>
      </c>
      <c r="E402" s="110">
        <v>3.4038066105474227</v>
      </c>
      <c r="F402" s="83" t="s">
        <v>2087</v>
      </c>
      <c r="G402" s="83" t="b">
        <v>0</v>
      </c>
      <c r="H402" s="83" t="b">
        <v>0</v>
      </c>
      <c r="I402" s="83" t="b">
        <v>0</v>
      </c>
      <c r="J402" s="83" t="b">
        <v>0</v>
      </c>
      <c r="K402" s="83" t="b">
        <v>0</v>
      </c>
      <c r="L402" s="83" t="b">
        <v>0</v>
      </c>
    </row>
    <row r="403" spans="1:12" ht="15">
      <c r="A403" s="84" t="s">
        <v>2661</v>
      </c>
      <c r="B403" s="83" t="s">
        <v>2938</v>
      </c>
      <c r="C403" s="83">
        <v>2</v>
      </c>
      <c r="D403" s="110">
        <v>0.0009720230393458755</v>
      </c>
      <c r="E403" s="110">
        <v>3.4038066105474227</v>
      </c>
      <c r="F403" s="83" t="s">
        <v>2087</v>
      </c>
      <c r="G403" s="83" t="b">
        <v>0</v>
      </c>
      <c r="H403" s="83" t="b">
        <v>0</v>
      </c>
      <c r="I403" s="83" t="b">
        <v>0</v>
      </c>
      <c r="J403" s="83" t="b">
        <v>0</v>
      </c>
      <c r="K403" s="83" t="b">
        <v>0</v>
      </c>
      <c r="L403" s="83" t="b">
        <v>0</v>
      </c>
    </row>
    <row r="404" spans="1:12" ht="15">
      <c r="A404" s="84" t="s">
        <v>2938</v>
      </c>
      <c r="B404" s="83" t="s">
        <v>2939</v>
      </c>
      <c r="C404" s="83">
        <v>2</v>
      </c>
      <c r="D404" s="110">
        <v>0.0009720230393458755</v>
      </c>
      <c r="E404" s="110">
        <v>3.4038066105474227</v>
      </c>
      <c r="F404" s="83" t="s">
        <v>2087</v>
      </c>
      <c r="G404" s="83" t="b">
        <v>0</v>
      </c>
      <c r="H404" s="83" t="b">
        <v>0</v>
      </c>
      <c r="I404" s="83" t="b">
        <v>0</v>
      </c>
      <c r="J404" s="83" t="b">
        <v>0</v>
      </c>
      <c r="K404" s="83" t="b">
        <v>1</v>
      </c>
      <c r="L404" s="83" t="b">
        <v>0</v>
      </c>
    </row>
    <row r="405" spans="1:12" ht="15">
      <c r="A405" s="84" t="s">
        <v>2939</v>
      </c>
      <c r="B405" s="83" t="s">
        <v>2940</v>
      </c>
      <c r="C405" s="83">
        <v>2</v>
      </c>
      <c r="D405" s="110">
        <v>0.0009720230393458755</v>
      </c>
      <c r="E405" s="110">
        <v>3.4038066105474227</v>
      </c>
      <c r="F405" s="83" t="s">
        <v>2087</v>
      </c>
      <c r="G405" s="83" t="b">
        <v>0</v>
      </c>
      <c r="H405" s="83" t="b">
        <v>1</v>
      </c>
      <c r="I405" s="83" t="b">
        <v>0</v>
      </c>
      <c r="J405" s="83" t="b">
        <v>0</v>
      </c>
      <c r="K405" s="83" t="b">
        <v>0</v>
      </c>
      <c r="L405" s="83" t="b">
        <v>0</v>
      </c>
    </row>
    <row r="406" spans="1:12" ht="15">
      <c r="A406" s="84" t="s">
        <v>2940</v>
      </c>
      <c r="B406" s="83" t="s">
        <v>2270</v>
      </c>
      <c r="C406" s="83">
        <v>2</v>
      </c>
      <c r="D406" s="110">
        <v>0.0009720230393458755</v>
      </c>
      <c r="E406" s="110">
        <v>3.1027766148834415</v>
      </c>
      <c r="F406" s="83" t="s">
        <v>2087</v>
      </c>
      <c r="G406" s="83" t="b">
        <v>0</v>
      </c>
      <c r="H406" s="83" t="b">
        <v>0</v>
      </c>
      <c r="I406" s="83" t="b">
        <v>0</v>
      </c>
      <c r="J406" s="83" t="b">
        <v>0</v>
      </c>
      <c r="K406" s="83" t="b">
        <v>0</v>
      </c>
      <c r="L406" s="83" t="b">
        <v>0</v>
      </c>
    </row>
    <row r="407" spans="1:12" ht="15">
      <c r="A407" s="84" t="s">
        <v>2270</v>
      </c>
      <c r="B407" s="83" t="s">
        <v>2941</v>
      </c>
      <c r="C407" s="83">
        <v>2</v>
      </c>
      <c r="D407" s="110">
        <v>0.0009720230393458755</v>
      </c>
      <c r="E407" s="110">
        <v>3.1027766148834415</v>
      </c>
      <c r="F407" s="83" t="s">
        <v>2087</v>
      </c>
      <c r="G407" s="83" t="b">
        <v>0</v>
      </c>
      <c r="H407" s="83" t="b">
        <v>0</v>
      </c>
      <c r="I407" s="83" t="b">
        <v>0</v>
      </c>
      <c r="J407" s="83" t="b">
        <v>0</v>
      </c>
      <c r="K407" s="83" t="b">
        <v>0</v>
      </c>
      <c r="L407" s="83" t="b">
        <v>0</v>
      </c>
    </row>
    <row r="408" spans="1:12" ht="15">
      <c r="A408" s="84" t="s">
        <v>2558</v>
      </c>
      <c r="B408" s="83" t="s">
        <v>2189</v>
      </c>
      <c r="C408" s="83">
        <v>2</v>
      </c>
      <c r="D408" s="110">
        <v>0.0008639526765155107</v>
      </c>
      <c r="E408" s="110">
        <v>2.625655360163779</v>
      </c>
      <c r="F408" s="83" t="s">
        <v>2087</v>
      </c>
      <c r="G408" s="83" t="b">
        <v>0</v>
      </c>
      <c r="H408" s="83" t="b">
        <v>0</v>
      </c>
      <c r="I408" s="83" t="b">
        <v>0</v>
      </c>
      <c r="J408" s="83" t="b">
        <v>0</v>
      </c>
      <c r="K408" s="83" t="b">
        <v>0</v>
      </c>
      <c r="L408" s="83" t="b">
        <v>0</v>
      </c>
    </row>
    <row r="409" spans="1:12" ht="15">
      <c r="A409" s="84" t="s">
        <v>2502</v>
      </c>
      <c r="B409" s="83" t="s">
        <v>2134</v>
      </c>
      <c r="C409" s="83">
        <v>2</v>
      </c>
      <c r="D409" s="110">
        <v>0.0008639526765155107</v>
      </c>
      <c r="E409" s="110">
        <v>1.9724428463884351</v>
      </c>
      <c r="F409" s="83" t="s">
        <v>2087</v>
      </c>
      <c r="G409" s="83" t="b">
        <v>0</v>
      </c>
      <c r="H409" s="83" t="b">
        <v>0</v>
      </c>
      <c r="I409" s="83" t="b">
        <v>0</v>
      </c>
      <c r="J409" s="83" t="b">
        <v>0</v>
      </c>
      <c r="K409" s="83" t="b">
        <v>0</v>
      </c>
      <c r="L409" s="83" t="b">
        <v>0</v>
      </c>
    </row>
    <row r="410" spans="1:12" ht="15">
      <c r="A410" s="84" t="s">
        <v>2145</v>
      </c>
      <c r="B410" s="83" t="s">
        <v>2135</v>
      </c>
      <c r="C410" s="83">
        <v>2</v>
      </c>
      <c r="D410" s="110">
        <v>0.0009720230393458755</v>
      </c>
      <c r="E410" s="110">
        <v>1.3103849253851874</v>
      </c>
      <c r="F410" s="83" t="s">
        <v>2087</v>
      </c>
      <c r="G410" s="83" t="b">
        <v>0</v>
      </c>
      <c r="H410" s="83" t="b">
        <v>0</v>
      </c>
      <c r="I410" s="83" t="b">
        <v>0</v>
      </c>
      <c r="J410" s="83" t="b">
        <v>1</v>
      </c>
      <c r="K410" s="83" t="b">
        <v>0</v>
      </c>
      <c r="L410" s="83" t="b">
        <v>0</v>
      </c>
    </row>
    <row r="411" spans="1:12" ht="15">
      <c r="A411" s="84" t="s">
        <v>2145</v>
      </c>
      <c r="B411" s="83" t="s">
        <v>2214</v>
      </c>
      <c r="C411" s="83">
        <v>2</v>
      </c>
      <c r="D411" s="110">
        <v>0.0009720230393458755</v>
      </c>
      <c r="E411" s="110">
        <v>1.760353934061235</v>
      </c>
      <c r="F411" s="83" t="s">
        <v>2087</v>
      </c>
      <c r="G411" s="83" t="b">
        <v>0</v>
      </c>
      <c r="H411" s="83" t="b">
        <v>0</v>
      </c>
      <c r="I411" s="83" t="b">
        <v>0</v>
      </c>
      <c r="J411" s="83" t="b">
        <v>0</v>
      </c>
      <c r="K411" s="83" t="b">
        <v>1</v>
      </c>
      <c r="L411" s="83" t="b">
        <v>0</v>
      </c>
    </row>
    <row r="412" spans="1:12" ht="15">
      <c r="A412" s="84" t="s">
        <v>2130</v>
      </c>
      <c r="B412" s="83" t="s">
        <v>2159</v>
      </c>
      <c r="C412" s="83">
        <v>2</v>
      </c>
      <c r="D412" s="110">
        <v>0.0008639526765155107</v>
      </c>
      <c r="E412" s="110">
        <v>1.47184049581925</v>
      </c>
      <c r="F412" s="83" t="s">
        <v>2087</v>
      </c>
      <c r="G412" s="83" t="b">
        <v>0</v>
      </c>
      <c r="H412" s="83" t="b">
        <v>0</v>
      </c>
      <c r="I412" s="83" t="b">
        <v>0</v>
      </c>
      <c r="J412" s="83" t="b">
        <v>0</v>
      </c>
      <c r="K412" s="83" t="b">
        <v>0</v>
      </c>
      <c r="L412" s="83" t="b">
        <v>0</v>
      </c>
    </row>
    <row r="413" spans="1:12" ht="15">
      <c r="A413" s="84" t="s">
        <v>3017</v>
      </c>
      <c r="B413" s="83" t="s">
        <v>2394</v>
      </c>
      <c r="C413" s="83">
        <v>2</v>
      </c>
      <c r="D413" s="110">
        <v>0.0009720230393458755</v>
      </c>
      <c r="E413" s="110">
        <v>3.1027766148834415</v>
      </c>
      <c r="F413" s="83" t="s">
        <v>2087</v>
      </c>
      <c r="G413" s="83" t="b">
        <v>0</v>
      </c>
      <c r="H413" s="83" t="b">
        <v>0</v>
      </c>
      <c r="I413" s="83" t="b">
        <v>0</v>
      </c>
      <c r="J413" s="83" t="b">
        <v>0</v>
      </c>
      <c r="K413" s="83" t="b">
        <v>0</v>
      </c>
      <c r="L413" s="83" t="b">
        <v>0</v>
      </c>
    </row>
    <row r="414" spans="1:12" ht="15">
      <c r="A414" s="84" t="s">
        <v>2611</v>
      </c>
      <c r="B414" s="83" t="s">
        <v>2291</v>
      </c>
      <c r="C414" s="83">
        <v>2</v>
      </c>
      <c r="D414" s="110">
        <v>0.0008639526765155107</v>
      </c>
      <c r="E414" s="110">
        <v>2.750594096772079</v>
      </c>
      <c r="F414" s="83" t="s">
        <v>2087</v>
      </c>
      <c r="G414" s="83" t="b">
        <v>0</v>
      </c>
      <c r="H414" s="83" t="b">
        <v>0</v>
      </c>
      <c r="I414" s="83" t="b">
        <v>0</v>
      </c>
      <c r="J414" s="83" t="b">
        <v>0</v>
      </c>
      <c r="K414" s="83" t="b">
        <v>0</v>
      </c>
      <c r="L414" s="83" t="b">
        <v>0</v>
      </c>
    </row>
    <row r="415" spans="1:12" ht="15">
      <c r="A415" s="84" t="s">
        <v>2140</v>
      </c>
      <c r="B415" s="83" t="s">
        <v>3020</v>
      </c>
      <c r="C415" s="83">
        <v>2</v>
      </c>
      <c r="D415" s="110">
        <v>0.0008639526765155107</v>
      </c>
      <c r="E415" s="110">
        <v>2.343108770193811</v>
      </c>
      <c r="F415" s="83" t="s">
        <v>2087</v>
      </c>
      <c r="G415" s="83" t="b">
        <v>1</v>
      </c>
      <c r="H415" s="83" t="b">
        <v>0</v>
      </c>
      <c r="I415" s="83" t="b">
        <v>0</v>
      </c>
      <c r="J415" s="83" t="b">
        <v>1</v>
      </c>
      <c r="K415" s="83" t="b">
        <v>0</v>
      </c>
      <c r="L415" s="83" t="b">
        <v>0</v>
      </c>
    </row>
    <row r="416" spans="1:12" ht="15">
      <c r="A416" s="84" t="s">
        <v>3020</v>
      </c>
      <c r="B416" s="83" t="s">
        <v>2130</v>
      </c>
      <c r="C416" s="83">
        <v>2</v>
      </c>
      <c r="D416" s="110">
        <v>0.0008639526765155107</v>
      </c>
      <c r="E416" s="110">
        <v>2.005866601875385</v>
      </c>
      <c r="F416" s="83" t="s">
        <v>2087</v>
      </c>
      <c r="G416" s="83" t="b">
        <v>1</v>
      </c>
      <c r="H416" s="83" t="b">
        <v>0</v>
      </c>
      <c r="I416" s="83" t="b">
        <v>0</v>
      </c>
      <c r="J416" s="83" t="b">
        <v>0</v>
      </c>
      <c r="K416" s="83" t="b">
        <v>0</v>
      </c>
      <c r="L416" s="83" t="b">
        <v>0</v>
      </c>
    </row>
    <row r="417" spans="1:12" ht="15">
      <c r="A417" s="84" t="s">
        <v>2130</v>
      </c>
      <c r="B417" s="83" t="s">
        <v>3021</v>
      </c>
      <c r="C417" s="83">
        <v>2</v>
      </c>
      <c r="D417" s="110">
        <v>0.0008639526765155107</v>
      </c>
      <c r="E417" s="110">
        <v>1.9489617505389123</v>
      </c>
      <c r="F417" s="83" t="s">
        <v>2087</v>
      </c>
      <c r="G417" s="83" t="b">
        <v>0</v>
      </c>
      <c r="H417" s="83" t="b">
        <v>0</v>
      </c>
      <c r="I417" s="83" t="b">
        <v>0</v>
      </c>
      <c r="J417" s="83" t="b">
        <v>0</v>
      </c>
      <c r="K417" s="83" t="b">
        <v>0</v>
      </c>
      <c r="L417" s="83" t="b">
        <v>0</v>
      </c>
    </row>
    <row r="418" spans="1:12" ht="15">
      <c r="A418" s="84" t="s">
        <v>2688</v>
      </c>
      <c r="B418" s="83" t="s">
        <v>2300</v>
      </c>
      <c r="C418" s="83">
        <v>2</v>
      </c>
      <c r="D418" s="110">
        <v>0.0008639526765155107</v>
      </c>
      <c r="E418" s="110">
        <v>2.8297753428197034</v>
      </c>
      <c r="F418" s="83" t="s">
        <v>2087</v>
      </c>
      <c r="G418" s="83" t="b">
        <v>0</v>
      </c>
      <c r="H418" s="83" t="b">
        <v>0</v>
      </c>
      <c r="I418" s="83" t="b">
        <v>0</v>
      </c>
      <c r="J418" s="83" t="b">
        <v>0</v>
      </c>
      <c r="K418" s="83" t="b">
        <v>0</v>
      </c>
      <c r="L418" s="83" t="b">
        <v>0</v>
      </c>
    </row>
    <row r="419" spans="1:12" ht="15">
      <c r="A419" s="84" t="s">
        <v>3023</v>
      </c>
      <c r="B419" s="83" t="s">
        <v>2271</v>
      </c>
      <c r="C419" s="83">
        <v>2</v>
      </c>
      <c r="D419" s="110">
        <v>0.0009720230393458755</v>
      </c>
      <c r="E419" s="110">
        <v>3.1027766148834415</v>
      </c>
      <c r="F419" s="83" t="s">
        <v>2087</v>
      </c>
      <c r="G419" s="83" t="b">
        <v>0</v>
      </c>
      <c r="H419" s="83" t="b">
        <v>1</v>
      </c>
      <c r="I419" s="83" t="b">
        <v>0</v>
      </c>
      <c r="J419" s="83" t="b">
        <v>0</v>
      </c>
      <c r="K419" s="83" t="b">
        <v>0</v>
      </c>
      <c r="L419" s="83" t="b">
        <v>0</v>
      </c>
    </row>
    <row r="420" spans="1:12" ht="15">
      <c r="A420" s="84" t="s">
        <v>2129</v>
      </c>
      <c r="B420" s="83" t="s">
        <v>2231</v>
      </c>
      <c r="C420" s="83">
        <v>2</v>
      </c>
      <c r="D420" s="110">
        <v>0.0008639526765155107</v>
      </c>
      <c r="E420" s="110">
        <v>1.1325460000599863</v>
      </c>
      <c r="F420" s="83" t="s">
        <v>2087</v>
      </c>
      <c r="G420" s="83" t="b">
        <v>0</v>
      </c>
      <c r="H420" s="83" t="b">
        <v>0</v>
      </c>
      <c r="I420" s="83" t="b">
        <v>0</v>
      </c>
      <c r="J420" s="83" t="b">
        <v>0</v>
      </c>
      <c r="K420" s="83" t="b">
        <v>1</v>
      </c>
      <c r="L420" s="83" t="b">
        <v>0</v>
      </c>
    </row>
    <row r="421" spans="1:12" ht="15">
      <c r="A421" s="84" t="s">
        <v>2248</v>
      </c>
      <c r="B421" s="83" t="s">
        <v>2575</v>
      </c>
      <c r="C421" s="83">
        <v>2</v>
      </c>
      <c r="D421" s="110">
        <v>0.0008639526765155107</v>
      </c>
      <c r="E421" s="110">
        <v>3.1027766148834415</v>
      </c>
      <c r="F421" s="83" t="s">
        <v>2087</v>
      </c>
      <c r="G421" s="83" t="b">
        <v>0</v>
      </c>
      <c r="H421" s="83" t="b">
        <v>0</v>
      </c>
      <c r="I421" s="83" t="b">
        <v>0</v>
      </c>
      <c r="J421" s="83" t="b">
        <v>0</v>
      </c>
      <c r="K421" s="83" t="b">
        <v>0</v>
      </c>
      <c r="L421" s="83" t="b">
        <v>0</v>
      </c>
    </row>
    <row r="422" spans="1:12" ht="15">
      <c r="A422" s="84" t="s">
        <v>2690</v>
      </c>
      <c r="B422" s="83" t="s">
        <v>2292</v>
      </c>
      <c r="C422" s="83">
        <v>2</v>
      </c>
      <c r="D422" s="110">
        <v>0.0009720230393458755</v>
      </c>
      <c r="E422" s="110">
        <v>2.6836473071414657</v>
      </c>
      <c r="F422" s="83" t="s">
        <v>2087</v>
      </c>
      <c r="G422" s="83" t="b">
        <v>0</v>
      </c>
      <c r="H422" s="83" t="b">
        <v>0</v>
      </c>
      <c r="I422" s="83" t="b">
        <v>0</v>
      </c>
      <c r="J422" s="83" t="b">
        <v>0</v>
      </c>
      <c r="K422" s="83" t="b">
        <v>0</v>
      </c>
      <c r="L422" s="83" t="b">
        <v>0</v>
      </c>
    </row>
    <row r="423" spans="1:12" ht="15">
      <c r="A423" s="84" t="s">
        <v>2129</v>
      </c>
      <c r="B423" s="83" t="s">
        <v>2235</v>
      </c>
      <c r="C423" s="83">
        <v>2</v>
      </c>
      <c r="D423" s="110">
        <v>0.0008639526765155107</v>
      </c>
      <c r="E423" s="110">
        <v>1.1325460000599863</v>
      </c>
      <c r="F423" s="83" t="s">
        <v>2087</v>
      </c>
      <c r="G423" s="83" t="b">
        <v>0</v>
      </c>
      <c r="H423" s="83" t="b">
        <v>0</v>
      </c>
      <c r="I423" s="83" t="b">
        <v>0</v>
      </c>
      <c r="J423" s="83" t="b">
        <v>0</v>
      </c>
      <c r="K423" s="83" t="b">
        <v>0</v>
      </c>
      <c r="L423" s="83" t="b">
        <v>0</v>
      </c>
    </row>
    <row r="424" spans="1:12" ht="15">
      <c r="A424" s="84" t="s">
        <v>2136</v>
      </c>
      <c r="B424" s="83" t="s">
        <v>2554</v>
      </c>
      <c r="C424" s="83">
        <v>2</v>
      </c>
      <c r="D424" s="110">
        <v>0.0009720230393458755</v>
      </c>
      <c r="E424" s="110">
        <v>1.9846773028054467</v>
      </c>
      <c r="F424" s="83" t="s">
        <v>2087</v>
      </c>
      <c r="G424" s="83" t="b">
        <v>0</v>
      </c>
      <c r="H424" s="83" t="b">
        <v>1</v>
      </c>
      <c r="I424" s="83" t="b">
        <v>0</v>
      </c>
      <c r="J424" s="83" t="b">
        <v>0</v>
      </c>
      <c r="K424" s="83" t="b">
        <v>0</v>
      </c>
      <c r="L424" s="83" t="b">
        <v>0</v>
      </c>
    </row>
    <row r="425" spans="1:12" ht="15">
      <c r="A425" s="84" t="s">
        <v>2346</v>
      </c>
      <c r="B425" s="83" t="s">
        <v>2163</v>
      </c>
      <c r="C425" s="83">
        <v>2</v>
      </c>
      <c r="D425" s="110">
        <v>0.0008639526765155107</v>
      </c>
      <c r="E425" s="110">
        <v>2.0235953688358164</v>
      </c>
      <c r="F425" s="83" t="s">
        <v>2087</v>
      </c>
      <c r="G425" s="83" t="b">
        <v>0</v>
      </c>
      <c r="H425" s="83" t="b">
        <v>0</v>
      </c>
      <c r="I425" s="83" t="b">
        <v>0</v>
      </c>
      <c r="J425" s="83" t="b">
        <v>0</v>
      </c>
      <c r="K425" s="83" t="b">
        <v>0</v>
      </c>
      <c r="L425" s="83" t="b">
        <v>0</v>
      </c>
    </row>
    <row r="426" spans="1:12" ht="15">
      <c r="A426" s="84" t="s">
        <v>2129</v>
      </c>
      <c r="B426" s="83" t="s">
        <v>2485</v>
      </c>
      <c r="C426" s="83">
        <v>2</v>
      </c>
      <c r="D426" s="110">
        <v>0.0008639526765155107</v>
      </c>
      <c r="E426" s="110">
        <v>1.6096672547796487</v>
      </c>
      <c r="F426" s="83" t="s">
        <v>2087</v>
      </c>
      <c r="G426" s="83" t="b">
        <v>0</v>
      </c>
      <c r="H426" s="83" t="b">
        <v>0</v>
      </c>
      <c r="I426" s="83" t="b">
        <v>0</v>
      </c>
      <c r="J426" s="83" t="b">
        <v>0</v>
      </c>
      <c r="K426" s="83" t="b">
        <v>0</v>
      </c>
      <c r="L426" s="83" t="b">
        <v>0</v>
      </c>
    </row>
    <row r="427" spans="1:12" ht="15">
      <c r="A427" s="84" t="s">
        <v>2129</v>
      </c>
      <c r="B427" s="83" t="s">
        <v>2201</v>
      </c>
      <c r="C427" s="83">
        <v>2</v>
      </c>
      <c r="D427" s="110">
        <v>0.0008639526765155107</v>
      </c>
      <c r="E427" s="110">
        <v>1.045395824341086</v>
      </c>
      <c r="F427" s="83" t="s">
        <v>2087</v>
      </c>
      <c r="G427" s="83" t="b">
        <v>0</v>
      </c>
      <c r="H427" s="83" t="b">
        <v>0</v>
      </c>
      <c r="I427" s="83" t="b">
        <v>0</v>
      </c>
      <c r="J427" s="83" t="b">
        <v>0</v>
      </c>
      <c r="K427" s="83" t="b">
        <v>1</v>
      </c>
      <c r="L427" s="83" t="b">
        <v>0</v>
      </c>
    </row>
    <row r="428" spans="1:12" ht="15">
      <c r="A428" s="84" t="s">
        <v>2411</v>
      </c>
      <c r="B428" s="83" t="s">
        <v>2130</v>
      </c>
      <c r="C428" s="83">
        <v>2</v>
      </c>
      <c r="D428" s="110">
        <v>0.0008639526765155107</v>
      </c>
      <c r="E428" s="110">
        <v>2.005866601875385</v>
      </c>
      <c r="F428" s="83" t="s">
        <v>2087</v>
      </c>
      <c r="G428" s="83" t="b">
        <v>0</v>
      </c>
      <c r="H428" s="83" t="b">
        <v>0</v>
      </c>
      <c r="I428" s="83" t="b">
        <v>0</v>
      </c>
      <c r="J428" s="83" t="b">
        <v>0</v>
      </c>
      <c r="K428" s="83" t="b">
        <v>0</v>
      </c>
      <c r="L428" s="83" t="b">
        <v>0</v>
      </c>
    </row>
    <row r="429" spans="1:12" ht="15">
      <c r="A429" s="84" t="s">
        <v>2699</v>
      </c>
      <c r="B429" s="83" t="s">
        <v>2556</v>
      </c>
      <c r="C429" s="83">
        <v>2</v>
      </c>
      <c r="D429" s="110">
        <v>0.0008639526765155107</v>
      </c>
      <c r="E429" s="110">
        <v>3.05162409243606</v>
      </c>
      <c r="F429" s="83" t="s">
        <v>2087</v>
      </c>
      <c r="G429" s="83" t="b">
        <v>0</v>
      </c>
      <c r="H429" s="83" t="b">
        <v>1</v>
      </c>
      <c r="I429" s="83" t="b">
        <v>0</v>
      </c>
      <c r="J429" s="83" t="b">
        <v>0</v>
      </c>
      <c r="K429" s="83" t="b">
        <v>0</v>
      </c>
      <c r="L429" s="83" t="b">
        <v>0</v>
      </c>
    </row>
    <row r="430" spans="1:12" ht="15">
      <c r="A430" s="84" t="s">
        <v>2556</v>
      </c>
      <c r="B430" s="83" t="s">
        <v>3044</v>
      </c>
      <c r="C430" s="83">
        <v>2</v>
      </c>
      <c r="D430" s="110">
        <v>0.0008639526765155107</v>
      </c>
      <c r="E430" s="110">
        <v>3.2277153514917414</v>
      </c>
      <c r="F430" s="83" t="s">
        <v>2087</v>
      </c>
      <c r="G430" s="83" t="b">
        <v>0</v>
      </c>
      <c r="H430" s="83" t="b">
        <v>0</v>
      </c>
      <c r="I430" s="83" t="b">
        <v>0</v>
      </c>
      <c r="J430" s="83" t="b">
        <v>0</v>
      </c>
      <c r="K430" s="83" t="b">
        <v>0</v>
      </c>
      <c r="L430" s="83" t="b">
        <v>0</v>
      </c>
    </row>
    <row r="431" spans="1:12" ht="15">
      <c r="A431" s="84" t="s">
        <v>2500</v>
      </c>
      <c r="B431" s="83" t="s">
        <v>2228</v>
      </c>
      <c r="C431" s="83">
        <v>2</v>
      </c>
      <c r="D431" s="110">
        <v>0.0009720230393458755</v>
      </c>
      <c r="E431" s="110">
        <v>2.750594096772079</v>
      </c>
      <c r="F431" s="83" t="s">
        <v>2087</v>
      </c>
      <c r="G431" s="83" t="b">
        <v>0</v>
      </c>
      <c r="H431" s="83" t="b">
        <v>0</v>
      </c>
      <c r="I431" s="83" t="b">
        <v>0</v>
      </c>
      <c r="J431" s="83" t="b">
        <v>0</v>
      </c>
      <c r="K431" s="83" t="b">
        <v>0</v>
      </c>
      <c r="L431" s="83" t="b">
        <v>0</v>
      </c>
    </row>
    <row r="432" spans="1:12" ht="15">
      <c r="A432" s="84" t="s">
        <v>3054</v>
      </c>
      <c r="B432" s="83" t="s">
        <v>2701</v>
      </c>
      <c r="C432" s="83">
        <v>2</v>
      </c>
      <c r="D432" s="110">
        <v>0.0009720230393458755</v>
      </c>
      <c r="E432" s="110">
        <v>3.2277153514917414</v>
      </c>
      <c r="F432" s="83" t="s">
        <v>2087</v>
      </c>
      <c r="G432" s="83" t="b">
        <v>0</v>
      </c>
      <c r="H432" s="83" t="b">
        <v>0</v>
      </c>
      <c r="I432" s="83" t="b">
        <v>0</v>
      </c>
      <c r="J432" s="83" t="b">
        <v>0</v>
      </c>
      <c r="K432" s="83" t="b">
        <v>0</v>
      </c>
      <c r="L432" s="83" t="b">
        <v>0</v>
      </c>
    </row>
    <row r="433" spans="1:12" ht="15">
      <c r="A433" s="84" t="s">
        <v>2224</v>
      </c>
      <c r="B433" s="83" t="s">
        <v>2317</v>
      </c>
      <c r="C433" s="83">
        <v>2</v>
      </c>
      <c r="D433" s="110">
        <v>0.0008639526765155107</v>
      </c>
      <c r="E433" s="110">
        <v>2.273472842052416</v>
      </c>
      <c r="F433" s="83" t="s">
        <v>2087</v>
      </c>
      <c r="G433" s="83" t="b">
        <v>0</v>
      </c>
      <c r="H433" s="83" t="b">
        <v>0</v>
      </c>
      <c r="I433" s="83" t="b">
        <v>0</v>
      </c>
      <c r="J433" s="83" t="b">
        <v>0</v>
      </c>
      <c r="K433" s="83" t="b">
        <v>0</v>
      </c>
      <c r="L433" s="83" t="b">
        <v>0</v>
      </c>
    </row>
    <row r="434" spans="1:12" ht="15">
      <c r="A434" s="84" t="s">
        <v>2206</v>
      </c>
      <c r="B434" s="83" t="s">
        <v>2456</v>
      </c>
      <c r="C434" s="83">
        <v>2</v>
      </c>
      <c r="D434" s="110">
        <v>0.0008639526765155107</v>
      </c>
      <c r="E434" s="110">
        <v>2.3624139253891974</v>
      </c>
      <c r="F434" s="83" t="s">
        <v>2087</v>
      </c>
      <c r="G434" s="83" t="b">
        <v>0</v>
      </c>
      <c r="H434" s="83" t="b">
        <v>0</v>
      </c>
      <c r="I434" s="83" t="b">
        <v>0</v>
      </c>
      <c r="J434" s="83" t="b">
        <v>1</v>
      </c>
      <c r="K434" s="83" t="b">
        <v>0</v>
      </c>
      <c r="L434" s="83" t="b">
        <v>0</v>
      </c>
    </row>
    <row r="435" spans="1:12" ht="15">
      <c r="A435" s="84" t="s">
        <v>2224</v>
      </c>
      <c r="B435" s="83" t="s">
        <v>2161</v>
      </c>
      <c r="C435" s="83">
        <v>2</v>
      </c>
      <c r="D435" s="110">
        <v>0.0008639526765155107</v>
      </c>
      <c r="E435" s="110">
        <v>1.8211751710577861</v>
      </c>
      <c r="F435" s="83" t="s">
        <v>2087</v>
      </c>
      <c r="G435" s="83" t="b">
        <v>0</v>
      </c>
      <c r="H435" s="83" t="b">
        <v>0</v>
      </c>
      <c r="I435" s="83" t="b">
        <v>0</v>
      </c>
      <c r="J435" s="83" t="b">
        <v>0</v>
      </c>
      <c r="K435" s="83" t="b">
        <v>0</v>
      </c>
      <c r="L435" s="83" t="b">
        <v>0</v>
      </c>
    </row>
    <row r="436" spans="1:12" ht="15">
      <c r="A436" s="84" t="s">
        <v>2132</v>
      </c>
      <c r="B436" s="83" t="s">
        <v>2135</v>
      </c>
      <c r="C436" s="83">
        <v>2</v>
      </c>
      <c r="D436" s="110">
        <v>0.0008639526765155107</v>
      </c>
      <c r="E436" s="110">
        <v>0.8069347319431758</v>
      </c>
      <c r="F436" s="83" t="s">
        <v>2087</v>
      </c>
      <c r="G436" s="83" t="b">
        <v>0</v>
      </c>
      <c r="H436" s="83" t="b">
        <v>0</v>
      </c>
      <c r="I436" s="83" t="b">
        <v>0</v>
      </c>
      <c r="J436" s="83" t="b">
        <v>1</v>
      </c>
      <c r="K436" s="83" t="b">
        <v>0</v>
      </c>
      <c r="L436" s="83" t="b">
        <v>0</v>
      </c>
    </row>
    <row r="437" spans="1:12" ht="15">
      <c r="A437" s="84" t="s">
        <v>2135</v>
      </c>
      <c r="B437" s="83" t="s">
        <v>2214</v>
      </c>
      <c r="C437" s="83">
        <v>2</v>
      </c>
      <c r="D437" s="110">
        <v>0.0008639526765155107</v>
      </c>
      <c r="E437" s="110">
        <v>1.4459599768392724</v>
      </c>
      <c r="F437" s="83" t="s">
        <v>2087</v>
      </c>
      <c r="G437" s="83" t="b">
        <v>1</v>
      </c>
      <c r="H437" s="83" t="b">
        <v>0</v>
      </c>
      <c r="I437" s="83" t="b">
        <v>0</v>
      </c>
      <c r="J437" s="83" t="b">
        <v>0</v>
      </c>
      <c r="K437" s="83" t="b">
        <v>1</v>
      </c>
      <c r="L437" s="83" t="b">
        <v>0</v>
      </c>
    </row>
    <row r="438" spans="1:12" ht="15">
      <c r="A438" s="84" t="s">
        <v>3065</v>
      </c>
      <c r="B438" s="83" t="s">
        <v>2395</v>
      </c>
      <c r="C438" s="83">
        <v>2</v>
      </c>
      <c r="D438" s="110">
        <v>0.0009720230393458755</v>
      </c>
      <c r="E438" s="110">
        <v>3.1027766148834415</v>
      </c>
      <c r="F438" s="83" t="s">
        <v>2087</v>
      </c>
      <c r="G438" s="83" t="b">
        <v>0</v>
      </c>
      <c r="H438" s="83" t="b">
        <v>0</v>
      </c>
      <c r="I438" s="83" t="b">
        <v>0</v>
      </c>
      <c r="J438" s="83" t="b">
        <v>0</v>
      </c>
      <c r="K438" s="83" t="b">
        <v>0</v>
      </c>
      <c r="L438" s="83" t="b">
        <v>0</v>
      </c>
    </row>
    <row r="439" spans="1:12" ht="15">
      <c r="A439" s="84" t="s">
        <v>2704</v>
      </c>
      <c r="B439" s="83" t="s">
        <v>2138</v>
      </c>
      <c r="C439" s="83">
        <v>2</v>
      </c>
      <c r="D439" s="110">
        <v>0.0008639526765155107</v>
      </c>
      <c r="E439" s="110">
        <v>1.9724428463884351</v>
      </c>
      <c r="F439" s="83" t="s">
        <v>2087</v>
      </c>
      <c r="G439" s="83" t="b">
        <v>0</v>
      </c>
      <c r="H439" s="83" t="b">
        <v>0</v>
      </c>
      <c r="I439" s="83" t="b">
        <v>0</v>
      </c>
      <c r="J439" s="83" t="b">
        <v>0</v>
      </c>
      <c r="K439" s="83" t="b">
        <v>0</v>
      </c>
      <c r="L439" s="83" t="b">
        <v>0</v>
      </c>
    </row>
    <row r="440" spans="1:12" ht="15">
      <c r="A440" s="84" t="s">
        <v>3073</v>
      </c>
      <c r="B440" s="83" t="s">
        <v>2138</v>
      </c>
      <c r="C440" s="83">
        <v>2</v>
      </c>
      <c r="D440" s="110">
        <v>0.0008639526765155107</v>
      </c>
      <c r="E440" s="110">
        <v>2.1485341054441163</v>
      </c>
      <c r="F440" s="83" t="s">
        <v>2087</v>
      </c>
      <c r="G440" s="83" t="b">
        <v>0</v>
      </c>
      <c r="H440" s="83" t="b">
        <v>0</v>
      </c>
      <c r="I440" s="83" t="b">
        <v>0</v>
      </c>
      <c r="J440" s="83" t="b">
        <v>0</v>
      </c>
      <c r="K440" s="83" t="b">
        <v>0</v>
      </c>
      <c r="L440" s="83" t="b">
        <v>0</v>
      </c>
    </row>
    <row r="441" spans="1:12" ht="15">
      <c r="A441" s="84" t="s">
        <v>2145</v>
      </c>
      <c r="B441" s="83" t="s">
        <v>2422</v>
      </c>
      <c r="C441" s="83">
        <v>2</v>
      </c>
      <c r="D441" s="110">
        <v>0.0008639526765155107</v>
      </c>
      <c r="E441" s="110">
        <v>2.3246253644997976</v>
      </c>
      <c r="F441" s="83" t="s">
        <v>2087</v>
      </c>
      <c r="G441" s="83" t="b">
        <v>0</v>
      </c>
      <c r="H441" s="83" t="b">
        <v>0</v>
      </c>
      <c r="I441" s="83" t="b">
        <v>0</v>
      </c>
      <c r="J441" s="83" t="b">
        <v>1</v>
      </c>
      <c r="K441" s="83" t="b">
        <v>0</v>
      </c>
      <c r="L441" s="83" t="b">
        <v>0</v>
      </c>
    </row>
    <row r="442" spans="1:12" ht="15">
      <c r="A442" s="84" t="s">
        <v>2422</v>
      </c>
      <c r="B442" s="83" t="s">
        <v>2129</v>
      </c>
      <c r="C442" s="83">
        <v>2</v>
      </c>
      <c r="D442" s="110">
        <v>0.0008639526765155107</v>
      </c>
      <c r="E442" s="110">
        <v>1.3723981462957984</v>
      </c>
      <c r="F442" s="83" t="s">
        <v>2087</v>
      </c>
      <c r="G442" s="83" t="b">
        <v>1</v>
      </c>
      <c r="H442" s="83" t="b">
        <v>0</v>
      </c>
      <c r="I442" s="83" t="b">
        <v>0</v>
      </c>
      <c r="J442" s="83" t="b">
        <v>0</v>
      </c>
      <c r="K442" s="83" t="b">
        <v>0</v>
      </c>
      <c r="L442" s="83" t="b">
        <v>0</v>
      </c>
    </row>
    <row r="443" spans="1:12" ht="15">
      <c r="A443" s="84" t="s">
        <v>2129</v>
      </c>
      <c r="B443" s="83" t="s">
        <v>2129</v>
      </c>
      <c r="C443" s="83">
        <v>2</v>
      </c>
      <c r="D443" s="110">
        <v>0.0008639526765155107</v>
      </c>
      <c r="E443" s="110">
        <v>0.15229005825574338</v>
      </c>
      <c r="F443" s="83" t="s">
        <v>2087</v>
      </c>
      <c r="G443" s="83" t="b">
        <v>0</v>
      </c>
      <c r="H443" s="83" t="b">
        <v>0</v>
      </c>
      <c r="I443" s="83" t="b">
        <v>0</v>
      </c>
      <c r="J443" s="83" t="b">
        <v>0</v>
      </c>
      <c r="K443" s="83" t="b">
        <v>0</v>
      </c>
      <c r="L443" s="83" t="b">
        <v>0</v>
      </c>
    </row>
    <row r="444" spans="1:12" ht="15">
      <c r="A444" s="84" t="s">
        <v>2370</v>
      </c>
      <c r="B444" s="83" t="s">
        <v>2198</v>
      </c>
      <c r="C444" s="83">
        <v>2</v>
      </c>
      <c r="D444" s="110">
        <v>0.0008639526765155107</v>
      </c>
      <c r="E444" s="110">
        <v>2.625655360163779</v>
      </c>
      <c r="F444" s="83" t="s">
        <v>2087</v>
      </c>
      <c r="G444" s="83" t="b">
        <v>0</v>
      </c>
      <c r="H444" s="83" t="b">
        <v>0</v>
      </c>
      <c r="I444" s="83" t="b">
        <v>0</v>
      </c>
      <c r="J444" s="83" t="b">
        <v>0</v>
      </c>
      <c r="K444" s="83" t="b">
        <v>0</v>
      </c>
      <c r="L444" s="83" t="b">
        <v>0</v>
      </c>
    </row>
    <row r="445" spans="1:12" ht="15">
      <c r="A445" s="84" t="s">
        <v>2135</v>
      </c>
      <c r="B445" s="83" t="s">
        <v>2188</v>
      </c>
      <c r="C445" s="83">
        <v>2</v>
      </c>
      <c r="D445" s="110">
        <v>0.0008639526765155107</v>
      </c>
      <c r="E445" s="110">
        <v>1.4873526619974975</v>
      </c>
      <c r="F445" s="83" t="s">
        <v>2087</v>
      </c>
      <c r="G445" s="83" t="b">
        <v>1</v>
      </c>
      <c r="H445" s="83" t="b">
        <v>0</v>
      </c>
      <c r="I445" s="83" t="b">
        <v>0</v>
      </c>
      <c r="J445" s="83" t="b">
        <v>1</v>
      </c>
      <c r="K445" s="83" t="b">
        <v>0</v>
      </c>
      <c r="L445" s="83" t="b">
        <v>0</v>
      </c>
    </row>
    <row r="446" spans="1:12" ht="15">
      <c r="A446" s="84" t="s">
        <v>3092</v>
      </c>
      <c r="B446" s="83" t="s">
        <v>3093</v>
      </c>
      <c r="C446" s="83">
        <v>2</v>
      </c>
      <c r="D446" s="110">
        <v>0.0008639526765155107</v>
      </c>
      <c r="E446" s="110">
        <v>3.4038066105474227</v>
      </c>
      <c r="F446" s="83" t="s">
        <v>2087</v>
      </c>
      <c r="G446" s="83" t="b">
        <v>1</v>
      </c>
      <c r="H446" s="83" t="b">
        <v>0</v>
      </c>
      <c r="I446" s="83" t="b">
        <v>0</v>
      </c>
      <c r="J446" s="83" t="b">
        <v>0</v>
      </c>
      <c r="K446" s="83" t="b">
        <v>0</v>
      </c>
      <c r="L446" s="83" t="b">
        <v>0</v>
      </c>
    </row>
    <row r="447" spans="1:12" ht="15">
      <c r="A447" s="84" t="s">
        <v>3100</v>
      </c>
      <c r="B447" s="83" t="s">
        <v>3101</v>
      </c>
      <c r="C447" s="83">
        <v>2</v>
      </c>
      <c r="D447" s="110">
        <v>0.0008639526765155107</v>
      </c>
      <c r="E447" s="110">
        <v>3.4038066105474227</v>
      </c>
      <c r="F447" s="83" t="s">
        <v>2087</v>
      </c>
      <c r="G447" s="83" t="b">
        <v>0</v>
      </c>
      <c r="H447" s="83" t="b">
        <v>0</v>
      </c>
      <c r="I447" s="83" t="b">
        <v>0</v>
      </c>
      <c r="J447" s="83" t="b">
        <v>0</v>
      </c>
      <c r="K447" s="83" t="b">
        <v>0</v>
      </c>
      <c r="L447" s="83" t="b">
        <v>0</v>
      </c>
    </row>
    <row r="448" spans="1:12" ht="15">
      <c r="A448" s="84" t="s">
        <v>2136</v>
      </c>
      <c r="B448" s="83" t="s">
        <v>2530</v>
      </c>
      <c r="C448" s="83">
        <v>2</v>
      </c>
      <c r="D448" s="110">
        <v>0.0008639526765155107</v>
      </c>
      <c r="E448" s="110">
        <v>1.9846773028054467</v>
      </c>
      <c r="F448" s="83" t="s">
        <v>2087</v>
      </c>
      <c r="G448" s="83" t="b">
        <v>0</v>
      </c>
      <c r="H448" s="83" t="b">
        <v>1</v>
      </c>
      <c r="I448" s="83" t="b">
        <v>0</v>
      </c>
      <c r="J448" s="83" t="b">
        <v>0</v>
      </c>
      <c r="K448" s="83" t="b">
        <v>0</v>
      </c>
      <c r="L448" s="83" t="b">
        <v>0</v>
      </c>
    </row>
    <row r="449" spans="1:12" ht="15">
      <c r="A449" s="84" t="s">
        <v>2391</v>
      </c>
      <c r="B449" s="83" t="s">
        <v>2404</v>
      </c>
      <c r="C449" s="83">
        <v>2</v>
      </c>
      <c r="D449" s="110">
        <v>0.0008639526765155107</v>
      </c>
      <c r="E449" s="110">
        <v>2.7048366062114035</v>
      </c>
      <c r="F449" s="83" t="s">
        <v>2087</v>
      </c>
      <c r="G449" s="83" t="b">
        <v>0</v>
      </c>
      <c r="H449" s="83" t="b">
        <v>0</v>
      </c>
      <c r="I449" s="83" t="b">
        <v>0</v>
      </c>
      <c r="J449" s="83" t="b">
        <v>0</v>
      </c>
      <c r="K449" s="83" t="b">
        <v>0</v>
      </c>
      <c r="L449" s="83" t="b">
        <v>0</v>
      </c>
    </row>
    <row r="450" spans="1:12" ht="15">
      <c r="A450" s="84" t="s">
        <v>2404</v>
      </c>
      <c r="B450" s="83" t="s">
        <v>2338</v>
      </c>
      <c r="C450" s="83">
        <v>2</v>
      </c>
      <c r="D450" s="110">
        <v>0.0008639526765155107</v>
      </c>
      <c r="E450" s="110">
        <v>2.7048366062114035</v>
      </c>
      <c r="F450" s="83" t="s">
        <v>2087</v>
      </c>
      <c r="G450" s="83" t="b">
        <v>0</v>
      </c>
      <c r="H450" s="83" t="b">
        <v>0</v>
      </c>
      <c r="I450" s="83" t="b">
        <v>0</v>
      </c>
      <c r="J450" s="83" t="b">
        <v>0</v>
      </c>
      <c r="K450" s="83" t="b">
        <v>0</v>
      </c>
      <c r="L450" s="83" t="b">
        <v>0</v>
      </c>
    </row>
    <row r="451" spans="1:12" ht="15">
      <c r="A451" s="84" t="s">
        <v>2338</v>
      </c>
      <c r="B451" s="83" t="s">
        <v>2206</v>
      </c>
      <c r="C451" s="83">
        <v>2</v>
      </c>
      <c r="D451" s="110">
        <v>0.0008639526765155107</v>
      </c>
      <c r="E451" s="110">
        <v>2.4038066105474227</v>
      </c>
      <c r="F451" s="83" t="s">
        <v>2087</v>
      </c>
      <c r="G451" s="83" t="b">
        <v>0</v>
      </c>
      <c r="H451" s="83" t="b">
        <v>0</v>
      </c>
      <c r="I451" s="83" t="b">
        <v>0</v>
      </c>
      <c r="J451" s="83" t="b">
        <v>0</v>
      </c>
      <c r="K451" s="83" t="b">
        <v>0</v>
      </c>
      <c r="L451" s="83" t="b">
        <v>0</v>
      </c>
    </row>
    <row r="452" spans="1:12" ht="15">
      <c r="A452" s="84" t="s">
        <v>2206</v>
      </c>
      <c r="B452" s="83" t="s">
        <v>2713</v>
      </c>
      <c r="C452" s="83">
        <v>2</v>
      </c>
      <c r="D452" s="110">
        <v>0.0008639526765155107</v>
      </c>
      <c r="E452" s="110">
        <v>2.4873526619974973</v>
      </c>
      <c r="F452" s="83" t="s">
        <v>2087</v>
      </c>
      <c r="G452" s="83" t="b">
        <v>0</v>
      </c>
      <c r="H452" s="83" t="b">
        <v>0</v>
      </c>
      <c r="I452" s="83" t="b">
        <v>0</v>
      </c>
      <c r="J452" s="83" t="b">
        <v>0</v>
      </c>
      <c r="K452" s="83" t="b">
        <v>0</v>
      </c>
      <c r="L452" s="83" t="b">
        <v>0</v>
      </c>
    </row>
    <row r="453" spans="1:12" ht="15">
      <c r="A453" s="84" t="s">
        <v>3115</v>
      </c>
      <c r="B453" s="83" t="s">
        <v>2052</v>
      </c>
      <c r="C453" s="83">
        <v>2</v>
      </c>
      <c r="D453" s="110">
        <v>0.0008639526765155107</v>
      </c>
      <c r="E453" s="110">
        <v>2.92668535582776</v>
      </c>
      <c r="F453" s="83" t="s">
        <v>2087</v>
      </c>
      <c r="G453" s="83" t="b">
        <v>0</v>
      </c>
      <c r="H453" s="83" t="b">
        <v>0</v>
      </c>
      <c r="I453" s="83" t="b">
        <v>0</v>
      </c>
      <c r="J453" s="83" t="b">
        <v>0</v>
      </c>
      <c r="K453" s="83" t="b">
        <v>0</v>
      </c>
      <c r="L453" s="83" t="b">
        <v>0</v>
      </c>
    </row>
    <row r="454" spans="1:12" ht="15">
      <c r="A454" s="84" t="s">
        <v>2204</v>
      </c>
      <c r="B454" s="83" t="s">
        <v>2609</v>
      </c>
      <c r="C454" s="83">
        <v>2</v>
      </c>
      <c r="D454" s="110">
        <v>0.0008639526765155107</v>
      </c>
      <c r="E454" s="110">
        <v>2.5287453471557226</v>
      </c>
      <c r="F454" s="83" t="s">
        <v>2087</v>
      </c>
      <c r="G454" s="83" t="b">
        <v>0</v>
      </c>
      <c r="H454" s="83" t="b">
        <v>0</v>
      </c>
      <c r="I454" s="83" t="b">
        <v>0</v>
      </c>
      <c r="J454" s="83" t="b">
        <v>0</v>
      </c>
      <c r="K454" s="83" t="b">
        <v>1</v>
      </c>
      <c r="L454" s="83" t="b">
        <v>0</v>
      </c>
    </row>
    <row r="455" spans="1:12" ht="15">
      <c r="A455" s="84" t="s">
        <v>3119</v>
      </c>
      <c r="B455" s="83" t="s">
        <v>2147</v>
      </c>
      <c r="C455" s="83">
        <v>2</v>
      </c>
      <c r="D455" s="110">
        <v>0.0009720230393458755</v>
      </c>
      <c r="E455" s="110">
        <v>2.590893253904567</v>
      </c>
      <c r="F455" s="83" t="s">
        <v>2087</v>
      </c>
      <c r="G455" s="83" t="b">
        <v>0</v>
      </c>
      <c r="H455" s="83" t="b">
        <v>0</v>
      </c>
      <c r="I455" s="83" t="b">
        <v>0</v>
      </c>
      <c r="J455" s="83" t="b">
        <v>0</v>
      </c>
      <c r="K455" s="83" t="b">
        <v>0</v>
      </c>
      <c r="L455" s="83" t="b">
        <v>0</v>
      </c>
    </row>
    <row r="456" spans="1:12" ht="15">
      <c r="A456" s="84" t="s">
        <v>3121</v>
      </c>
      <c r="B456" s="83" t="s">
        <v>3122</v>
      </c>
      <c r="C456" s="83">
        <v>2</v>
      </c>
      <c r="D456" s="110">
        <v>0.0008639526765155107</v>
      </c>
      <c r="E456" s="110">
        <v>3.4038066105474227</v>
      </c>
      <c r="F456" s="83" t="s">
        <v>2087</v>
      </c>
      <c r="G456" s="83" t="b">
        <v>0</v>
      </c>
      <c r="H456" s="83" t="b">
        <v>0</v>
      </c>
      <c r="I456" s="83" t="b">
        <v>0</v>
      </c>
      <c r="J456" s="83" t="b">
        <v>0</v>
      </c>
      <c r="K456" s="83" t="b">
        <v>0</v>
      </c>
      <c r="L456" s="83" t="b">
        <v>0</v>
      </c>
    </row>
    <row r="457" spans="1:12" ht="15">
      <c r="A457" s="84" t="s">
        <v>2052</v>
      </c>
      <c r="B457" s="83" t="s">
        <v>2169</v>
      </c>
      <c r="C457" s="83">
        <v>2</v>
      </c>
      <c r="D457" s="110">
        <v>0.0008639526765155107</v>
      </c>
      <c r="E457" s="110">
        <v>2.1308053384836847</v>
      </c>
      <c r="F457" s="83" t="s">
        <v>2087</v>
      </c>
      <c r="G457" s="83" t="b">
        <v>0</v>
      </c>
      <c r="H457" s="83" t="b">
        <v>0</v>
      </c>
      <c r="I457" s="83" t="b">
        <v>0</v>
      </c>
      <c r="J457" s="83" t="b">
        <v>0</v>
      </c>
      <c r="K457" s="83" t="b">
        <v>0</v>
      </c>
      <c r="L457" s="83" t="b">
        <v>0</v>
      </c>
    </row>
    <row r="458" spans="1:12" ht="15">
      <c r="A458" s="84" t="s">
        <v>2378</v>
      </c>
      <c r="B458" s="83" t="s">
        <v>2714</v>
      </c>
      <c r="C458" s="83">
        <v>2</v>
      </c>
      <c r="D458" s="110">
        <v>0.0008639526765155107</v>
      </c>
      <c r="E458" s="110">
        <v>3.1027766148834415</v>
      </c>
      <c r="F458" s="83" t="s">
        <v>2087</v>
      </c>
      <c r="G458" s="83" t="b">
        <v>0</v>
      </c>
      <c r="H458" s="83" t="b">
        <v>0</v>
      </c>
      <c r="I458" s="83" t="b">
        <v>0</v>
      </c>
      <c r="J458" s="83" t="b">
        <v>0</v>
      </c>
      <c r="K458" s="83" t="b">
        <v>0</v>
      </c>
      <c r="L458" s="83" t="b">
        <v>0</v>
      </c>
    </row>
    <row r="459" spans="1:12" ht="15">
      <c r="A459" s="84" t="s">
        <v>2534</v>
      </c>
      <c r="B459" s="83" t="s">
        <v>2293</v>
      </c>
      <c r="C459" s="83">
        <v>2</v>
      </c>
      <c r="D459" s="110">
        <v>0.0008639526765155107</v>
      </c>
      <c r="E459" s="110">
        <v>2.558708570533166</v>
      </c>
      <c r="F459" s="83" t="s">
        <v>2087</v>
      </c>
      <c r="G459" s="83" t="b">
        <v>0</v>
      </c>
      <c r="H459" s="83" t="b">
        <v>0</v>
      </c>
      <c r="I459" s="83" t="b">
        <v>0</v>
      </c>
      <c r="J459" s="83" t="b">
        <v>0</v>
      </c>
      <c r="K459" s="83" t="b">
        <v>0</v>
      </c>
      <c r="L459" s="83" t="b">
        <v>0</v>
      </c>
    </row>
    <row r="460" spans="1:12" ht="15">
      <c r="A460" s="84" t="s">
        <v>2242</v>
      </c>
      <c r="B460" s="83" t="s">
        <v>2535</v>
      </c>
      <c r="C460" s="83">
        <v>2</v>
      </c>
      <c r="D460" s="110">
        <v>0.0008639526765155107</v>
      </c>
      <c r="E460" s="110">
        <v>2.500716623555479</v>
      </c>
      <c r="F460" s="83" t="s">
        <v>2087</v>
      </c>
      <c r="G460" s="83" t="b">
        <v>0</v>
      </c>
      <c r="H460" s="83" t="b">
        <v>0</v>
      </c>
      <c r="I460" s="83" t="b">
        <v>0</v>
      </c>
      <c r="J460" s="83" t="b">
        <v>0</v>
      </c>
      <c r="K460" s="83" t="b">
        <v>1</v>
      </c>
      <c r="L460" s="83" t="b">
        <v>0</v>
      </c>
    </row>
    <row r="461" spans="1:12" ht="15">
      <c r="A461" s="84" t="s">
        <v>2294</v>
      </c>
      <c r="B461" s="83" t="s">
        <v>2181</v>
      </c>
      <c r="C461" s="83">
        <v>2</v>
      </c>
      <c r="D461" s="110">
        <v>0.0008639526765155107</v>
      </c>
      <c r="E461" s="110">
        <v>1.9846773028054467</v>
      </c>
      <c r="F461" s="83" t="s">
        <v>2087</v>
      </c>
      <c r="G461" s="83" t="b">
        <v>0</v>
      </c>
      <c r="H461" s="83" t="b">
        <v>0</v>
      </c>
      <c r="I461" s="83" t="b">
        <v>0</v>
      </c>
      <c r="J461" s="83" t="b">
        <v>0</v>
      </c>
      <c r="K461" s="83" t="b">
        <v>0</v>
      </c>
      <c r="L461" s="83" t="b">
        <v>0</v>
      </c>
    </row>
    <row r="462" spans="1:12" ht="15">
      <c r="A462" s="84" t="s">
        <v>2181</v>
      </c>
      <c r="B462" s="83" t="s">
        <v>2295</v>
      </c>
      <c r="C462" s="83">
        <v>2</v>
      </c>
      <c r="D462" s="110">
        <v>0.0008639526765155107</v>
      </c>
      <c r="E462" s="110">
        <v>2.1308053384836847</v>
      </c>
      <c r="F462" s="83" t="s">
        <v>2087</v>
      </c>
      <c r="G462" s="83" t="b">
        <v>0</v>
      </c>
      <c r="H462" s="83" t="b">
        <v>0</v>
      </c>
      <c r="I462" s="83" t="b">
        <v>0</v>
      </c>
      <c r="J462" s="83" t="b">
        <v>0</v>
      </c>
      <c r="K462" s="83" t="b">
        <v>0</v>
      </c>
      <c r="L462" s="83" t="b">
        <v>0</v>
      </c>
    </row>
    <row r="463" spans="1:12" ht="15">
      <c r="A463" s="84" t="s">
        <v>3136</v>
      </c>
      <c r="B463" s="83" t="s">
        <v>2181</v>
      </c>
      <c r="C463" s="83">
        <v>2</v>
      </c>
      <c r="D463" s="110">
        <v>0.0009720230393458755</v>
      </c>
      <c r="E463" s="110">
        <v>2.5287453471557226</v>
      </c>
      <c r="F463" s="83" t="s">
        <v>2087</v>
      </c>
      <c r="G463" s="83" t="b">
        <v>0</v>
      </c>
      <c r="H463" s="83" t="b">
        <v>0</v>
      </c>
      <c r="I463" s="83" t="b">
        <v>0</v>
      </c>
      <c r="J463" s="83" t="b">
        <v>0</v>
      </c>
      <c r="K463" s="83" t="b">
        <v>0</v>
      </c>
      <c r="L463" s="83" t="b">
        <v>0</v>
      </c>
    </row>
    <row r="464" spans="1:12" ht="15">
      <c r="A464" s="84" t="s">
        <v>2181</v>
      </c>
      <c r="B464" s="83" t="s">
        <v>2242</v>
      </c>
      <c r="C464" s="83">
        <v>2</v>
      </c>
      <c r="D464" s="110">
        <v>0.0008639526765155107</v>
      </c>
      <c r="E464" s="110">
        <v>1.9266853558277601</v>
      </c>
      <c r="F464" s="83" t="s">
        <v>2087</v>
      </c>
      <c r="G464" s="83" t="b">
        <v>0</v>
      </c>
      <c r="H464" s="83" t="b">
        <v>0</v>
      </c>
      <c r="I464" s="83" t="b">
        <v>0</v>
      </c>
      <c r="J464" s="83" t="b">
        <v>0</v>
      </c>
      <c r="K464" s="83" t="b">
        <v>0</v>
      </c>
      <c r="L464" s="83" t="b">
        <v>0</v>
      </c>
    </row>
    <row r="465" spans="1:12" ht="15">
      <c r="A465" s="84" t="s">
        <v>2295</v>
      </c>
      <c r="B465" s="83" t="s">
        <v>2242</v>
      </c>
      <c r="C465" s="83">
        <v>2</v>
      </c>
      <c r="D465" s="110">
        <v>0.0008639526765155107</v>
      </c>
      <c r="E465" s="110">
        <v>2.3246253644997976</v>
      </c>
      <c r="F465" s="83" t="s">
        <v>2087</v>
      </c>
      <c r="G465" s="83" t="b">
        <v>0</v>
      </c>
      <c r="H465" s="83" t="b">
        <v>0</v>
      </c>
      <c r="I465" s="83" t="b">
        <v>0</v>
      </c>
      <c r="J465" s="83" t="b">
        <v>0</v>
      </c>
      <c r="K465" s="83" t="b">
        <v>0</v>
      </c>
      <c r="L465" s="83" t="b">
        <v>0</v>
      </c>
    </row>
    <row r="466" spans="1:12" ht="15">
      <c r="A466" s="84" t="s">
        <v>2716</v>
      </c>
      <c r="B466" s="83" t="s">
        <v>2717</v>
      </c>
      <c r="C466" s="83">
        <v>2</v>
      </c>
      <c r="D466" s="110">
        <v>0.0008639526765155107</v>
      </c>
      <c r="E466" s="110">
        <v>3.05162409243606</v>
      </c>
      <c r="F466" s="83" t="s">
        <v>2087</v>
      </c>
      <c r="G466" s="83" t="b">
        <v>0</v>
      </c>
      <c r="H466" s="83" t="b">
        <v>0</v>
      </c>
      <c r="I466" s="83" t="b">
        <v>0</v>
      </c>
      <c r="J466" s="83" t="b">
        <v>0</v>
      </c>
      <c r="K466" s="83" t="b">
        <v>0</v>
      </c>
      <c r="L466" s="83" t="b">
        <v>0</v>
      </c>
    </row>
    <row r="467" spans="1:12" ht="15">
      <c r="A467" s="84" t="s">
        <v>2721</v>
      </c>
      <c r="B467" s="83" t="s">
        <v>2180</v>
      </c>
      <c r="C467" s="83">
        <v>2</v>
      </c>
      <c r="D467" s="110">
        <v>0.0009720230393458755</v>
      </c>
      <c r="E467" s="110">
        <v>2.4495641011080975</v>
      </c>
      <c r="F467" s="83" t="s">
        <v>2087</v>
      </c>
      <c r="G467" s="83" t="b">
        <v>0</v>
      </c>
      <c r="H467" s="83" t="b">
        <v>0</v>
      </c>
      <c r="I467" s="83" t="b">
        <v>0</v>
      </c>
      <c r="J467" s="83" t="b">
        <v>0</v>
      </c>
      <c r="K467" s="83" t="b">
        <v>0</v>
      </c>
      <c r="L467" s="83" t="b">
        <v>0</v>
      </c>
    </row>
    <row r="468" spans="1:12" ht="15">
      <c r="A468" s="84" t="s">
        <v>2180</v>
      </c>
      <c r="B468" s="83" t="s">
        <v>2287</v>
      </c>
      <c r="C468" s="83">
        <v>2</v>
      </c>
      <c r="D468" s="110">
        <v>0.0009720230393458755</v>
      </c>
      <c r="E468" s="110">
        <v>2.186322666333516</v>
      </c>
      <c r="F468" s="83" t="s">
        <v>2087</v>
      </c>
      <c r="G468" s="83" t="b">
        <v>0</v>
      </c>
      <c r="H468" s="83" t="b">
        <v>0</v>
      </c>
      <c r="I468" s="83" t="b">
        <v>0</v>
      </c>
      <c r="J468" s="83" t="b">
        <v>0</v>
      </c>
      <c r="K468" s="83" t="b">
        <v>0</v>
      </c>
      <c r="L468" s="83" t="b">
        <v>0</v>
      </c>
    </row>
    <row r="469" spans="1:12" ht="15">
      <c r="A469" s="84" t="s">
        <v>2208</v>
      </c>
      <c r="B469" s="83" t="s">
        <v>2131</v>
      </c>
      <c r="C469" s="83">
        <v>2</v>
      </c>
      <c r="D469" s="110">
        <v>0.0008639526765155107</v>
      </c>
      <c r="E469" s="110">
        <v>1.395206438785505</v>
      </c>
      <c r="F469" s="83" t="s">
        <v>2087</v>
      </c>
      <c r="G469" s="83" t="b">
        <v>0</v>
      </c>
      <c r="H469" s="83" t="b">
        <v>0</v>
      </c>
      <c r="I469" s="83" t="b">
        <v>0</v>
      </c>
      <c r="J469" s="83" t="b">
        <v>1</v>
      </c>
      <c r="K469" s="83" t="b">
        <v>0</v>
      </c>
      <c r="L469" s="83" t="b">
        <v>0</v>
      </c>
    </row>
    <row r="470" spans="1:12" ht="15">
      <c r="A470" s="84" t="s">
        <v>2150</v>
      </c>
      <c r="B470" s="83" t="s">
        <v>2130</v>
      </c>
      <c r="C470" s="83">
        <v>2</v>
      </c>
      <c r="D470" s="110">
        <v>0.0009720230393458755</v>
      </c>
      <c r="E470" s="110">
        <v>1.130805338483685</v>
      </c>
      <c r="F470" s="83" t="s">
        <v>2087</v>
      </c>
      <c r="G470" s="83" t="b">
        <v>0</v>
      </c>
      <c r="H470" s="83" t="b">
        <v>0</v>
      </c>
      <c r="I470" s="83" t="b">
        <v>0</v>
      </c>
      <c r="J470" s="83" t="b">
        <v>0</v>
      </c>
      <c r="K470" s="83" t="b">
        <v>0</v>
      </c>
      <c r="L470" s="83" t="b">
        <v>0</v>
      </c>
    </row>
    <row r="471" spans="1:12" ht="15">
      <c r="A471" s="84" t="s">
        <v>2176</v>
      </c>
      <c r="B471" s="83" t="s">
        <v>2134</v>
      </c>
      <c r="C471" s="83">
        <v>2</v>
      </c>
      <c r="D471" s="110">
        <v>0.0008639526765155107</v>
      </c>
      <c r="E471" s="110">
        <v>1.4953215916687728</v>
      </c>
      <c r="F471" s="83" t="s">
        <v>2087</v>
      </c>
      <c r="G471" s="83" t="b">
        <v>0</v>
      </c>
      <c r="H471" s="83" t="b">
        <v>0</v>
      </c>
      <c r="I471" s="83" t="b">
        <v>0</v>
      </c>
      <c r="J471" s="83" t="b">
        <v>0</v>
      </c>
      <c r="K471" s="83" t="b">
        <v>0</v>
      </c>
      <c r="L471" s="83" t="b">
        <v>0</v>
      </c>
    </row>
    <row r="472" spans="1:12" ht="15">
      <c r="A472" s="84" t="s">
        <v>2282</v>
      </c>
      <c r="B472" s="83" t="s">
        <v>2722</v>
      </c>
      <c r="C472" s="83">
        <v>2</v>
      </c>
      <c r="D472" s="110">
        <v>0.0009720230393458755</v>
      </c>
      <c r="E472" s="110">
        <v>2.750594096772079</v>
      </c>
      <c r="F472" s="83" t="s">
        <v>2087</v>
      </c>
      <c r="G472" s="83" t="b">
        <v>0</v>
      </c>
      <c r="H472" s="83" t="b">
        <v>1</v>
      </c>
      <c r="I472" s="83" t="b">
        <v>0</v>
      </c>
      <c r="J472" s="83" t="b">
        <v>1</v>
      </c>
      <c r="K472" s="83" t="b">
        <v>0</v>
      </c>
      <c r="L472" s="83" t="b">
        <v>0</v>
      </c>
    </row>
    <row r="473" spans="1:12" ht="15">
      <c r="A473" s="84" t="s">
        <v>2129</v>
      </c>
      <c r="B473" s="83" t="s">
        <v>2283</v>
      </c>
      <c r="C473" s="83">
        <v>2</v>
      </c>
      <c r="D473" s="110">
        <v>0.0009720230393458755</v>
      </c>
      <c r="E473" s="110">
        <v>1.2416904694850541</v>
      </c>
      <c r="F473" s="83" t="s">
        <v>2087</v>
      </c>
      <c r="G473" s="83" t="b">
        <v>0</v>
      </c>
      <c r="H473" s="83" t="b">
        <v>0</v>
      </c>
      <c r="I473" s="83" t="b">
        <v>0</v>
      </c>
      <c r="J473" s="83" t="b">
        <v>0</v>
      </c>
      <c r="K473" s="83" t="b">
        <v>1</v>
      </c>
      <c r="L473" s="83" t="b">
        <v>0</v>
      </c>
    </row>
    <row r="474" spans="1:12" ht="15">
      <c r="A474" s="84" t="s">
        <v>2165</v>
      </c>
      <c r="B474" s="83" t="s">
        <v>2129</v>
      </c>
      <c r="C474" s="83">
        <v>2</v>
      </c>
      <c r="D474" s="110">
        <v>0.0008639526765155107</v>
      </c>
      <c r="E474" s="110">
        <v>0.9921869045841923</v>
      </c>
      <c r="F474" s="83" t="s">
        <v>2087</v>
      </c>
      <c r="G474" s="83" t="b">
        <v>0</v>
      </c>
      <c r="H474" s="83" t="b">
        <v>0</v>
      </c>
      <c r="I474" s="83" t="b">
        <v>0</v>
      </c>
      <c r="J474" s="83" t="b">
        <v>0</v>
      </c>
      <c r="K474" s="83" t="b">
        <v>0</v>
      </c>
      <c r="L474" s="83" t="b">
        <v>0</v>
      </c>
    </row>
    <row r="475" spans="1:12" ht="15">
      <c r="A475" s="84" t="s">
        <v>2129</v>
      </c>
      <c r="B475" s="83" t="s">
        <v>2476</v>
      </c>
      <c r="C475" s="83">
        <v>2</v>
      </c>
      <c r="D475" s="110">
        <v>0.0008639526765155107</v>
      </c>
      <c r="E475" s="110">
        <v>1.4847285181713485</v>
      </c>
      <c r="F475" s="83" t="s">
        <v>2087</v>
      </c>
      <c r="G475" s="83" t="b">
        <v>0</v>
      </c>
      <c r="H475" s="83" t="b">
        <v>0</v>
      </c>
      <c r="I475" s="83" t="b">
        <v>0</v>
      </c>
      <c r="J475" s="83" t="b">
        <v>0</v>
      </c>
      <c r="K475" s="83" t="b">
        <v>0</v>
      </c>
      <c r="L475" s="83" t="b">
        <v>0</v>
      </c>
    </row>
    <row r="476" spans="1:12" ht="15">
      <c r="A476" s="84" t="s">
        <v>2476</v>
      </c>
      <c r="B476" s="83" t="s">
        <v>2129</v>
      </c>
      <c r="C476" s="83">
        <v>2</v>
      </c>
      <c r="D476" s="110">
        <v>0.0008639526765155107</v>
      </c>
      <c r="E476" s="110">
        <v>1.5942468959121547</v>
      </c>
      <c r="F476" s="83" t="s">
        <v>2087</v>
      </c>
      <c r="G476" s="83" t="b">
        <v>0</v>
      </c>
      <c r="H476" s="83" t="b">
        <v>0</v>
      </c>
      <c r="I476" s="83" t="b">
        <v>0</v>
      </c>
      <c r="J476" s="83" t="b">
        <v>0</v>
      </c>
      <c r="K476" s="83" t="b">
        <v>0</v>
      </c>
      <c r="L476" s="83" t="b">
        <v>0</v>
      </c>
    </row>
    <row r="477" spans="1:12" ht="15">
      <c r="A477" s="84" t="s">
        <v>3142</v>
      </c>
      <c r="B477" s="83" t="s">
        <v>2313</v>
      </c>
      <c r="C477" s="83">
        <v>2</v>
      </c>
      <c r="D477" s="110">
        <v>0.0008639526765155107</v>
      </c>
      <c r="E477" s="110">
        <v>2.92668535582776</v>
      </c>
      <c r="F477" s="83" t="s">
        <v>2087</v>
      </c>
      <c r="G477" s="83" t="b">
        <v>0</v>
      </c>
      <c r="H477" s="83" t="b">
        <v>0</v>
      </c>
      <c r="I477" s="83" t="b">
        <v>0</v>
      </c>
      <c r="J477" s="83" t="b">
        <v>0</v>
      </c>
      <c r="K477" s="83" t="b">
        <v>0</v>
      </c>
      <c r="L477" s="83" t="b">
        <v>0</v>
      </c>
    </row>
    <row r="478" spans="1:12" ht="15">
      <c r="A478" s="84" t="s">
        <v>2724</v>
      </c>
      <c r="B478" s="83" t="s">
        <v>2715</v>
      </c>
      <c r="C478" s="83">
        <v>2</v>
      </c>
      <c r="D478" s="110">
        <v>0.0008639526765155107</v>
      </c>
      <c r="E478" s="110">
        <v>3.2277153514917414</v>
      </c>
      <c r="F478" s="83" t="s">
        <v>2087</v>
      </c>
      <c r="G478" s="83" t="b">
        <v>0</v>
      </c>
      <c r="H478" s="83" t="b">
        <v>0</v>
      </c>
      <c r="I478" s="83" t="b">
        <v>0</v>
      </c>
      <c r="J478" s="83" t="b">
        <v>0</v>
      </c>
      <c r="K478" s="83" t="b">
        <v>0</v>
      </c>
      <c r="L478" s="83" t="b">
        <v>0</v>
      </c>
    </row>
    <row r="479" spans="1:12" ht="15">
      <c r="A479" s="84" t="s">
        <v>2536</v>
      </c>
      <c r="B479" s="83" t="s">
        <v>2309</v>
      </c>
      <c r="C479" s="83">
        <v>2</v>
      </c>
      <c r="D479" s="110">
        <v>0.0008639526765155107</v>
      </c>
      <c r="E479" s="110">
        <v>2.625655360163779</v>
      </c>
      <c r="F479" s="83" t="s">
        <v>2087</v>
      </c>
      <c r="G479" s="83" t="b">
        <v>0</v>
      </c>
      <c r="H479" s="83" t="b">
        <v>1</v>
      </c>
      <c r="I479" s="83" t="b">
        <v>0</v>
      </c>
      <c r="J479" s="83" t="b">
        <v>0</v>
      </c>
      <c r="K479" s="83" t="b">
        <v>0</v>
      </c>
      <c r="L479" s="83" t="b">
        <v>0</v>
      </c>
    </row>
    <row r="480" spans="1:12" ht="15">
      <c r="A480" s="84" t="s">
        <v>2536</v>
      </c>
      <c r="B480" s="83" t="s">
        <v>2150</v>
      </c>
      <c r="C480" s="83">
        <v>2</v>
      </c>
      <c r="D480" s="110">
        <v>0.0009720230393458755</v>
      </c>
      <c r="E480" s="110">
        <v>2.1996866278914977</v>
      </c>
      <c r="F480" s="83" t="s">
        <v>2087</v>
      </c>
      <c r="G480" s="83" t="b">
        <v>0</v>
      </c>
      <c r="H480" s="83" t="b">
        <v>1</v>
      </c>
      <c r="I480" s="83" t="b">
        <v>0</v>
      </c>
      <c r="J480" s="83" t="b">
        <v>0</v>
      </c>
      <c r="K480" s="83" t="b">
        <v>0</v>
      </c>
      <c r="L480" s="83" t="b">
        <v>0</v>
      </c>
    </row>
    <row r="481" spans="1:12" ht="15">
      <c r="A481" s="84" t="s">
        <v>2132</v>
      </c>
      <c r="B481" s="83" t="s">
        <v>2426</v>
      </c>
      <c r="C481" s="83">
        <v>2</v>
      </c>
      <c r="D481" s="110">
        <v>0.0009720230393458755</v>
      </c>
      <c r="E481" s="110">
        <v>1.6962364344494862</v>
      </c>
      <c r="F481" s="83" t="s">
        <v>2087</v>
      </c>
      <c r="G481" s="83" t="b">
        <v>0</v>
      </c>
      <c r="H481" s="83" t="b">
        <v>0</v>
      </c>
      <c r="I481" s="83" t="b">
        <v>0</v>
      </c>
      <c r="J481" s="83" t="b">
        <v>0</v>
      </c>
      <c r="K481" s="83" t="b">
        <v>0</v>
      </c>
      <c r="L481" s="83" t="b">
        <v>0</v>
      </c>
    </row>
    <row r="482" spans="1:12" ht="15">
      <c r="A482" s="84" t="s">
        <v>2148</v>
      </c>
      <c r="B482" s="83" t="s">
        <v>2712</v>
      </c>
      <c r="C482" s="83">
        <v>2</v>
      </c>
      <c r="D482" s="110">
        <v>0.0008639526765155107</v>
      </c>
      <c r="E482" s="110">
        <v>2.750594096772079</v>
      </c>
      <c r="F482" s="83" t="s">
        <v>2087</v>
      </c>
      <c r="G482" s="83" t="b">
        <v>0</v>
      </c>
      <c r="H482" s="83" t="b">
        <v>0</v>
      </c>
      <c r="I482" s="83" t="b">
        <v>0</v>
      </c>
      <c r="J482" s="83" t="b">
        <v>0</v>
      </c>
      <c r="K482" s="83" t="b">
        <v>0</v>
      </c>
      <c r="L482" s="83" t="b">
        <v>0</v>
      </c>
    </row>
    <row r="483" spans="1:12" ht="15">
      <c r="A483" s="84" t="s">
        <v>2451</v>
      </c>
      <c r="B483" s="83" t="s">
        <v>2138</v>
      </c>
      <c r="C483" s="83">
        <v>2</v>
      </c>
      <c r="D483" s="110">
        <v>0.0008639526765155107</v>
      </c>
      <c r="E483" s="110">
        <v>1.8475041097801352</v>
      </c>
      <c r="F483" s="83" t="s">
        <v>2087</v>
      </c>
      <c r="G483" s="83" t="b">
        <v>1</v>
      </c>
      <c r="H483" s="83" t="b">
        <v>0</v>
      </c>
      <c r="I483" s="83" t="b">
        <v>0</v>
      </c>
      <c r="J483" s="83" t="b">
        <v>0</v>
      </c>
      <c r="K483" s="83" t="b">
        <v>0</v>
      </c>
      <c r="L483" s="83" t="b">
        <v>0</v>
      </c>
    </row>
    <row r="484" spans="1:12" ht="15">
      <c r="A484" s="84" t="s">
        <v>2519</v>
      </c>
      <c r="B484" s="83" t="s">
        <v>3147</v>
      </c>
      <c r="C484" s="83">
        <v>2</v>
      </c>
      <c r="D484" s="110">
        <v>0.0008639526765155107</v>
      </c>
      <c r="E484" s="110">
        <v>3.1027766148834415</v>
      </c>
      <c r="F484" s="83" t="s">
        <v>2087</v>
      </c>
      <c r="G484" s="83" t="b">
        <v>0</v>
      </c>
      <c r="H484" s="83" t="b">
        <v>0</v>
      </c>
      <c r="I484" s="83" t="b">
        <v>0</v>
      </c>
      <c r="J484" s="83" t="b">
        <v>0</v>
      </c>
      <c r="K484" s="83" t="b">
        <v>0</v>
      </c>
      <c r="L484" s="83" t="b">
        <v>0</v>
      </c>
    </row>
    <row r="485" spans="1:12" ht="15">
      <c r="A485" s="84" t="s">
        <v>2132</v>
      </c>
      <c r="B485" s="83" t="s">
        <v>2348</v>
      </c>
      <c r="C485" s="83">
        <v>2</v>
      </c>
      <c r="D485" s="110">
        <v>0.0009720230393458755</v>
      </c>
      <c r="E485" s="110">
        <v>1.520145175393805</v>
      </c>
      <c r="F485" s="83" t="s">
        <v>2087</v>
      </c>
      <c r="G485" s="83" t="b">
        <v>0</v>
      </c>
      <c r="H485" s="83" t="b">
        <v>0</v>
      </c>
      <c r="I485" s="83" t="b">
        <v>0</v>
      </c>
      <c r="J485" s="83" t="b">
        <v>1</v>
      </c>
      <c r="K485" s="83" t="b">
        <v>0</v>
      </c>
      <c r="L485" s="83" t="b">
        <v>0</v>
      </c>
    </row>
    <row r="486" spans="1:12" ht="15">
      <c r="A486" s="84" t="s">
        <v>2221</v>
      </c>
      <c r="B486" s="83" t="s">
        <v>2132</v>
      </c>
      <c r="C486" s="83">
        <v>2</v>
      </c>
      <c r="D486" s="110">
        <v>0.0009720230393458755</v>
      </c>
      <c r="E486" s="110">
        <v>1.6167005175108524</v>
      </c>
      <c r="F486" s="83" t="s">
        <v>2087</v>
      </c>
      <c r="G486" s="83" t="b">
        <v>0</v>
      </c>
      <c r="H486" s="83" t="b">
        <v>0</v>
      </c>
      <c r="I486" s="83" t="b">
        <v>0</v>
      </c>
      <c r="J486" s="83" t="b">
        <v>0</v>
      </c>
      <c r="K486" s="83" t="b">
        <v>0</v>
      </c>
      <c r="L486" s="83" t="b">
        <v>0</v>
      </c>
    </row>
    <row r="487" spans="1:12" ht="15">
      <c r="A487" s="84" t="s">
        <v>2294</v>
      </c>
      <c r="B487" s="83" t="s">
        <v>2531</v>
      </c>
      <c r="C487" s="83">
        <v>2</v>
      </c>
      <c r="D487" s="110">
        <v>0.0009720230393458755</v>
      </c>
      <c r="E487" s="110">
        <v>2.558708570533166</v>
      </c>
      <c r="F487" s="83" t="s">
        <v>2087</v>
      </c>
      <c r="G487" s="83" t="b">
        <v>0</v>
      </c>
      <c r="H487" s="83" t="b">
        <v>0</v>
      </c>
      <c r="I487" s="83" t="b">
        <v>0</v>
      </c>
      <c r="J487" s="83" t="b">
        <v>0</v>
      </c>
      <c r="K487" s="83" t="b">
        <v>0</v>
      </c>
      <c r="L487" s="83" t="b">
        <v>0</v>
      </c>
    </row>
    <row r="488" spans="1:12" ht="15">
      <c r="A488" s="84" t="s">
        <v>3159</v>
      </c>
      <c r="B488" s="83" t="s">
        <v>2181</v>
      </c>
      <c r="C488" s="83">
        <v>2</v>
      </c>
      <c r="D488" s="110">
        <v>0.0009720230393458755</v>
      </c>
      <c r="E488" s="110">
        <v>2.5287453471557226</v>
      </c>
      <c r="F488" s="83" t="s">
        <v>2087</v>
      </c>
      <c r="G488" s="83" t="b">
        <v>0</v>
      </c>
      <c r="H488" s="83" t="b">
        <v>0</v>
      </c>
      <c r="I488" s="83" t="b">
        <v>0</v>
      </c>
      <c r="J488" s="83" t="b">
        <v>0</v>
      </c>
      <c r="K488" s="83" t="b">
        <v>0</v>
      </c>
      <c r="L488" s="83" t="b">
        <v>0</v>
      </c>
    </row>
    <row r="489" spans="1:12" ht="15">
      <c r="A489" s="84" t="s">
        <v>2720</v>
      </c>
      <c r="B489" s="83" t="s">
        <v>2294</v>
      </c>
      <c r="C489" s="83">
        <v>2</v>
      </c>
      <c r="D489" s="110">
        <v>0.0009720230393458755</v>
      </c>
      <c r="E489" s="110">
        <v>2.6836473071414657</v>
      </c>
      <c r="F489" s="83" t="s">
        <v>2087</v>
      </c>
      <c r="G489" s="83" t="b">
        <v>0</v>
      </c>
      <c r="H489" s="83" t="b">
        <v>0</v>
      </c>
      <c r="I489" s="83" t="b">
        <v>0</v>
      </c>
      <c r="J489" s="83" t="b">
        <v>0</v>
      </c>
      <c r="K489" s="83" t="b">
        <v>0</v>
      </c>
      <c r="L489" s="83" t="b">
        <v>0</v>
      </c>
    </row>
    <row r="490" spans="1:12" ht="15">
      <c r="A490" s="84" t="s">
        <v>2200</v>
      </c>
      <c r="B490" s="83" t="s">
        <v>2174</v>
      </c>
      <c r="C490" s="83">
        <v>2</v>
      </c>
      <c r="D490" s="110">
        <v>0.0008639526765155107</v>
      </c>
      <c r="E490" s="110">
        <v>1.8755328333803787</v>
      </c>
      <c r="F490" s="83" t="s">
        <v>2087</v>
      </c>
      <c r="G490" s="83" t="b">
        <v>0</v>
      </c>
      <c r="H490" s="83" t="b">
        <v>0</v>
      </c>
      <c r="I490" s="83" t="b">
        <v>0</v>
      </c>
      <c r="J490" s="83" t="b">
        <v>0</v>
      </c>
      <c r="K490" s="83" t="b">
        <v>0</v>
      </c>
      <c r="L490" s="83" t="b">
        <v>0</v>
      </c>
    </row>
    <row r="491" spans="1:12" ht="15">
      <c r="A491" s="84" t="s">
        <v>2180</v>
      </c>
      <c r="B491" s="83" t="s">
        <v>2187</v>
      </c>
      <c r="C491" s="83">
        <v>2</v>
      </c>
      <c r="D491" s="110">
        <v>0.0008639526765155107</v>
      </c>
      <c r="E491" s="110">
        <v>1.8505305644103232</v>
      </c>
      <c r="F491" s="83" t="s">
        <v>2087</v>
      </c>
      <c r="G491" s="83" t="b">
        <v>0</v>
      </c>
      <c r="H491" s="83" t="b">
        <v>0</v>
      </c>
      <c r="I491" s="83" t="b">
        <v>0</v>
      </c>
      <c r="J491" s="83" t="b">
        <v>0</v>
      </c>
      <c r="K491" s="83" t="b">
        <v>1</v>
      </c>
      <c r="L491" s="83" t="b">
        <v>0</v>
      </c>
    </row>
    <row r="492" spans="1:12" ht="15">
      <c r="A492" s="84" t="s">
        <v>2160</v>
      </c>
      <c r="B492" s="83" t="s">
        <v>2174</v>
      </c>
      <c r="C492" s="83">
        <v>2</v>
      </c>
      <c r="D492" s="110">
        <v>0.0008639526765155107</v>
      </c>
      <c r="E492" s="110">
        <v>1.6536840837640225</v>
      </c>
      <c r="F492" s="83" t="s">
        <v>2087</v>
      </c>
      <c r="G492" s="83" t="b">
        <v>0</v>
      </c>
      <c r="H492" s="83" t="b">
        <v>0</v>
      </c>
      <c r="I492" s="83" t="b">
        <v>0</v>
      </c>
      <c r="J492" s="83" t="b">
        <v>0</v>
      </c>
      <c r="K492" s="83" t="b">
        <v>0</v>
      </c>
      <c r="L492" s="83" t="b">
        <v>0</v>
      </c>
    </row>
    <row r="493" spans="1:12" ht="15">
      <c r="A493" s="84" t="s">
        <v>2174</v>
      </c>
      <c r="B493" s="83" t="s">
        <v>2215</v>
      </c>
      <c r="C493" s="83">
        <v>2</v>
      </c>
      <c r="D493" s="110">
        <v>0.0008639526765155107</v>
      </c>
      <c r="E493" s="110">
        <v>2.0235953688358164</v>
      </c>
      <c r="F493" s="83" t="s">
        <v>2087</v>
      </c>
      <c r="G493" s="83" t="b">
        <v>0</v>
      </c>
      <c r="H493" s="83" t="b">
        <v>0</v>
      </c>
      <c r="I493" s="83" t="b">
        <v>0</v>
      </c>
      <c r="J493" s="83" t="b">
        <v>0</v>
      </c>
      <c r="K493" s="83" t="b">
        <v>0</v>
      </c>
      <c r="L493" s="83" t="b">
        <v>0</v>
      </c>
    </row>
    <row r="494" spans="1:12" ht="15">
      <c r="A494" s="84" t="s">
        <v>3166</v>
      </c>
      <c r="B494" s="83" t="s">
        <v>2187</v>
      </c>
      <c r="C494" s="83">
        <v>2</v>
      </c>
      <c r="D494" s="110">
        <v>0.0008639526765155107</v>
      </c>
      <c r="E494" s="110">
        <v>2.590893253904567</v>
      </c>
      <c r="F494" s="83" t="s">
        <v>2087</v>
      </c>
      <c r="G494" s="83" t="b">
        <v>0</v>
      </c>
      <c r="H494" s="83" t="b">
        <v>1</v>
      </c>
      <c r="I494" s="83" t="b">
        <v>0</v>
      </c>
      <c r="J494" s="83" t="b">
        <v>0</v>
      </c>
      <c r="K494" s="83" t="b">
        <v>1</v>
      </c>
      <c r="L494" s="83" t="b">
        <v>0</v>
      </c>
    </row>
    <row r="495" spans="1:12" ht="15">
      <c r="A495" s="84" t="s">
        <v>2184</v>
      </c>
      <c r="B495" s="83" t="s">
        <v>2168</v>
      </c>
      <c r="C495" s="83">
        <v>4</v>
      </c>
      <c r="D495" s="110">
        <v>0.008472462393011257</v>
      </c>
      <c r="E495" s="110">
        <v>1.0888173350863632</v>
      </c>
      <c r="F495" s="83" t="s">
        <v>2088</v>
      </c>
      <c r="G495" s="83" t="b">
        <v>0</v>
      </c>
      <c r="H495" s="83" t="b">
        <v>0</v>
      </c>
      <c r="I495" s="83" t="b">
        <v>0</v>
      </c>
      <c r="J495" s="83" t="b">
        <v>0</v>
      </c>
      <c r="K495" s="83" t="b">
        <v>0</v>
      </c>
      <c r="L495" s="83" t="b">
        <v>0</v>
      </c>
    </row>
    <row r="496" spans="1:12" ht="15">
      <c r="A496" s="84" t="s">
        <v>2176</v>
      </c>
      <c r="B496" s="83" t="s">
        <v>2159</v>
      </c>
      <c r="C496" s="83">
        <v>3</v>
      </c>
      <c r="D496" s="110">
        <v>0.011666640835887523</v>
      </c>
      <c r="E496" s="110">
        <v>1.3276994240014999</v>
      </c>
      <c r="F496" s="83" t="s">
        <v>2088</v>
      </c>
      <c r="G496" s="83" t="b">
        <v>0</v>
      </c>
      <c r="H496" s="83" t="b">
        <v>0</v>
      </c>
      <c r="I496" s="83" t="b">
        <v>0</v>
      </c>
      <c r="J496" s="83" t="b">
        <v>0</v>
      </c>
      <c r="K496" s="83" t="b">
        <v>0</v>
      </c>
      <c r="L496" s="83" t="b">
        <v>0</v>
      </c>
    </row>
    <row r="497" spans="1:12" ht="15">
      <c r="A497" s="84" t="s">
        <v>2168</v>
      </c>
      <c r="B497" s="83" t="s">
        <v>2213</v>
      </c>
      <c r="C497" s="83">
        <v>2</v>
      </c>
      <c r="D497" s="110">
        <v>0.006006995876881988</v>
      </c>
      <c r="E497" s="110">
        <v>1.2137560716946632</v>
      </c>
      <c r="F497" s="83" t="s">
        <v>2088</v>
      </c>
      <c r="G497" s="83" t="b">
        <v>0</v>
      </c>
      <c r="H497" s="83" t="b">
        <v>0</v>
      </c>
      <c r="I497" s="83" t="b">
        <v>0</v>
      </c>
      <c r="J497" s="83" t="b">
        <v>0</v>
      </c>
      <c r="K497" s="83" t="b">
        <v>0</v>
      </c>
      <c r="L497" s="83" t="b">
        <v>0</v>
      </c>
    </row>
    <row r="498" spans="1:12" ht="15">
      <c r="A498" s="84" t="s">
        <v>2179</v>
      </c>
      <c r="B498" s="83" t="s">
        <v>2168</v>
      </c>
      <c r="C498" s="83">
        <v>2</v>
      </c>
      <c r="D498" s="110">
        <v>0.006006995876881988</v>
      </c>
      <c r="E498" s="110">
        <v>1.0888173350863632</v>
      </c>
      <c r="F498" s="83" t="s">
        <v>2088</v>
      </c>
      <c r="G498" s="83" t="b">
        <v>0</v>
      </c>
      <c r="H498" s="83" t="b">
        <v>0</v>
      </c>
      <c r="I498" s="83" t="b">
        <v>0</v>
      </c>
      <c r="J498" s="83" t="b">
        <v>0</v>
      </c>
      <c r="K498" s="83" t="b">
        <v>0</v>
      </c>
      <c r="L498" s="83" t="b">
        <v>0</v>
      </c>
    </row>
    <row r="499" spans="1:12" ht="15">
      <c r="A499" s="84" t="s">
        <v>2310</v>
      </c>
      <c r="B499" s="83" t="s">
        <v>2221</v>
      </c>
      <c r="C499" s="83">
        <v>2</v>
      </c>
      <c r="D499" s="110">
        <v>0.007777760557258349</v>
      </c>
      <c r="E499" s="110">
        <v>2.2027606873931997</v>
      </c>
      <c r="F499" s="83" t="s">
        <v>2088</v>
      </c>
      <c r="G499" s="83" t="b">
        <v>0</v>
      </c>
      <c r="H499" s="83" t="b">
        <v>0</v>
      </c>
      <c r="I499" s="83" t="b">
        <v>0</v>
      </c>
      <c r="J499" s="83" t="b">
        <v>0</v>
      </c>
      <c r="K499" s="83" t="b">
        <v>0</v>
      </c>
      <c r="L499" s="83" t="b">
        <v>0</v>
      </c>
    </row>
    <row r="500" spans="1:12" ht="15">
      <c r="A500" s="84" t="s">
        <v>2133</v>
      </c>
      <c r="B500" s="83" t="s">
        <v>2148</v>
      </c>
      <c r="C500" s="83">
        <v>2</v>
      </c>
      <c r="D500" s="110">
        <v>0.007777760557258349</v>
      </c>
      <c r="E500" s="110">
        <v>0.8225494456815939</v>
      </c>
      <c r="F500" s="83" t="s">
        <v>2088</v>
      </c>
      <c r="G500" s="83" t="b">
        <v>0</v>
      </c>
      <c r="H500" s="83" t="b">
        <v>0</v>
      </c>
      <c r="I500" s="83" t="b">
        <v>0</v>
      </c>
      <c r="J500" s="83" t="b">
        <v>0</v>
      </c>
      <c r="K500" s="83" t="b">
        <v>0</v>
      </c>
      <c r="L500" s="83" t="b">
        <v>0</v>
      </c>
    </row>
    <row r="501" spans="1:12" ht="15">
      <c r="A501" s="84" t="s">
        <v>2133</v>
      </c>
      <c r="B501" s="83" t="s">
        <v>2365</v>
      </c>
      <c r="C501" s="83">
        <v>2</v>
      </c>
      <c r="D501" s="110">
        <v>0.006006995876881988</v>
      </c>
      <c r="E501" s="110">
        <v>1.4246094370095563</v>
      </c>
      <c r="F501" s="83" t="s">
        <v>2088</v>
      </c>
      <c r="G501" s="83" t="b">
        <v>0</v>
      </c>
      <c r="H501" s="83" t="b">
        <v>0</v>
      </c>
      <c r="I501" s="83" t="b">
        <v>0</v>
      </c>
      <c r="J501" s="83" t="b">
        <v>0</v>
      </c>
      <c r="K501" s="83" t="b">
        <v>0</v>
      </c>
      <c r="L501" s="83" t="b">
        <v>0</v>
      </c>
    </row>
    <row r="502" spans="1:12" ht="15">
      <c r="A502" s="84" t="s">
        <v>2130</v>
      </c>
      <c r="B502" s="83" t="s">
        <v>2168</v>
      </c>
      <c r="C502" s="83">
        <v>2</v>
      </c>
      <c r="D502" s="110">
        <v>0.006006995876881988</v>
      </c>
      <c r="E502" s="110">
        <v>0.7366348169750007</v>
      </c>
      <c r="F502" s="83" t="s">
        <v>2088</v>
      </c>
      <c r="G502" s="83" t="b">
        <v>0</v>
      </c>
      <c r="H502" s="83" t="b">
        <v>0</v>
      </c>
      <c r="I502" s="83" t="b">
        <v>0</v>
      </c>
      <c r="J502" s="83" t="b">
        <v>0</v>
      </c>
      <c r="K502" s="83" t="b">
        <v>0</v>
      </c>
      <c r="L502" s="83" t="b">
        <v>0</v>
      </c>
    </row>
    <row r="503" spans="1:12" ht="15">
      <c r="A503" s="84" t="s">
        <v>2159</v>
      </c>
      <c r="B503" s="83" t="s">
        <v>2262</v>
      </c>
      <c r="C503" s="83">
        <v>2</v>
      </c>
      <c r="D503" s="110">
        <v>0.007777760557258349</v>
      </c>
      <c r="E503" s="110">
        <v>0.9474881822898938</v>
      </c>
      <c r="F503" s="83" t="s">
        <v>2088</v>
      </c>
      <c r="G503" s="83" t="b">
        <v>0</v>
      </c>
      <c r="H503" s="83" t="b">
        <v>0</v>
      </c>
      <c r="I503" s="83" t="b">
        <v>0</v>
      </c>
      <c r="J503" s="83" t="b">
        <v>0</v>
      </c>
      <c r="K503" s="83" t="b">
        <v>0</v>
      </c>
      <c r="L503" s="83" t="b">
        <v>0</v>
      </c>
    </row>
    <row r="504" spans="1:12" ht="15">
      <c r="A504" s="84" t="s">
        <v>2176</v>
      </c>
      <c r="B504" s="83" t="s">
        <v>2262</v>
      </c>
      <c r="C504" s="83">
        <v>2</v>
      </c>
      <c r="D504" s="110">
        <v>0.007777760557258349</v>
      </c>
      <c r="E504" s="110">
        <v>1.2027606873932</v>
      </c>
      <c r="F504" s="83" t="s">
        <v>2088</v>
      </c>
      <c r="G504" s="83" t="b">
        <v>0</v>
      </c>
      <c r="H504" s="83" t="b">
        <v>0</v>
      </c>
      <c r="I504" s="83" t="b">
        <v>0</v>
      </c>
      <c r="J504" s="83" t="b">
        <v>0</v>
      </c>
      <c r="K504" s="83" t="b">
        <v>0</v>
      </c>
      <c r="L504" s="83" t="b">
        <v>0</v>
      </c>
    </row>
    <row r="505" spans="1:12" ht="15">
      <c r="A505" s="84" t="s">
        <v>2262</v>
      </c>
      <c r="B505" s="83" t="s">
        <v>2410</v>
      </c>
      <c r="C505" s="83">
        <v>2</v>
      </c>
      <c r="D505" s="110">
        <v>0.006006995876881988</v>
      </c>
      <c r="E505" s="110">
        <v>1.4246094370095563</v>
      </c>
      <c r="F505" s="83" t="s">
        <v>2088</v>
      </c>
      <c r="G505" s="83" t="b">
        <v>0</v>
      </c>
      <c r="H505" s="83" t="b">
        <v>0</v>
      </c>
      <c r="I505" s="83" t="b">
        <v>0</v>
      </c>
      <c r="J505" s="83" t="b">
        <v>0</v>
      </c>
      <c r="K505" s="83" t="b">
        <v>0</v>
      </c>
      <c r="L505" s="83" t="b">
        <v>0</v>
      </c>
    </row>
    <row r="506" spans="1:12" ht="15">
      <c r="A506" s="84" t="s">
        <v>2410</v>
      </c>
      <c r="B506" s="83" t="s">
        <v>2159</v>
      </c>
      <c r="C506" s="83">
        <v>2</v>
      </c>
      <c r="D506" s="110">
        <v>0.006006995876881988</v>
      </c>
      <c r="E506" s="110">
        <v>1.373456914562175</v>
      </c>
      <c r="F506" s="83" t="s">
        <v>2088</v>
      </c>
      <c r="G506" s="83" t="b">
        <v>0</v>
      </c>
      <c r="H506" s="83" t="b">
        <v>0</v>
      </c>
      <c r="I506" s="83" t="b">
        <v>0</v>
      </c>
      <c r="J506" s="83" t="b">
        <v>0</v>
      </c>
      <c r="K506" s="83" t="b">
        <v>0</v>
      </c>
      <c r="L506" s="83" t="b">
        <v>0</v>
      </c>
    </row>
    <row r="507" spans="1:12" ht="15">
      <c r="A507" s="84" t="s">
        <v>2962</v>
      </c>
      <c r="B507" s="83" t="s">
        <v>2289</v>
      </c>
      <c r="C507" s="83">
        <v>2</v>
      </c>
      <c r="D507" s="110">
        <v>0.007777760557258349</v>
      </c>
      <c r="E507" s="110">
        <v>2.2027606873931997</v>
      </c>
      <c r="F507" s="83" t="s">
        <v>2088</v>
      </c>
      <c r="G507" s="83" t="b">
        <v>0</v>
      </c>
      <c r="H507" s="83" t="b">
        <v>0</v>
      </c>
      <c r="I507" s="83" t="b">
        <v>0</v>
      </c>
      <c r="J507" s="83" t="b">
        <v>1</v>
      </c>
      <c r="K507" s="83" t="b">
        <v>0</v>
      </c>
      <c r="L507" s="83" t="b">
        <v>0</v>
      </c>
    </row>
    <row r="508" spans="1:12" ht="15">
      <c r="A508" s="84" t="s">
        <v>2414</v>
      </c>
      <c r="B508" s="83" t="s">
        <v>2173</v>
      </c>
      <c r="C508" s="83">
        <v>4</v>
      </c>
      <c r="D508" s="110">
        <v>0.011805097869175734</v>
      </c>
      <c r="E508" s="110">
        <v>1.8603380065709938</v>
      </c>
      <c r="F508" s="83" t="s">
        <v>2089</v>
      </c>
      <c r="G508" s="83" t="b">
        <v>0</v>
      </c>
      <c r="H508" s="83" t="b">
        <v>0</v>
      </c>
      <c r="I508" s="83" t="b">
        <v>0</v>
      </c>
      <c r="J508" s="83" t="b">
        <v>0</v>
      </c>
      <c r="K508" s="83" t="b">
        <v>0</v>
      </c>
      <c r="L508" s="83" t="b">
        <v>0</v>
      </c>
    </row>
    <row r="509" spans="1:12" ht="15">
      <c r="A509" s="84" t="s">
        <v>2218</v>
      </c>
      <c r="B509" s="83" t="s">
        <v>2343</v>
      </c>
      <c r="C509" s="83">
        <v>4</v>
      </c>
      <c r="D509" s="110">
        <v>0.011805097869175734</v>
      </c>
      <c r="E509" s="110">
        <v>1.441208698829018</v>
      </c>
      <c r="F509" s="83" t="s">
        <v>2089</v>
      </c>
      <c r="G509" s="83" t="b">
        <v>0</v>
      </c>
      <c r="H509" s="83" t="b">
        <v>0</v>
      </c>
      <c r="I509" s="83" t="b">
        <v>0</v>
      </c>
      <c r="J509" s="83" t="b">
        <v>0</v>
      </c>
      <c r="K509" s="83" t="b">
        <v>0</v>
      </c>
      <c r="L509" s="83" t="b">
        <v>0</v>
      </c>
    </row>
    <row r="510" spans="1:12" ht="15">
      <c r="A510" s="84" t="s">
        <v>2509</v>
      </c>
      <c r="B510" s="83" t="s">
        <v>2344</v>
      </c>
      <c r="C510" s="83">
        <v>4</v>
      </c>
      <c r="D510" s="110">
        <v>0.011805097869175734</v>
      </c>
      <c r="E510" s="110">
        <v>1.8603380065709938</v>
      </c>
      <c r="F510" s="83" t="s">
        <v>2089</v>
      </c>
      <c r="G510" s="83" t="b">
        <v>0</v>
      </c>
      <c r="H510" s="83" t="b">
        <v>0</v>
      </c>
      <c r="I510" s="83" t="b">
        <v>0</v>
      </c>
      <c r="J510" s="83" t="b">
        <v>0</v>
      </c>
      <c r="K510" s="83" t="b">
        <v>0</v>
      </c>
      <c r="L510" s="83" t="b">
        <v>0</v>
      </c>
    </row>
    <row r="511" spans="1:12" ht="15">
      <c r="A511" s="84" t="s">
        <v>2329</v>
      </c>
      <c r="B511" s="83" t="s">
        <v>2234</v>
      </c>
      <c r="C511" s="83">
        <v>3</v>
      </c>
      <c r="D511" s="110">
        <v>0.008853823401881799</v>
      </c>
      <c r="E511" s="110">
        <v>1.9852767431792937</v>
      </c>
      <c r="F511" s="83" t="s">
        <v>2089</v>
      </c>
      <c r="G511" s="83" t="b">
        <v>0</v>
      </c>
      <c r="H511" s="83" t="b">
        <v>0</v>
      </c>
      <c r="I511" s="83" t="b">
        <v>0</v>
      </c>
      <c r="J511" s="83" t="b">
        <v>0</v>
      </c>
      <c r="K511" s="83" t="b">
        <v>0</v>
      </c>
      <c r="L511" s="83" t="b">
        <v>0</v>
      </c>
    </row>
    <row r="512" spans="1:12" ht="15">
      <c r="A512" s="84" t="s">
        <v>2967</v>
      </c>
      <c r="B512" s="83" t="s">
        <v>2968</v>
      </c>
      <c r="C512" s="83">
        <v>2</v>
      </c>
      <c r="D512" s="110">
        <v>0.005902548934587867</v>
      </c>
      <c r="E512" s="110">
        <v>2.161368002234975</v>
      </c>
      <c r="F512" s="83" t="s">
        <v>2089</v>
      </c>
      <c r="G512" s="83" t="b">
        <v>0</v>
      </c>
      <c r="H512" s="83" t="b">
        <v>1</v>
      </c>
      <c r="I512" s="83" t="b">
        <v>0</v>
      </c>
      <c r="J512" s="83" t="b">
        <v>0</v>
      </c>
      <c r="K512" s="83" t="b">
        <v>0</v>
      </c>
      <c r="L512" s="83" t="b">
        <v>0</v>
      </c>
    </row>
    <row r="513" spans="1:12" ht="15">
      <c r="A513" s="84" t="s">
        <v>2968</v>
      </c>
      <c r="B513" s="83" t="s">
        <v>2504</v>
      </c>
      <c r="C513" s="83">
        <v>2</v>
      </c>
      <c r="D513" s="110">
        <v>0.005902548934587867</v>
      </c>
      <c r="E513" s="110">
        <v>1.8603380065709938</v>
      </c>
      <c r="F513" s="83" t="s">
        <v>2089</v>
      </c>
      <c r="G513" s="83" t="b">
        <v>0</v>
      </c>
      <c r="H513" s="83" t="b">
        <v>0</v>
      </c>
      <c r="I513" s="83" t="b">
        <v>0</v>
      </c>
      <c r="J513" s="83" t="b">
        <v>0</v>
      </c>
      <c r="K513" s="83" t="b">
        <v>0</v>
      </c>
      <c r="L513" s="83" t="b">
        <v>0</v>
      </c>
    </row>
    <row r="514" spans="1:12" ht="15">
      <c r="A514" s="84" t="s">
        <v>2504</v>
      </c>
      <c r="B514" s="83" t="s">
        <v>2414</v>
      </c>
      <c r="C514" s="83">
        <v>2</v>
      </c>
      <c r="D514" s="110">
        <v>0.005902548934587867</v>
      </c>
      <c r="E514" s="110">
        <v>1.5593080109070125</v>
      </c>
      <c r="F514" s="83" t="s">
        <v>2089</v>
      </c>
      <c r="G514" s="83" t="b">
        <v>0</v>
      </c>
      <c r="H514" s="83" t="b">
        <v>0</v>
      </c>
      <c r="I514" s="83" t="b">
        <v>0</v>
      </c>
      <c r="J514" s="83" t="b">
        <v>0</v>
      </c>
      <c r="K514" s="83" t="b">
        <v>0</v>
      </c>
      <c r="L514" s="83" t="b">
        <v>0</v>
      </c>
    </row>
    <row r="515" spans="1:12" ht="15">
      <c r="A515" s="84" t="s">
        <v>2173</v>
      </c>
      <c r="B515" s="83" t="s">
        <v>2969</v>
      </c>
      <c r="C515" s="83">
        <v>2</v>
      </c>
      <c r="D515" s="110">
        <v>0.005902548934587867</v>
      </c>
      <c r="E515" s="110">
        <v>1.8603380065709938</v>
      </c>
      <c r="F515" s="83" t="s">
        <v>2089</v>
      </c>
      <c r="G515" s="83" t="b">
        <v>0</v>
      </c>
      <c r="H515" s="83" t="b">
        <v>0</v>
      </c>
      <c r="I515" s="83" t="b">
        <v>0</v>
      </c>
      <c r="J515" s="83" t="b">
        <v>0</v>
      </c>
      <c r="K515" s="83" t="b">
        <v>0</v>
      </c>
      <c r="L515" s="83" t="b">
        <v>0</v>
      </c>
    </row>
    <row r="516" spans="1:12" ht="15">
      <c r="A516" s="84" t="s">
        <v>2969</v>
      </c>
      <c r="B516" s="83" t="s">
        <v>2188</v>
      </c>
      <c r="C516" s="83">
        <v>2</v>
      </c>
      <c r="D516" s="110">
        <v>0.005902548934587867</v>
      </c>
      <c r="E516" s="110">
        <v>2.161368002234975</v>
      </c>
      <c r="F516" s="83" t="s">
        <v>2089</v>
      </c>
      <c r="G516" s="83" t="b">
        <v>0</v>
      </c>
      <c r="H516" s="83" t="b">
        <v>0</v>
      </c>
      <c r="I516" s="83" t="b">
        <v>0</v>
      </c>
      <c r="J516" s="83" t="b">
        <v>1</v>
      </c>
      <c r="K516" s="83" t="b">
        <v>0</v>
      </c>
      <c r="L516" s="83" t="b">
        <v>0</v>
      </c>
    </row>
    <row r="517" spans="1:12" ht="15">
      <c r="A517" s="84" t="s">
        <v>2188</v>
      </c>
      <c r="B517" s="83" t="s">
        <v>2392</v>
      </c>
      <c r="C517" s="83">
        <v>2</v>
      </c>
      <c r="D517" s="110">
        <v>0.005902548934587867</v>
      </c>
      <c r="E517" s="110">
        <v>2.161368002234975</v>
      </c>
      <c r="F517" s="83" t="s">
        <v>2089</v>
      </c>
      <c r="G517" s="83" t="b">
        <v>1</v>
      </c>
      <c r="H517" s="83" t="b">
        <v>0</v>
      </c>
      <c r="I517" s="83" t="b">
        <v>0</v>
      </c>
      <c r="J517" s="83" t="b">
        <v>0</v>
      </c>
      <c r="K517" s="83" t="b">
        <v>0</v>
      </c>
      <c r="L517" s="83" t="b">
        <v>0</v>
      </c>
    </row>
    <row r="518" spans="1:12" ht="15">
      <c r="A518" s="84" t="s">
        <v>2392</v>
      </c>
      <c r="B518" s="83" t="s">
        <v>2970</v>
      </c>
      <c r="C518" s="83">
        <v>2</v>
      </c>
      <c r="D518" s="110">
        <v>0.005902548934587867</v>
      </c>
      <c r="E518" s="110">
        <v>2.161368002234975</v>
      </c>
      <c r="F518" s="83" t="s">
        <v>2089</v>
      </c>
      <c r="G518" s="83" t="b">
        <v>0</v>
      </c>
      <c r="H518" s="83" t="b">
        <v>0</v>
      </c>
      <c r="I518" s="83" t="b">
        <v>0</v>
      </c>
      <c r="J518" s="83" t="b">
        <v>0</v>
      </c>
      <c r="K518" s="83" t="b">
        <v>0</v>
      </c>
      <c r="L518" s="83" t="b">
        <v>0</v>
      </c>
    </row>
    <row r="519" spans="1:12" ht="15">
      <c r="A519" s="84" t="s">
        <v>2970</v>
      </c>
      <c r="B519" s="83" t="s">
        <v>2505</v>
      </c>
      <c r="C519" s="83">
        <v>2</v>
      </c>
      <c r="D519" s="110">
        <v>0.005902548934587867</v>
      </c>
      <c r="E519" s="110">
        <v>2.161368002234975</v>
      </c>
      <c r="F519" s="83" t="s">
        <v>2089</v>
      </c>
      <c r="G519" s="83" t="b">
        <v>0</v>
      </c>
      <c r="H519" s="83" t="b">
        <v>0</v>
      </c>
      <c r="I519" s="83" t="b">
        <v>0</v>
      </c>
      <c r="J519" s="83" t="b">
        <v>0</v>
      </c>
      <c r="K519" s="83" t="b">
        <v>0</v>
      </c>
      <c r="L519" s="83" t="b">
        <v>0</v>
      </c>
    </row>
    <row r="520" spans="1:12" ht="15">
      <c r="A520" s="84" t="s">
        <v>2505</v>
      </c>
      <c r="B520" s="83" t="s">
        <v>2196</v>
      </c>
      <c r="C520" s="83">
        <v>2</v>
      </c>
      <c r="D520" s="110">
        <v>0.005902548934587867</v>
      </c>
      <c r="E520" s="110">
        <v>1.8603380065709938</v>
      </c>
      <c r="F520" s="83" t="s">
        <v>2089</v>
      </c>
      <c r="G520" s="83" t="b">
        <v>0</v>
      </c>
      <c r="H520" s="83" t="b">
        <v>0</v>
      </c>
      <c r="I520" s="83" t="b">
        <v>0</v>
      </c>
      <c r="J520" s="83" t="b">
        <v>0</v>
      </c>
      <c r="K520" s="83" t="b">
        <v>0</v>
      </c>
      <c r="L520" s="83" t="b">
        <v>0</v>
      </c>
    </row>
    <row r="521" spans="1:12" ht="15">
      <c r="A521" s="84" t="s">
        <v>2196</v>
      </c>
      <c r="B521" s="83" t="s">
        <v>2971</v>
      </c>
      <c r="C521" s="83">
        <v>2</v>
      </c>
      <c r="D521" s="110">
        <v>0.005902548934587867</v>
      </c>
      <c r="E521" s="110">
        <v>1.8603380065709938</v>
      </c>
      <c r="F521" s="83" t="s">
        <v>2089</v>
      </c>
      <c r="G521" s="83" t="b">
        <v>0</v>
      </c>
      <c r="H521" s="83" t="b">
        <v>0</v>
      </c>
      <c r="I521" s="83" t="b">
        <v>0</v>
      </c>
      <c r="J521" s="83" t="b">
        <v>0</v>
      </c>
      <c r="K521" s="83" t="b">
        <v>0</v>
      </c>
      <c r="L521" s="83" t="b">
        <v>0</v>
      </c>
    </row>
    <row r="522" spans="1:12" ht="15">
      <c r="A522" s="84" t="s">
        <v>2971</v>
      </c>
      <c r="B522" s="83" t="s">
        <v>2673</v>
      </c>
      <c r="C522" s="83">
        <v>2</v>
      </c>
      <c r="D522" s="110">
        <v>0.005902548934587867</v>
      </c>
      <c r="E522" s="110">
        <v>2.161368002234975</v>
      </c>
      <c r="F522" s="83" t="s">
        <v>2089</v>
      </c>
      <c r="G522" s="83" t="b">
        <v>0</v>
      </c>
      <c r="H522" s="83" t="b">
        <v>0</v>
      </c>
      <c r="I522" s="83" t="b">
        <v>0</v>
      </c>
      <c r="J522" s="83" t="b">
        <v>0</v>
      </c>
      <c r="K522" s="83" t="b">
        <v>0</v>
      </c>
      <c r="L522" s="83" t="b">
        <v>0</v>
      </c>
    </row>
    <row r="523" spans="1:12" ht="15">
      <c r="A523" s="84" t="s">
        <v>2673</v>
      </c>
      <c r="B523" s="83" t="s">
        <v>2230</v>
      </c>
      <c r="C523" s="83">
        <v>2</v>
      </c>
      <c r="D523" s="110">
        <v>0.005902548934587867</v>
      </c>
      <c r="E523" s="110">
        <v>2.161368002234975</v>
      </c>
      <c r="F523" s="83" t="s">
        <v>2089</v>
      </c>
      <c r="G523" s="83" t="b">
        <v>0</v>
      </c>
      <c r="H523" s="83" t="b">
        <v>0</v>
      </c>
      <c r="I523" s="83" t="b">
        <v>0</v>
      </c>
      <c r="J523" s="83" t="b">
        <v>0</v>
      </c>
      <c r="K523" s="83" t="b">
        <v>0</v>
      </c>
      <c r="L523" s="83" t="b">
        <v>0</v>
      </c>
    </row>
    <row r="524" spans="1:12" ht="15">
      <c r="A524" s="84" t="s">
        <v>2230</v>
      </c>
      <c r="B524" s="83" t="s">
        <v>2972</v>
      </c>
      <c r="C524" s="83">
        <v>2</v>
      </c>
      <c r="D524" s="110">
        <v>0.005902548934587867</v>
      </c>
      <c r="E524" s="110">
        <v>2.161368002234975</v>
      </c>
      <c r="F524" s="83" t="s">
        <v>2089</v>
      </c>
      <c r="G524" s="83" t="b">
        <v>0</v>
      </c>
      <c r="H524" s="83" t="b">
        <v>0</v>
      </c>
      <c r="I524" s="83" t="b">
        <v>0</v>
      </c>
      <c r="J524" s="83" t="b">
        <v>0</v>
      </c>
      <c r="K524" s="83" t="b">
        <v>0</v>
      </c>
      <c r="L524" s="83" t="b">
        <v>0</v>
      </c>
    </row>
    <row r="525" spans="1:12" ht="15">
      <c r="A525" s="84" t="s">
        <v>2972</v>
      </c>
      <c r="B525" s="83" t="s">
        <v>2973</v>
      </c>
      <c r="C525" s="83">
        <v>2</v>
      </c>
      <c r="D525" s="110">
        <v>0.005902548934587867</v>
      </c>
      <c r="E525" s="110">
        <v>2.161368002234975</v>
      </c>
      <c r="F525" s="83" t="s">
        <v>2089</v>
      </c>
      <c r="G525" s="83" t="b">
        <v>0</v>
      </c>
      <c r="H525" s="83" t="b">
        <v>0</v>
      </c>
      <c r="I525" s="83" t="b">
        <v>0</v>
      </c>
      <c r="J525" s="83" t="b">
        <v>0</v>
      </c>
      <c r="K525" s="83" t="b">
        <v>0</v>
      </c>
      <c r="L525" s="83" t="b">
        <v>0</v>
      </c>
    </row>
    <row r="526" spans="1:12" ht="15">
      <c r="A526" s="84" t="s">
        <v>2973</v>
      </c>
      <c r="B526" s="83" t="s">
        <v>2166</v>
      </c>
      <c r="C526" s="83">
        <v>2</v>
      </c>
      <c r="D526" s="110">
        <v>0.005902548934587867</v>
      </c>
      <c r="E526" s="110">
        <v>1.9852767431792937</v>
      </c>
      <c r="F526" s="83" t="s">
        <v>2089</v>
      </c>
      <c r="G526" s="83" t="b">
        <v>0</v>
      </c>
      <c r="H526" s="83" t="b">
        <v>0</v>
      </c>
      <c r="I526" s="83" t="b">
        <v>0</v>
      </c>
      <c r="J526" s="83" t="b">
        <v>0</v>
      </c>
      <c r="K526" s="83" t="b">
        <v>0</v>
      </c>
      <c r="L526" s="83" t="b">
        <v>0</v>
      </c>
    </row>
    <row r="527" spans="1:12" ht="15">
      <c r="A527" s="84" t="s">
        <v>2166</v>
      </c>
      <c r="B527" s="83" t="s">
        <v>2332</v>
      </c>
      <c r="C527" s="83">
        <v>2</v>
      </c>
      <c r="D527" s="110">
        <v>0.005902548934587867</v>
      </c>
      <c r="E527" s="110">
        <v>1.9852767431792937</v>
      </c>
      <c r="F527" s="83" t="s">
        <v>2089</v>
      </c>
      <c r="G527" s="83" t="b">
        <v>0</v>
      </c>
      <c r="H527" s="83" t="b">
        <v>0</v>
      </c>
      <c r="I527" s="83" t="b">
        <v>0</v>
      </c>
      <c r="J527" s="83" t="b">
        <v>0</v>
      </c>
      <c r="K527" s="83" t="b">
        <v>0</v>
      </c>
      <c r="L527" s="83" t="b">
        <v>0</v>
      </c>
    </row>
    <row r="528" spans="1:12" ht="15">
      <c r="A528" s="84" t="s">
        <v>2332</v>
      </c>
      <c r="B528" s="83" t="s">
        <v>2240</v>
      </c>
      <c r="C528" s="83">
        <v>2</v>
      </c>
      <c r="D528" s="110">
        <v>0.005902548934587867</v>
      </c>
      <c r="E528" s="110">
        <v>2.161368002234975</v>
      </c>
      <c r="F528" s="83" t="s">
        <v>2089</v>
      </c>
      <c r="G528" s="83" t="b">
        <v>0</v>
      </c>
      <c r="H528" s="83" t="b">
        <v>0</v>
      </c>
      <c r="I528" s="83" t="b">
        <v>0</v>
      </c>
      <c r="J528" s="83" t="b">
        <v>0</v>
      </c>
      <c r="K528" s="83" t="b">
        <v>0</v>
      </c>
      <c r="L528" s="83" t="b">
        <v>0</v>
      </c>
    </row>
    <row r="529" spans="1:12" ht="15">
      <c r="A529" s="84" t="s">
        <v>2240</v>
      </c>
      <c r="B529" s="83" t="s">
        <v>2301</v>
      </c>
      <c r="C529" s="83">
        <v>2</v>
      </c>
      <c r="D529" s="110">
        <v>0.005902548934587867</v>
      </c>
      <c r="E529" s="110">
        <v>2.161368002234975</v>
      </c>
      <c r="F529" s="83" t="s">
        <v>2089</v>
      </c>
      <c r="G529" s="83" t="b">
        <v>0</v>
      </c>
      <c r="H529" s="83" t="b">
        <v>0</v>
      </c>
      <c r="I529" s="83" t="b">
        <v>0</v>
      </c>
      <c r="J529" s="83" t="b">
        <v>0</v>
      </c>
      <c r="K529" s="83" t="b">
        <v>0</v>
      </c>
      <c r="L529" s="83" t="b">
        <v>0</v>
      </c>
    </row>
    <row r="530" spans="1:12" ht="15">
      <c r="A530" s="84" t="s">
        <v>2301</v>
      </c>
      <c r="B530" s="83" t="s">
        <v>2212</v>
      </c>
      <c r="C530" s="83">
        <v>2</v>
      </c>
      <c r="D530" s="110">
        <v>0.005902548934587867</v>
      </c>
      <c r="E530" s="110">
        <v>2.161368002234975</v>
      </c>
      <c r="F530" s="83" t="s">
        <v>2089</v>
      </c>
      <c r="G530" s="83" t="b">
        <v>0</v>
      </c>
      <c r="H530" s="83" t="b">
        <v>0</v>
      </c>
      <c r="I530" s="83" t="b">
        <v>0</v>
      </c>
      <c r="J530" s="83" t="b">
        <v>0</v>
      </c>
      <c r="K530" s="83" t="b">
        <v>0</v>
      </c>
      <c r="L530" s="83" t="b">
        <v>0</v>
      </c>
    </row>
    <row r="531" spans="1:12" ht="15">
      <c r="A531" s="84" t="s">
        <v>2212</v>
      </c>
      <c r="B531" s="83" t="s">
        <v>2674</v>
      </c>
      <c r="C531" s="83">
        <v>2</v>
      </c>
      <c r="D531" s="110">
        <v>0.005902548934587867</v>
      </c>
      <c r="E531" s="110">
        <v>1.9852767431792937</v>
      </c>
      <c r="F531" s="83" t="s">
        <v>2089</v>
      </c>
      <c r="G531" s="83" t="b">
        <v>0</v>
      </c>
      <c r="H531" s="83" t="b">
        <v>0</v>
      </c>
      <c r="I531" s="83" t="b">
        <v>0</v>
      </c>
      <c r="J531" s="83" t="b">
        <v>0</v>
      </c>
      <c r="K531" s="83" t="b">
        <v>0</v>
      </c>
      <c r="L531" s="83" t="b">
        <v>0</v>
      </c>
    </row>
    <row r="532" spans="1:12" ht="15">
      <c r="A532" s="84" t="s">
        <v>2674</v>
      </c>
      <c r="B532" s="83" t="s">
        <v>2974</v>
      </c>
      <c r="C532" s="83">
        <v>2</v>
      </c>
      <c r="D532" s="110">
        <v>0.005902548934587867</v>
      </c>
      <c r="E532" s="110">
        <v>1.9852767431792937</v>
      </c>
      <c r="F532" s="83" t="s">
        <v>2089</v>
      </c>
      <c r="G532" s="83" t="b">
        <v>0</v>
      </c>
      <c r="H532" s="83" t="b">
        <v>0</v>
      </c>
      <c r="I532" s="83" t="b">
        <v>0</v>
      </c>
      <c r="J532" s="83" t="b">
        <v>0</v>
      </c>
      <c r="K532" s="83" t="b">
        <v>0</v>
      </c>
      <c r="L532" s="83" t="b">
        <v>0</v>
      </c>
    </row>
    <row r="533" spans="1:12" ht="15">
      <c r="A533" s="84" t="s">
        <v>2974</v>
      </c>
      <c r="B533" s="83" t="s">
        <v>2146</v>
      </c>
      <c r="C533" s="83">
        <v>2</v>
      </c>
      <c r="D533" s="110">
        <v>0.005902548934587867</v>
      </c>
      <c r="E533" s="110">
        <v>1.9852767431792937</v>
      </c>
      <c r="F533" s="83" t="s">
        <v>2089</v>
      </c>
      <c r="G533" s="83" t="b">
        <v>0</v>
      </c>
      <c r="H533" s="83" t="b">
        <v>0</v>
      </c>
      <c r="I533" s="83" t="b">
        <v>0</v>
      </c>
      <c r="J533" s="83" t="b">
        <v>0</v>
      </c>
      <c r="K533" s="83" t="b">
        <v>1</v>
      </c>
      <c r="L533" s="83" t="b">
        <v>0</v>
      </c>
    </row>
    <row r="534" spans="1:12" ht="15">
      <c r="A534" s="84" t="s">
        <v>2146</v>
      </c>
      <c r="B534" s="83" t="s">
        <v>2506</v>
      </c>
      <c r="C534" s="83">
        <v>2</v>
      </c>
      <c r="D534" s="110">
        <v>0.005902548934587867</v>
      </c>
      <c r="E534" s="110">
        <v>1.9852767431792937</v>
      </c>
      <c r="F534" s="83" t="s">
        <v>2089</v>
      </c>
      <c r="G534" s="83" t="b">
        <v>0</v>
      </c>
      <c r="H534" s="83" t="b">
        <v>1</v>
      </c>
      <c r="I534" s="83" t="b">
        <v>0</v>
      </c>
      <c r="J534" s="83" t="b">
        <v>0</v>
      </c>
      <c r="K534" s="83" t="b">
        <v>0</v>
      </c>
      <c r="L534" s="83" t="b">
        <v>0</v>
      </c>
    </row>
    <row r="535" spans="1:12" ht="15">
      <c r="A535" s="84" t="s">
        <v>2506</v>
      </c>
      <c r="B535" s="83" t="s">
        <v>2196</v>
      </c>
      <c r="C535" s="83">
        <v>2</v>
      </c>
      <c r="D535" s="110">
        <v>0.005902548934587867</v>
      </c>
      <c r="E535" s="110">
        <v>1.8603380065709938</v>
      </c>
      <c r="F535" s="83" t="s">
        <v>2089</v>
      </c>
      <c r="G535" s="83" t="b">
        <v>0</v>
      </c>
      <c r="H535" s="83" t="b">
        <v>0</v>
      </c>
      <c r="I535" s="83" t="b">
        <v>0</v>
      </c>
      <c r="J535" s="83" t="b">
        <v>0</v>
      </c>
      <c r="K535" s="83" t="b">
        <v>0</v>
      </c>
      <c r="L535" s="83" t="b">
        <v>0</v>
      </c>
    </row>
    <row r="536" spans="1:12" ht="15">
      <c r="A536" s="84" t="s">
        <v>2196</v>
      </c>
      <c r="B536" s="83" t="s">
        <v>2222</v>
      </c>
      <c r="C536" s="83">
        <v>2</v>
      </c>
      <c r="D536" s="110">
        <v>0.005902548934587867</v>
      </c>
      <c r="E536" s="110">
        <v>1.8603380065709938</v>
      </c>
      <c r="F536" s="83" t="s">
        <v>2089</v>
      </c>
      <c r="G536" s="83" t="b">
        <v>0</v>
      </c>
      <c r="H536" s="83" t="b">
        <v>0</v>
      </c>
      <c r="I536" s="83" t="b">
        <v>0</v>
      </c>
      <c r="J536" s="83" t="b">
        <v>0</v>
      </c>
      <c r="K536" s="83" t="b">
        <v>0</v>
      </c>
      <c r="L536" s="83" t="b">
        <v>0</v>
      </c>
    </row>
    <row r="537" spans="1:12" ht="15">
      <c r="A537" s="84" t="s">
        <v>2222</v>
      </c>
      <c r="B537" s="83" t="s">
        <v>2975</v>
      </c>
      <c r="C537" s="83">
        <v>2</v>
      </c>
      <c r="D537" s="110">
        <v>0.005902548934587867</v>
      </c>
      <c r="E537" s="110">
        <v>2.161368002234975</v>
      </c>
      <c r="F537" s="83" t="s">
        <v>2089</v>
      </c>
      <c r="G537" s="83" t="b">
        <v>0</v>
      </c>
      <c r="H537" s="83" t="b">
        <v>0</v>
      </c>
      <c r="I537" s="83" t="b">
        <v>0</v>
      </c>
      <c r="J537" s="83" t="b">
        <v>0</v>
      </c>
      <c r="K537" s="83" t="b">
        <v>0</v>
      </c>
      <c r="L537" s="83" t="b">
        <v>0</v>
      </c>
    </row>
    <row r="538" spans="1:12" ht="15">
      <c r="A538" s="84" t="s">
        <v>2975</v>
      </c>
      <c r="B538" s="83" t="s">
        <v>2129</v>
      </c>
      <c r="C538" s="83">
        <v>2</v>
      </c>
      <c r="D538" s="110">
        <v>0.005902548934587867</v>
      </c>
      <c r="E538" s="110">
        <v>1.7634279935629373</v>
      </c>
      <c r="F538" s="83" t="s">
        <v>2089</v>
      </c>
      <c r="G538" s="83" t="b">
        <v>0</v>
      </c>
      <c r="H538" s="83" t="b">
        <v>0</v>
      </c>
      <c r="I538" s="83" t="b">
        <v>0</v>
      </c>
      <c r="J538" s="83" t="b">
        <v>0</v>
      </c>
      <c r="K538" s="83" t="b">
        <v>0</v>
      </c>
      <c r="L538" s="83" t="b">
        <v>0</v>
      </c>
    </row>
    <row r="539" spans="1:12" ht="15">
      <c r="A539" s="84" t="s">
        <v>2129</v>
      </c>
      <c r="B539" s="83" t="s">
        <v>2132</v>
      </c>
      <c r="C539" s="83">
        <v>2</v>
      </c>
      <c r="D539" s="110">
        <v>0.005902548934587867</v>
      </c>
      <c r="E539" s="110">
        <v>1.7634279935629373</v>
      </c>
      <c r="F539" s="83" t="s">
        <v>2089</v>
      </c>
      <c r="G539" s="83" t="b">
        <v>0</v>
      </c>
      <c r="H539" s="83" t="b">
        <v>0</v>
      </c>
      <c r="I539" s="83" t="b">
        <v>0</v>
      </c>
      <c r="J539" s="83" t="b">
        <v>0</v>
      </c>
      <c r="K539" s="83" t="b">
        <v>0</v>
      </c>
      <c r="L539" s="83" t="b">
        <v>0</v>
      </c>
    </row>
    <row r="540" spans="1:12" ht="15">
      <c r="A540" s="84" t="s">
        <v>2132</v>
      </c>
      <c r="B540" s="83" t="s">
        <v>2414</v>
      </c>
      <c r="C540" s="83">
        <v>2</v>
      </c>
      <c r="D540" s="110">
        <v>0.005902548934587867</v>
      </c>
      <c r="E540" s="110">
        <v>1.8603380065709938</v>
      </c>
      <c r="F540" s="83" t="s">
        <v>2089</v>
      </c>
      <c r="G540" s="83" t="b">
        <v>0</v>
      </c>
      <c r="H540" s="83" t="b">
        <v>0</v>
      </c>
      <c r="I540" s="83" t="b">
        <v>0</v>
      </c>
      <c r="J540" s="83" t="b">
        <v>0</v>
      </c>
      <c r="K540" s="83" t="b">
        <v>0</v>
      </c>
      <c r="L540" s="83" t="b">
        <v>0</v>
      </c>
    </row>
    <row r="541" spans="1:12" ht="15">
      <c r="A541" s="84" t="s">
        <v>2173</v>
      </c>
      <c r="B541" s="83" t="s">
        <v>2260</v>
      </c>
      <c r="C541" s="83">
        <v>2</v>
      </c>
      <c r="D541" s="110">
        <v>0.005902548934587867</v>
      </c>
      <c r="E541" s="110">
        <v>1.5593080109070125</v>
      </c>
      <c r="F541" s="83" t="s">
        <v>2089</v>
      </c>
      <c r="G541" s="83" t="b">
        <v>0</v>
      </c>
      <c r="H541" s="83" t="b">
        <v>0</v>
      </c>
      <c r="I541" s="83" t="b">
        <v>0</v>
      </c>
      <c r="J541" s="83" t="b">
        <v>0</v>
      </c>
      <c r="K541" s="83" t="b">
        <v>0</v>
      </c>
      <c r="L541" s="83" t="b">
        <v>0</v>
      </c>
    </row>
    <row r="542" spans="1:12" ht="15">
      <c r="A542" s="84" t="s">
        <v>2260</v>
      </c>
      <c r="B542" s="83" t="s">
        <v>2260</v>
      </c>
      <c r="C542" s="83">
        <v>2</v>
      </c>
      <c r="D542" s="110">
        <v>0.005902548934587867</v>
      </c>
      <c r="E542" s="110">
        <v>1.5593080109070125</v>
      </c>
      <c r="F542" s="83" t="s">
        <v>2089</v>
      </c>
      <c r="G542" s="83" t="b">
        <v>0</v>
      </c>
      <c r="H542" s="83" t="b">
        <v>0</v>
      </c>
      <c r="I542" s="83" t="b">
        <v>0</v>
      </c>
      <c r="J542" s="83" t="b">
        <v>0</v>
      </c>
      <c r="K542" s="83" t="b">
        <v>0</v>
      </c>
      <c r="L542" s="83" t="b">
        <v>0</v>
      </c>
    </row>
    <row r="543" spans="1:12" ht="15">
      <c r="A543" s="84" t="s">
        <v>2260</v>
      </c>
      <c r="B543" s="83" t="s">
        <v>2976</v>
      </c>
      <c r="C543" s="83">
        <v>2</v>
      </c>
      <c r="D543" s="110">
        <v>0.005902548934587867</v>
      </c>
      <c r="E543" s="110">
        <v>1.8603380065709938</v>
      </c>
      <c r="F543" s="83" t="s">
        <v>2089</v>
      </c>
      <c r="G543" s="83" t="b">
        <v>0</v>
      </c>
      <c r="H543" s="83" t="b">
        <v>0</v>
      </c>
      <c r="I543" s="83" t="b">
        <v>0</v>
      </c>
      <c r="J543" s="83" t="b">
        <v>0</v>
      </c>
      <c r="K543" s="83" t="b">
        <v>0</v>
      </c>
      <c r="L543" s="83" t="b">
        <v>0</v>
      </c>
    </row>
    <row r="544" spans="1:12" ht="15">
      <c r="A544" s="84" t="s">
        <v>2976</v>
      </c>
      <c r="B544" s="83" t="s">
        <v>2977</v>
      </c>
      <c r="C544" s="83">
        <v>2</v>
      </c>
      <c r="D544" s="110">
        <v>0.005902548934587867</v>
      </c>
      <c r="E544" s="110">
        <v>2.161368002234975</v>
      </c>
      <c r="F544" s="83" t="s">
        <v>2089</v>
      </c>
      <c r="G544" s="83" t="b">
        <v>0</v>
      </c>
      <c r="H544" s="83" t="b">
        <v>0</v>
      </c>
      <c r="I544" s="83" t="b">
        <v>0</v>
      </c>
      <c r="J544" s="83" t="b">
        <v>0</v>
      </c>
      <c r="K544" s="83" t="b">
        <v>0</v>
      </c>
      <c r="L544" s="83" t="b">
        <v>0</v>
      </c>
    </row>
    <row r="545" spans="1:12" ht="15">
      <c r="A545" s="84" t="s">
        <v>2977</v>
      </c>
      <c r="B545" s="83" t="s">
        <v>2504</v>
      </c>
      <c r="C545" s="83">
        <v>2</v>
      </c>
      <c r="D545" s="110">
        <v>0.005902548934587867</v>
      </c>
      <c r="E545" s="110">
        <v>1.8603380065709938</v>
      </c>
      <c r="F545" s="83" t="s">
        <v>2089</v>
      </c>
      <c r="G545" s="83" t="b">
        <v>0</v>
      </c>
      <c r="H545" s="83" t="b">
        <v>0</v>
      </c>
      <c r="I545" s="83" t="b">
        <v>0</v>
      </c>
      <c r="J545" s="83" t="b">
        <v>0</v>
      </c>
      <c r="K545" s="83" t="b">
        <v>0</v>
      </c>
      <c r="L545" s="83" t="b">
        <v>0</v>
      </c>
    </row>
    <row r="546" spans="1:12" ht="15">
      <c r="A546" s="84" t="s">
        <v>2504</v>
      </c>
      <c r="B546" s="83" t="s">
        <v>2134</v>
      </c>
      <c r="C546" s="83">
        <v>2</v>
      </c>
      <c r="D546" s="110">
        <v>0.005902548934587867</v>
      </c>
      <c r="E546" s="110">
        <v>1.462397997898956</v>
      </c>
      <c r="F546" s="83" t="s">
        <v>2089</v>
      </c>
      <c r="G546" s="83" t="b">
        <v>0</v>
      </c>
      <c r="H546" s="83" t="b">
        <v>0</v>
      </c>
      <c r="I546" s="83" t="b">
        <v>0</v>
      </c>
      <c r="J546" s="83" t="b">
        <v>0</v>
      </c>
      <c r="K546" s="83" t="b">
        <v>0</v>
      </c>
      <c r="L546" s="83" t="b">
        <v>0</v>
      </c>
    </row>
    <row r="547" spans="1:12" ht="15">
      <c r="A547" s="84" t="s">
        <v>2134</v>
      </c>
      <c r="B547" s="83" t="s">
        <v>2675</v>
      </c>
      <c r="C547" s="83">
        <v>2</v>
      </c>
      <c r="D547" s="110">
        <v>0.005902548934587867</v>
      </c>
      <c r="E547" s="110">
        <v>1.7634279935629373</v>
      </c>
      <c r="F547" s="83" t="s">
        <v>2089</v>
      </c>
      <c r="G547" s="83" t="b">
        <v>0</v>
      </c>
      <c r="H547" s="83" t="b">
        <v>0</v>
      </c>
      <c r="I547" s="83" t="b">
        <v>0</v>
      </c>
      <c r="J547" s="83" t="b">
        <v>0</v>
      </c>
      <c r="K547" s="83" t="b">
        <v>0</v>
      </c>
      <c r="L547" s="83" t="b">
        <v>0</v>
      </c>
    </row>
    <row r="548" spans="1:12" ht="15">
      <c r="A548" s="84" t="s">
        <v>2675</v>
      </c>
      <c r="B548" s="83" t="s">
        <v>2336</v>
      </c>
      <c r="C548" s="83">
        <v>2</v>
      </c>
      <c r="D548" s="110">
        <v>0.005902548934587867</v>
      </c>
      <c r="E548" s="110">
        <v>2.161368002234975</v>
      </c>
      <c r="F548" s="83" t="s">
        <v>2089</v>
      </c>
      <c r="G548" s="83" t="b">
        <v>0</v>
      </c>
      <c r="H548" s="83" t="b">
        <v>0</v>
      </c>
      <c r="I548" s="83" t="b">
        <v>0</v>
      </c>
      <c r="J548" s="83" t="b">
        <v>0</v>
      </c>
      <c r="K548" s="83" t="b">
        <v>0</v>
      </c>
      <c r="L548" s="83" t="b">
        <v>0</v>
      </c>
    </row>
    <row r="549" spans="1:12" ht="15">
      <c r="A549" s="84" t="s">
        <v>2336</v>
      </c>
      <c r="B549" s="83" t="s">
        <v>2507</v>
      </c>
      <c r="C549" s="83">
        <v>2</v>
      </c>
      <c r="D549" s="110">
        <v>0.005902548934587867</v>
      </c>
      <c r="E549" s="110">
        <v>2.161368002234975</v>
      </c>
      <c r="F549" s="83" t="s">
        <v>2089</v>
      </c>
      <c r="G549" s="83" t="b">
        <v>0</v>
      </c>
      <c r="H549" s="83" t="b">
        <v>0</v>
      </c>
      <c r="I549" s="83" t="b">
        <v>0</v>
      </c>
      <c r="J549" s="83" t="b">
        <v>0</v>
      </c>
      <c r="K549" s="83" t="b">
        <v>0</v>
      </c>
      <c r="L549" s="83" t="b">
        <v>0</v>
      </c>
    </row>
    <row r="550" spans="1:12" ht="15">
      <c r="A550" s="84" t="s">
        <v>2507</v>
      </c>
      <c r="B550" s="83" t="s">
        <v>2978</v>
      </c>
      <c r="C550" s="83">
        <v>2</v>
      </c>
      <c r="D550" s="110">
        <v>0.005902548934587867</v>
      </c>
      <c r="E550" s="110">
        <v>2.161368002234975</v>
      </c>
      <c r="F550" s="83" t="s">
        <v>2089</v>
      </c>
      <c r="G550" s="83" t="b">
        <v>0</v>
      </c>
      <c r="H550" s="83" t="b">
        <v>0</v>
      </c>
      <c r="I550" s="83" t="b">
        <v>0</v>
      </c>
      <c r="J550" s="83" t="b">
        <v>0</v>
      </c>
      <c r="K550" s="83" t="b">
        <v>0</v>
      </c>
      <c r="L550" s="83" t="b">
        <v>0</v>
      </c>
    </row>
    <row r="551" spans="1:12" ht="15">
      <c r="A551" s="84" t="s">
        <v>2978</v>
      </c>
      <c r="B551" s="83" t="s">
        <v>2179</v>
      </c>
      <c r="C551" s="83">
        <v>2</v>
      </c>
      <c r="D551" s="110">
        <v>0.005902548934587867</v>
      </c>
      <c r="E551" s="110">
        <v>2.161368002234975</v>
      </c>
      <c r="F551" s="83" t="s">
        <v>2089</v>
      </c>
      <c r="G551" s="83" t="b">
        <v>0</v>
      </c>
      <c r="H551" s="83" t="b">
        <v>0</v>
      </c>
      <c r="I551" s="83" t="b">
        <v>0</v>
      </c>
      <c r="J551" s="83" t="b">
        <v>0</v>
      </c>
      <c r="K551" s="83" t="b">
        <v>0</v>
      </c>
      <c r="L551" s="83" t="b">
        <v>0</v>
      </c>
    </row>
    <row r="552" spans="1:12" ht="15">
      <c r="A552" s="84" t="s">
        <v>2179</v>
      </c>
      <c r="B552" s="83" t="s">
        <v>2676</v>
      </c>
      <c r="C552" s="83">
        <v>2</v>
      </c>
      <c r="D552" s="110">
        <v>0.005902548934587867</v>
      </c>
      <c r="E552" s="110">
        <v>2.161368002234975</v>
      </c>
      <c r="F552" s="83" t="s">
        <v>2089</v>
      </c>
      <c r="G552" s="83" t="b">
        <v>0</v>
      </c>
      <c r="H552" s="83" t="b">
        <v>0</v>
      </c>
      <c r="I552" s="83" t="b">
        <v>0</v>
      </c>
      <c r="J552" s="83" t="b">
        <v>0</v>
      </c>
      <c r="K552" s="83" t="b">
        <v>0</v>
      </c>
      <c r="L552" s="83" t="b">
        <v>0</v>
      </c>
    </row>
    <row r="553" spans="1:12" ht="15">
      <c r="A553" s="84" t="s">
        <v>2676</v>
      </c>
      <c r="B553" s="83" t="s">
        <v>2302</v>
      </c>
      <c r="C553" s="83">
        <v>2</v>
      </c>
      <c r="D553" s="110">
        <v>0.005902548934587867</v>
      </c>
      <c r="E553" s="110">
        <v>2.161368002234975</v>
      </c>
      <c r="F553" s="83" t="s">
        <v>2089</v>
      </c>
      <c r="G553" s="83" t="b">
        <v>0</v>
      </c>
      <c r="H553" s="83" t="b">
        <v>0</v>
      </c>
      <c r="I553" s="83" t="b">
        <v>0</v>
      </c>
      <c r="J553" s="83" t="b">
        <v>0</v>
      </c>
      <c r="K553" s="83" t="b">
        <v>0</v>
      </c>
      <c r="L553" s="83" t="b">
        <v>0</v>
      </c>
    </row>
    <row r="554" spans="1:12" ht="15">
      <c r="A554" s="84" t="s">
        <v>2302</v>
      </c>
      <c r="B554" s="83" t="s">
        <v>2290</v>
      </c>
      <c r="C554" s="83">
        <v>2</v>
      </c>
      <c r="D554" s="110">
        <v>0.005902548934587867</v>
      </c>
      <c r="E554" s="110">
        <v>1.8603380065709938</v>
      </c>
      <c r="F554" s="83" t="s">
        <v>2089</v>
      </c>
      <c r="G554" s="83" t="b">
        <v>0</v>
      </c>
      <c r="H554" s="83" t="b">
        <v>0</v>
      </c>
      <c r="I554" s="83" t="b">
        <v>0</v>
      </c>
      <c r="J554" s="83" t="b">
        <v>0</v>
      </c>
      <c r="K554" s="83" t="b">
        <v>0</v>
      </c>
      <c r="L554" s="83" t="b">
        <v>0</v>
      </c>
    </row>
    <row r="555" spans="1:12" ht="15">
      <c r="A555" s="84" t="s">
        <v>2290</v>
      </c>
      <c r="B555" s="83" t="s">
        <v>2130</v>
      </c>
      <c r="C555" s="83">
        <v>2</v>
      </c>
      <c r="D555" s="110">
        <v>0.005902548934587867</v>
      </c>
      <c r="E555" s="110">
        <v>1.8603380065709938</v>
      </c>
      <c r="F555" s="83" t="s">
        <v>2089</v>
      </c>
      <c r="G555" s="83" t="b">
        <v>0</v>
      </c>
      <c r="H555" s="83" t="b">
        <v>0</v>
      </c>
      <c r="I555" s="83" t="b">
        <v>0</v>
      </c>
      <c r="J555" s="83" t="b">
        <v>0</v>
      </c>
      <c r="K555" s="83" t="b">
        <v>0</v>
      </c>
      <c r="L555" s="83" t="b">
        <v>0</v>
      </c>
    </row>
    <row r="556" spans="1:12" ht="15">
      <c r="A556" s="84" t="s">
        <v>2130</v>
      </c>
      <c r="B556" s="83" t="s">
        <v>2159</v>
      </c>
      <c r="C556" s="83">
        <v>2</v>
      </c>
      <c r="D556" s="110">
        <v>0.005902548934587867</v>
      </c>
      <c r="E556" s="110">
        <v>2.161368002234975</v>
      </c>
      <c r="F556" s="83" t="s">
        <v>2089</v>
      </c>
      <c r="G556" s="83" t="b">
        <v>0</v>
      </c>
      <c r="H556" s="83" t="b">
        <v>0</v>
      </c>
      <c r="I556" s="83" t="b">
        <v>0</v>
      </c>
      <c r="J556" s="83" t="b">
        <v>0</v>
      </c>
      <c r="K556" s="83" t="b">
        <v>0</v>
      </c>
      <c r="L556" s="83" t="b">
        <v>0</v>
      </c>
    </row>
    <row r="557" spans="1:12" ht="15">
      <c r="A557" s="84" t="s">
        <v>2159</v>
      </c>
      <c r="B557" s="83" t="s">
        <v>2508</v>
      </c>
      <c r="C557" s="83">
        <v>2</v>
      </c>
      <c r="D557" s="110">
        <v>0.005902548934587867</v>
      </c>
      <c r="E557" s="110">
        <v>2.161368002234975</v>
      </c>
      <c r="F557" s="83" t="s">
        <v>2089</v>
      </c>
      <c r="G557" s="83" t="b">
        <v>0</v>
      </c>
      <c r="H557" s="83" t="b">
        <v>0</v>
      </c>
      <c r="I557" s="83" t="b">
        <v>0</v>
      </c>
      <c r="J557" s="83" t="b">
        <v>0</v>
      </c>
      <c r="K557" s="83" t="b">
        <v>0</v>
      </c>
      <c r="L557" s="83" t="b">
        <v>0</v>
      </c>
    </row>
    <row r="558" spans="1:12" ht="15">
      <c r="A558" s="84" t="s">
        <v>2508</v>
      </c>
      <c r="B558" s="83" t="s">
        <v>2415</v>
      </c>
      <c r="C558" s="83">
        <v>2</v>
      </c>
      <c r="D558" s="110">
        <v>0.005902548934587867</v>
      </c>
      <c r="E558" s="110">
        <v>2.161368002234975</v>
      </c>
      <c r="F558" s="83" t="s">
        <v>2089</v>
      </c>
      <c r="G558" s="83" t="b">
        <v>0</v>
      </c>
      <c r="H558" s="83" t="b">
        <v>0</v>
      </c>
      <c r="I558" s="83" t="b">
        <v>0</v>
      </c>
      <c r="J558" s="83" t="b">
        <v>0</v>
      </c>
      <c r="K558" s="83" t="b">
        <v>0</v>
      </c>
      <c r="L558" s="83" t="b">
        <v>0</v>
      </c>
    </row>
    <row r="559" spans="1:12" ht="15">
      <c r="A559" s="84" t="s">
        <v>2415</v>
      </c>
      <c r="B559" s="83" t="s">
        <v>2250</v>
      </c>
      <c r="C559" s="83">
        <v>2</v>
      </c>
      <c r="D559" s="110">
        <v>0.005902548934587867</v>
      </c>
      <c r="E559" s="110">
        <v>1.8603380065709938</v>
      </c>
      <c r="F559" s="83" t="s">
        <v>2089</v>
      </c>
      <c r="G559" s="83" t="b">
        <v>0</v>
      </c>
      <c r="H559" s="83" t="b">
        <v>0</v>
      </c>
      <c r="I559" s="83" t="b">
        <v>0</v>
      </c>
      <c r="J559" s="83" t="b">
        <v>0</v>
      </c>
      <c r="K559" s="83" t="b">
        <v>1</v>
      </c>
      <c r="L559" s="83" t="b">
        <v>0</v>
      </c>
    </row>
    <row r="560" spans="1:12" ht="15">
      <c r="A560" s="84" t="s">
        <v>2250</v>
      </c>
      <c r="B560" s="83" t="s">
        <v>2167</v>
      </c>
      <c r="C560" s="83">
        <v>2</v>
      </c>
      <c r="D560" s="110">
        <v>0.005902548934587867</v>
      </c>
      <c r="E560" s="110">
        <v>1.3832167518513312</v>
      </c>
      <c r="F560" s="83" t="s">
        <v>2089</v>
      </c>
      <c r="G560" s="83" t="b">
        <v>0</v>
      </c>
      <c r="H560" s="83" t="b">
        <v>1</v>
      </c>
      <c r="I560" s="83" t="b">
        <v>0</v>
      </c>
      <c r="J560" s="83" t="b">
        <v>0</v>
      </c>
      <c r="K560" s="83" t="b">
        <v>0</v>
      </c>
      <c r="L560" s="83" t="b">
        <v>0</v>
      </c>
    </row>
    <row r="561" spans="1:12" ht="15">
      <c r="A561" s="84" t="s">
        <v>2167</v>
      </c>
      <c r="B561" s="83" t="s">
        <v>2979</v>
      </c>
      <c r="C561" s="83">
        <v>2</v>
      </c>
      <c r="D561" s="110">
        <v>0.005902548934587867</v>
      </c>
      <c r="E561" s="110">
        <v>1.6842467475153124</v>
      </c>
      <c r="F561" s="83" t="s">
        <v>2089</v>
      </c>
      <c r="G561" s="83" t="b">
        <v>0</v>
      </c>
      <c r="H561" s="83" t="b">
        <v>0</v>
      </c>
      <c r="I561" s="83" t="b">
        <v>0</v>
      </c>
      <c r="J561" s="83" t="b">
        <v>0</v>
      </c>
      <c r="K561" s="83" t="b">
        <v>0</v>
      </c>
      <c r="L561" s="83" t="b">
        <v>0</v>
      </c>
    </row>
    <row r="562" spans="1:12" ht="15">
      <c r="A562" s="84" t="s">
        <v>2979</v>
      </c>
      <c r="B562" s="83" t="s">
        <v>2250</v>
      </c>
      <c r="C562" s="83">
        <v>2</v>
      </c>
      <c r="D562" s="110">
        <v>0.005902548934587867</v>
      </c>
      <c r="E562" s="110">
        <v>1.8603380065709938</v>
      </c>
      <c r="F562" s="83" t="s">
        <v>2089</v>
      </c>
      <c r="G562" s="83" t="b">
        <v>0</v>
      </c>
      <c r="H562" s="83" t="b">
        <v>0</v>
      </c>
      <c r="I562" s="83" t="b">
        <v>0</v>
      </c>
      <c r="J562" s="83" t="b">
        <v>0</v>
      </c>
      <c r="K562" s="83" t="b">
        <v>1</v>
      </c>
      <c r="L562" s="83" t="b">
        <v>0</v>
      </c>
    </row>
    <row r="563" spans="1:12" ht="15">
      <c r="A563" s="84" t="s">
        <v>2250</v>
      </c>
      <c r="B563" s="83" t="s">
        <v>2129</v>
      </c>
      <c r="C563" s="83">
        <v>2</v>
      </c>
      <c r="D563" s="110">
        <v>0.005902548934587867</v>
      </c>
      <c r="E563" s="110">
        <v>1.462397997898956</v>
      </c>
      <c r="F563" s="83" t="s">
        <v>2089</v>
      </c>
      <c r="G563" s="83" t="b">
        <v>0</v>
      </c>
      <c r="H563" s="83" t="b">
        <v>1</v>
      </c>
      <c r="I563" s="83" t="b">
        <v>0</v>
      </c>
      <c r="J563" s="83" t="b">
        <v>0</v>
      </c>
      <c r="K563" s="83" t="b">
        <v>0</v>
      </c>
      <c r="L563" s="83" t="b">
        <v>0</v>
      </c>
    </row>
    <row r="564" spans="1:12" ht="15">
      <c r="A564" s="84" t="s">
        <v>2129</v>
      </c>
      <c r="B564" s="83" t="s">
        <v>2980</v>
      </c>
      <c r="C564" s="83">
        <v>2</v>
      </c>
      <c r="D564" s="110">
        <v>0.005902548934587867</v>
      </c>
      <c r="E564" s="110">
        <v>1.7634279935629373</v>
      </c>
      <c r="F564" s="83" t="s">
        <v>2089</v>
      </c>
      <c r="G564" s="83" t="b">
        <v>0</v>
      </c>
      <c r="H564" s="83" t="b">
        <v>0</v>
      </c>
      <c r="I564" s="83" t="b">
        <v>0</v>
      </c>
      <c r="J564" s="83" t="b">
        <v>0</v>
      </c>
      <c r="K564" s="83" t="b">
        <v>0</v>
      </c>
      <c r="L564" s="83" t="b">
        <v>0</v>
      </c>
    </row>
    <row r="565" spans="1:12" ht="15">
      <c r="A565" s="84" t="s">
        <v>2980</v>
      </c>
      <c r="B565" s="83" t="s">
        <v>2134</v>
      </c>
      <c r="C565" s="83">
        <v>2</v>
      </c>
      <c r="D565" s="110">
        <v>0.005902548934587867</v>
      </c>
      <c r="E565" s="110">
        <v>1.7634279935629373</v>
      </c>
      <c r="F565" s="83" t="s">
        <v>2089</v>
      </c>
      <c r="G565" s="83" t="b">
        <v>0</v>
      </c>
      <c r="H565" s="83" t="b">
        <v>0</v>
      </c>
      <c r="I565" s="83" t="b">
        <v>0</v>
      </c>
      <c r="J565" s="83" t="b">
        <v>0</v>
      </c>
      <c r="K565" s="83" t="b">
        <v>0</v>
      </c>
      <c r="L565" s="83" t="b">
        <v>0</v>
      </c>
    </row>
    <row r="566" spans="1:12" ht="15">
      <c r="A566" s="84" t="s">
        <v>2134</v>
      </c>
      <c r="B566" s="83" t="s">
        <v>2343</v>
      </c>
      <c r="C566" s="83">
        <v>2</v>
      </c>
      <c r="D566" s="110">
        <v>0.005902548934587867</v>
      </c>
      <c r="E566" s="110">
        <v>1.2863067388432747</v>
      </c>
      <c r="F566" s="83" t="s">
        <v>2089</v>
      </c>
      <c r="G566" s="83" t="b">
        <v>0</v>
      </c>
      <c r="H566" s="83" t="b">
        <v>0</v>
      </c>
      <c r="I566" s="83" t="b">
        <v>0</v>
      </c>
      <c r="J566" s="83" t="b">
        <v>0</v>
      </c>
      <c r="K566" s="83" t="b">
        <v>0</v>
      </c>
      <c r="L566" s="83" t="b">
        <v>0</v>
      </c>
    </row>
    <row r="567" spans="1:12" ht="15">
      <c r="A567" s="84" t="s">
        <v>2343</v>
      </c>
      <c r="B567" s="83" t="s">
        <v>2329</v>
      </c>
      <c r="C567" s="83">
        <v>2</v>
      </c>
      <c r="D567" s="110">
        <v>0.005902548934587867</v>
      </c>
      <c r="E567" s="110">
        <v>1.6842467475153124</v>
      </c>
      <c r="F567" s="83" t="s">
        <v>2089</v>
      </c>
      <c r="G567" s="83" t="b">
        <v>0</v>
      </c>
      <c r="H567" s="83" t="b">
        <v>0</v>
      </c>
      <c r="I567" s="83" t="b">
        <v>0</v>
      </c>
      <c r="J567" s="83" t="b">
        <v>0</v>
      </c>
      <c r="K567" s="83" t="b">
        <v>0</v>
      </c>
      <c r="L567" s="83" t="b">
        <v>0</v>
      </c>
    </row>
    <row r="568" spans="1:12" ht="15">
      <c r="A568" s="84" t="s">
        <v>2234</v>
      </c>
      <c r="B568" s="83" t="s">
        <v>2218</v>
      </c>
      <c r="C568" s="83">
        <v>2</v>
      </c>
      <c r="D568" s="110">
        <v>0.005902548934587867</v>
      </c>
      <c r="E568" s="110">
        <v>1.3832167518513312</v>
      </c>
      <c r="F568" s="83" t="s">
        <v>2089</v>
      </c>
      <c r="G568" s="83" t="b">
        <v>0</v>
      </c>
      <c r="H568" s="83" t="b">
        <v>0</v>
      </c>
      <c r="I568" s="83" t="b">
        <v>0</v>
      </c>
      <c r="J568" s="83" t="b">
        <v>0</v>
      </c>
      <c r="K568" s="83" t="b">
        <v>0</v>
      </c>
      <c r="L568" s="83" t="b">
        <v>0</v>
      </c>
    </row>
    <row r="569" spans="1:12" ht="15">
      <c r="A569" s="84" t="s">
        <v>2343</v>
      </c>
      <c r="B569" s="83" t="s">
        <v>2290</v>
      </c>
      <c r="C569" s="83">
        <v>2</v>
      </c>
      <c r="D569" s="110">
        <v>0.005902548934587867</v>
      </c>
      <c r="E569" s="110">
        <v>1.3832167518513312</v>
      </c>
      <c r="F569" s="83" t="s">
        <v>2089</v>
      </c>
      <c r="G569" s="83" t="b">
        <v>0</v>
      </c>
      <c r="H569" s="83" t="b">
        <v>0</v>
      </c>
      <c r="I569" s="83" t="b">
        <v>0</v>
      </c>
      <c r="J569" s="83" t="b">
        <v>0</v>
      </c>
      <c r="K569" s="83" t="b">
        <v>0</v>
      </c>
      <c r="L569" s="83" t="b">
        <v>0</v>
      </c>
    </row>
    <row r="570" spans="1:12" ht="15">
      <c r="A570" s="84" t="s">
        <v>2290</v>
      </c>
      <c r="B570" s="83" t="s">
        <v>2167</v>
      </c>
      <c r="C570" s="83">
        <v>2</v>
      </c>
      <c r="D570" s="110">
        <v>0.005902548934587867</v>
      </c>
      <c r="E570" s="110">
        <v>1.3832167518513312</v>
      </c>
      <c r="F570" s="83" t="s">
        <v>2089</v>
      </c>
      <c r="G570" s="83" t="b">
        <v>0</v>
      </c>
      <c r="H570" s="83" t="b">
        <v>0</v>
      </c>
      <c r="I570" s="83" t="b">
        <v>0</v>
      </c>
      <c r="J570" s="83" t="b">
        <v>0</v>
      </c>
      <c r="K570" s="83" t="b">
        <v>0</v>
      </c>
      <c r="L570" s="83" t="b">
        <v>0</v>
      </c>
    </row>
    <row r="571" spans="1:12" ht="15">
      <c r="A571" s="84" t="s">
        <v>2167</v>
      </c>
      <c r="B571" s="83" t="s">
        <v>2218</v>
      </c>
      <c r="C571" s="83">
        <v>2</v>
      </c>
      <c r="D571" s="110">
        <v>0.005902548934587867</v>
      </c>
      <c r="E571" s="110">
        <v>1.0821867561873502</v>
      </c>
      <c r="F571" s="83" t="s">
        <v>2089</v>
      </c>
      <c r="G571" s="83" t="b">
        <v>0</v>
      </c>
      <c r="H571" s="83" t="b">
        <v>0</v>
      </c>
      <c r="I571" s="83" t="b">
        <v>0</v>
      </c>
      <c r="J571" s="83" t="b">
        <v>0</v>
      </c>
      <c r="K571" s="83" t="b">
        <v>0</v>
      </c>
      <c r="L571" s="83" t="b">
        <v>0</v>
      </c>
    </row>
    <row r="572" spans="1:12" ht="15">
      <c r="A572" s="84" t="s">
        <v>2218</v>
      </c>
      <c r="B572" s="83" t="s">
        <v>2468</v>
      </c>
      <c r="C572" s="83">
        <v>2</v>
      </c>
      <c r="D572" s="110">
        <v>0.005902548934587867</v>
      </c>
      <c r="E572" s="110">
        <v>1.6172999578846994</v>
      </c>
      <c r="F572" s="83" t="s">
        <v>2089</v>
      </c>
      <c r="G572" s="83" t="b">
        <v>0</v>
      </c>
      <c r="H572" s="83" t="b">
        <v>0</v>
      </c>
      <c r="I572" s="83" t="b">
        <v>0</v>
      </c>
      <c r="J572" s="83" t="b">
        <v>0</v>
      </c>
      <c r="K572" s="83" t="b">
        <v>0</v>
      </c>
      <c r="L572" s="83" t="b">
        <v>0</v>
      </c>
    </row>
    <row r="573" spans="1:12" ht="15">
      <c r="A573" s="84" t="s">
        <v>2468</v>
      </c>
      <c r="B573" s="83" t="s">
        <v>2677</v>
      </c>
      <c r="C573" s="83">
        <v>2</v>
      </c>
      <c r="D573" s="110">
        <v>0.005902548934587867</v>
      </c>
      <c r="E573" s="110">
        <v>2.161368002234975</v>
      </c>
      <c r="F573" s="83" t="s">
        <v>2089</v>
      </c>
      <c r="G573" s="83" t="b">
        <v>0</v>
      </c>
      <c r="H573" s="83" t="b">
        <v>0</v>
      </c>
      <c r="I573" s="83" t="b">
        <v>0</v>
      </c>
      <c r="J573" s="83" t="b">
        <v>0</v>
      </c>
      <c r="K573" s="83" t="b">
        <v>0</v>
      </c>
      <c r="L573" s="83" t="b">
        <v>0</v>
      </c>
    </row>
    <row r="574" spans="1:12" ht="15">
      <c r="A574" s="84" t="s">
        <v>2677</v>
      </c>
      <c r="B574" s="83" t="s">
        <v>2981</v>
      </c>
      <c r="C574" s="83">
        <v>2</v>
      </c>
      <c r="D574" s="110">
        <v>0.005902548934587867</v>
      </c>
      <c r="E574" s="110">
        <v>2.161368002234975</v>
      </c>
      <c r="F574" s="83" t="s">
        <v>2089</v>
      </c>
      <c r="G574" s="83" t="b">
        <v>0</v>
      </c>
      <c r="H574" s="83" t="b">
        <v>0</v>
      </c>
      <c r="I574" s="83" t="b">
        <v>0</v>
      </c>
      <c r="J574" s="83" t="b">
        <v>0</v>
      </c>
      <c r="K574" s="83" t="b">
        <v>0</v>
      </c>
      <c r="L574" s="83" t="b">
        <v>0</v>
      </c>
    </row>
    <row r="575" spans="1:12" ht="15">
      <c r="A575" s="84" t="s">
        <v>2981</v>
      </c>
      <c r="B575" s="83" t="s">
        <v>2167</v>
      </c>
      <c r="C575" s="83">
        <v>2</v>
      </c>
      <c r="D575" s="110">
        <v>0.005902548934587867</v>
      </c>
      <c r="E575" s="110">
        <v>1.6842467475153124</v>
      </c>
      <c r="F575" s="83" t="s">
        <v>2089</v>
      </c>
      <c r="G575" s="83" t="b">
        <v>0</v>
      </c>
      <c r="H575" s="83" t="b">
        <v>0</v>
      </c>
      <c r="I575" s="83" t="b">
        <v>0</v>
      </c>
      <c r="J575" s="83" t="b">
        <v>0</v>
      </c>
      <c r="K575" s="83" t="b">
        <v>0</v>
      </c>
      <c r="L575" s="83" t="b">
        <v>0</v>
      </c>
    </row>
    <row r="576" spans="1:12" ht="15">
      <c r="A576" s="84" t="s">
        <v>2167</v>
      </c>
      <c r="B576" s="83" t="s">
        <v>2509</v>
      </c>
      <c r="C576" s="83">
        <v>2</v>
      </c>
      <c r="D576" s="110">
        <v>0.005902548934587867</v>
      </c>
      <c r="E576" s="110">
        <v>1.3832167518513312</v>
      </c>
      <c r="F576" s="83" t="s">
        <v>2089</v>
      </c>
      <c r="G576" s="83" t="b">
        <v>0</v>
      </c>
      <c r="H576" s="83" t="b">
        <v>0</v>
      </c>
      <c r="I576" s="83" t="b">
        <v>0</v>
      </c>
      <c r="J576" s="83" t="b">
        <v>0</v>
      </c>
      <c r="K576" s="83" t="b">
        <v>0</v>
      </c>
      <c r="L576" s="83" t="b">
        <v>0</v>
      </c>
    </row>
    <row r="577" spans="1:12" ht="15">
      <c r="A577" s="84" t="s">
        <v>2344</v>
      </c>
      <c r="B577" s="83" t="s">
        <v>2218</v>
      </c>
      <c r="C577" s="83">
        <v>2</v>
      </c>
      <c r="D577" s="110">
        <v>0.005902548934587867</v>
      </c>
      <c r="E577" s="110">
        <v>1.2582780152430313</v>
      </c>
      <c r="F577" s="83" t="s">
        <v>2089</v>
      </c>
      <c r="G577" s="83" t="b">
        <v>0</v>
      </c>
      <c r="H577" s="83" t="b">
        <v>0</v>
      </c>
      <c r="I577" s="83" t="b">
        <v>0</v>
      </c>
      <c r="J577" s="83" t="b">
        <v>0</v>
      </c>
      <c r="K577" s="83" t="b">
        <v>0</v>
      </c>
      <c r="L577" s="83" t="b">
        <v>0</v>
      </c>
    </row>
    <row r="578" spans="1:12" ht="15">
      <c r="A578" s="84" t="s">
        <v>2343</v>
      </c>
      <c r="B578" s="83" t="s">
        <v>2509</v>
      </c>
      <c r="C578" s="83">
        <v>2</v>
      </c>
      <c r="D578" s="110">
        <v>0.005902548934587867</v>
      </c>
      <c r="E578" s="110">
        <v>1.3832167518513312</v>
      </c>
      <c r="F578" s="83" t="s">
        <v>2089</v>
      </c>
      <c r="G578" s="83" t="b">
        <v>0</v>
      </c>
      <c r="H578" s="83" t="b">
        <v>0</v>
      </c>
      <c r="I578" s="83" t="b">
        <v>0</v>
      </c>
      <c r="J578" s="83" t="b">
        <v>0</v>
      </c>
      <c r="K578" s="83" t="b">
        <v>0</v>
      </c>
      <c r="L578" s="83" t="b">
        <v>0</v>
      </c>
    </row>
    <row r="579" spans="1:12" ht="15">
      <c r="A579" s="84" t="s">
        <v>2344</v>
      </c>
      <c r="B579" s="83" t="s">
        <v>2982</v>
      </c>
      <c r="C579" s="83">
        <v>2</v>
      </c>
      <c r="D579" s="110">
        <v>0.005902548934587867</v>
      </c>
      <c r="E579" s="110">
        <v>1.8603380065709938</v>
      </c>
      <c r="F579" s="83" t="s">
        <v>2089</v>
      </c>
      <c r="G579" s="83" t="b">
        <v>0</v>
      </c>
      <c r="H579" s="83" t="b">
        <v>0</v>
      </c>
      <c r="I579" s="83" t="b">
        <v>0</v>
      </c>
      <c r="J579" s="83" t="b">
        <v>0</v>
      </c>
      <c r="K579" s="83" t="b">
        <v>1</v>
      </c>
      <c r="L579" s="83" t="b">
        <v>0</v>
      </c>
    </row>
    <row r="580" spans="1:12" ht="15">
      <c r="A580" s="84" t="s">
        <v>2982</v>
      </c>
      <c r="B580" s="83" t="s">
        <v>2218</v>
      </c>
      <c r="C580" s="83">
        <v>2</v>
      </c>
      <c r="D580" s="110">
        <v>0.005902548934587867</v>
      </c>
      <c r="E580" s="110">
        <v>1.5593080109070125</v>
      </c>
      <c r="F580" s="83" t="s">
        <v>2089</v>
      </c>
      <c r="G580" s="83" t="b">
        <v>0</v>
      </c>
      <c r="H580" s="83" t="b">
        <v>1</v>
      </c>
      <c r="I580" s="83" t="b">
        <v>0</v>
      </c>
      <c r="J580" s="83" t="b">
        <v>0</v>
      </c>
      <c r="K580" s="83" t="b">
        <v>0</v>
      </c>
      <c r="L580" s="83" t="b">
        <v>0</v>
      </c>
    </row>
    <row r="581" spans="1:12" ht="15">
      <c r="A581" s="84" t="s">
        <v>2942</v>
      </c>
      <c r="B581" s="83" t="s">
        <v>2943</v>
      </c>
      <c r="C581" s="83">
        <v>2</v>
      </c>
      <c r="D581" s="110">
        <v>0.059857788491049516</v>
      </c>
      <c r="E581" s="110">
        <v>0.9294189257142927</v>
      </c>
      <c r="F581" s="83" t="s">
        <v>2090</v>
      </c>
      <c r="G581" s="83" t="b">
        <v>0</v>
      </c>
      <c r="H581" s="83" t="b">
        <v>0</v>
      </c>
      <c r="I581" s="83" t="b">
        <v>0</v>
      </c>
      <c r="J581" s="83" t="b">
        <v>0</v>
      </c>
      <c r="K581" s="83" t="b">
        <v>0</v>
      </c>
      <c r="L581" s="83" t="b">
        <v>0</v>
      </c>
    </row>
    <row r="582" spans="1:12" ht="15">
      <c r="A582" s="84" t="s">
        <v>2180</v>
      </c>
      <c r="B582" s="83" t="s">
        <v>2590</v>
      </c>
      <c r="C582" s="83">
        <v>2</v>
      </c>
      <c r="D582" s="110">
        <v>0.008650869753739947</v>
      </c>
      <c r="E582" s="110">
        <v>1.6384892569546374</v>
      </c>
      <c r="F582" s="83" t="s">
        <v>2092</v>
      </c>
      <c r="G582" s="83" t="b">
        <v>0</v>
      </c>
      <c r="H582" s="83" t="b">
        <v>0</v>
      </c>
      <c r="I582" s="83" t="b">
        <v>0</v>
      </c>
      <c r="J582" s="83" t="b">
        <v>0</v>
      </c>
      <c r="K582" s="83" t="b">
        <v>0</v>
      </c>
      <c r="L582" s="83" t="b">
        <v>0</v>
      </c>
    </row>
    <row r="583" spans="1:12" ht="15">
      <c r="A583" s="84" t="s">
        <v>2340</v>
      </c>
      <c r="B583" s="83" t="s">
        <v>2142</v>
      </c>
      <c r="C583" s="83">
        <v>2</v>
      </c>
      <c r="D583" s="110">
        <v>0.01519500009426128</v>
      </c>
      <c r="E583" s="110">
        <v>1.6384892569546374</v>
      </c>
      <c r="F583" s="83" t="s">
        <v>2092</v>
      </c>
      <c r="G583" s="83" t="b">
        <v>1</v>
      </c>
      <c r="H583" s="83" t="b">
        <v>0</v>
      </c>
      <c r="I583" s="83" t="b">
        <v>0</v>
      </c>
      <c r="J583" s="83" t="b">
        <v>0</v>
      </c>
      <c r="K583" s="83" t="b">
        <v>0</v>
      </c>
      <c r="L583" s="83" t="b">
        <v>0</v>
      </c>
    </row>
    <row r="584" spans="1:12" ht="15">
      <c r="A584" s="84" t="s">
        <v>2157</v>
      </c>
      <c r="B584" s="83" t="s">
        <v>2164</v>
      </c>
      <c r="C584" s="83">
        <v>4</v>
      </c>
      <c r="D584" s="110">
        <v>0.009775804256447817</v>
      </c>
      <c r="E584" s="110">
        <v>1.494463810465755</v>
      </c>
      <c r="F584" s="83" t="s">
        <v>2093</v>
      </c>
      <c r="G584" s="83" t="b">
        <v>1</v>
      </c>
      <c r="H584" s="83" t="b">
        <v>0</v>
      </c>
      <c r="I584" s="83" t="b">
        <v>0</v>
      </c>
      <c r="J584" s="83" t="b">
        <v>0</v>
      </c>
      <c r="K584" s="83" t="b">
        <v>0</v>
      </c>
      <c r="L584" s="83" t="b">
        <v>0</v>
      </c>
    </row>
    <row r="585" spans="1:12" ht="15">
      <c r="A585" s="84" t="s">
        <v>2285</v>
      </c>
      <c r="B585" s="83" t="s">
        <v>2129</v>
      </c>
      <c r="C585" s="83">
        <v>2</v>
      </c>
      <c r="D585" s="110">
        <v>0.0027827972634408226</v>
      </c>
      <c r="E585" s="110">
        <v>1.0507663112330423</v>
      </c>
      <c r="F585" s="83" t="s">
        <v>2093</v>
      </c>
      <c r="G585" s="83" t="b">
        <v>0</v>
      </c>
      <c r="H585" s="83" t="b">
        <v>0</v>
      </c>
      <c r="I585" s="83" t="b">
        <v>0</v>
      </c>
      <c r="J585" s="83" t="b">
        <v>0</v>
      </c>
      <c r="K585" s="83" t="b">
        <v>0</v>
      </c>
      <c r="L585" s="83" t="b">
        <v>0</v>
      </c>
    </row>
    <row r="586" spans="1:12" ht="15">
      <c r="A586" s="84" t="s">
        <v>2164</v>
      </c>
      <c r="B586" s="83" t="s">
        <v>2189</v>
      </c>
      <c r="C586" s="83">
        <v>2</v>
      </c>
      <c r="D586" s="110">
        <v>0.0027827972634408226</v>
      </c>
      <c r="E586" s="110">
        <v>1.3183725514100737</v>
      </c>
      <c r="F586" s="83" t="s">
        <v>2093</v>
      </c>
      <c r="G586" s="83" t="b">
        <v>0</v>
      </c>
      <c r="H586" s="83" t="b">
        <v>0</v>
      </c>
      <c r="I586" s="83" t="b">
        <v>0</v>
      </c>
      <c r="J586" s="83" t="b">
        <v>0</v>
      </c>
      <c r="K586" s="83" t="b">
        <v>0</v>
      </c>
      <c r="L586" s="83" t="b">
        <v>0</v>
      </c>
    </row>
    <row r="587" spans="1:12" ht="15">
      <c r="A587" s="84" t="s">
        <v>2650</v>
      </c>
      <c r="B587" s="83" t="s">
        <v>2381</v>
      </c>
      <c r="C587" s="83">
        <v>2</v>
      </c>
      <c r="D587" s="110">
        <v>0.04681647160847501</v>
      </c>
      <c r="E587" s="110">
        <v>0.8129133566428556</v>
      </c>
      <c r="F587" s="83" t="s">
        <v>2094</v>
      </c>
      <c r="G587" s="83" t="b">
        <v>0</v>
      </c>
      <c r="H587" s="83" t="b">
        <v>0</v>
      </c>
      <c r="I587" s="83" t="b">
        <v>0</v>
      </c>
      <c r="J587" s="83" t="b">
        <v>0</v>
      </c>
      <c r="K587" s="83" t="b">
        <v>0</v>
      </c>
      <c r="L587" s="83" t="b">
        <v>0</v>
      </c>
    </row>
    <row r="588" spans="1:12" ht="15">
      <c r="A588" s="84" t="s">
        <v>2130</v>
      </c>
      <c r="B588" s="83" t="s">
        <v>2182</v>
      </c>
      <c r="C588" s="83">
        <v>2</v>
      </c>
      <c r="D588" s="110">
        <v>0.04681647160847501</v>
      </c>
      <c r="E588" s="110">
        <v>0.8129133566428556</v>
      </c>
      <c r="F588" s="83" t="s">
        <v>2094</v>
      </c>
      <c r="G588" s="83" t="b">
        <v>0</v>
      </c>
      <c r="H588" s="83" t="b">
        <v>0</v>
      </c>
      <c r="I588" s="83" t="b">
        <v>0</v>
      </c>
      <c r="J588" s="83" t="b">
        <v>0</v>
      </c>
      <c r="K588" s="83" t="b">
        <v>0</v>
      </c>
      <c r="L588" s="83" t="b">
        <v>0</v>
      </c>
    </row>
    <row r="589" spans="1:12" ht="15">
      <c r="A589" s="84" t="s">
        <v>2182</v>
      </c>
      <c r="B589" s="83" t="s">
        <v>2211</v>
      </c>
      <c r="C589" s="83">
        <v>2</v>
      </c>
      <c r="D589" s="110">
        <v>0.04681647160847501</v>
      </c>
      <c r="E589" s="110">
        <v>0.8129133566428556</v>
      </c>
      <c r="F589" s="83" t="s">
        <v>2094</v>
      </c>
      <c r="G589" s="83" t="b">
        <v>0</v>
      </c>
      <c r="H589" s="83" t="b">
        <v>0</v>
      </c>
      <c r="I589" s="83" t="b">
        <v>0</v>
      </c>
      <c r="J589" s="83" t="b">
        <v>0</v>
      </c>
      <c r="K589" s="83" t="b">
        <v>0</v>
      </c>
      <c r="L589" s="83" t="b">
        <v>0</v>
      </c>
    </row>
    <row r="590" spans="1:12" ht="15">
      <c r="A590" s="84" t="s">
        <v>2408</v>
      </c>
      <c r="B590" s="83" t="s">
        <v>2390</v>
      </c>
      <c r="C590" s="83">
        <v>2</v>
      </c>
      <c r="D590" s="110">
        <v>0.011359622477886083</v>
      </c>
      <c r="E590" s="110">
        <v>1.4065401804339552</v>
      </c>
      <c r="F590" s="83" t="s">
        <v>2096</v>
      </c>
      <c r="G590" s="83" t="b">
        <v>0</v>
      </c>
      <c r="H590" s="83" t="b">
        <v>0</v>
      </c>
      <c r="I590" s="83" t="b">
        <v>0</v>
      </c>
      <c r="J590" s="83" t="b">
        <v>0</v>
      </c>
      <c r="K590" s="83" t="b">
        <v>0</v>
      </c>
      <c r="L590" s="83" t="b">
        <v>0</v>
      </c>
    </row>
    <row r="591" spans="1:12" ht="15">
      <c r="A591" s="84" t="s">
        <v>2297</v>
      </c>
      <c r="B591" s="83" t="s">
        <v>2269</v>
      </c>
      <c r="C591" s="83">
        <v>2</v>
      </c>
      <c r="D591" s="110">
        <v>0.011359622477886083</v>
      </c>
      <c r="E591" s="110">
        <v>1.7075701760979363</v>
      </c>
      <c r="F591" s="83" t="s">
        <v>2096</v>
      </c>
      <c r="G591" s="83" t="b">
        <v>0</v>
      </c>
      <c r="H591" s="83" t="b">
        <v>0</v>
      </c>
      <c r="I591" s="83" t="b">
        <v>0</v>
      </c>
      <c r="J591" s="83" t="b">
        <v>0</v>
      </c>
      <c r="K591" s="83" t="b">
        <v>0</v>
      </c>
      <c r="L591" s="83" t="b">
        <v>0</v>
      </c>
    </row>
    <row r="592" spans="1:12" ht="15">
      <c r="A592" s="84" t="s">
        <v>2269</v>
      </c>
      <c r="B592" s="83" t="s">
        <v>2363</v>
      </c>
      <c r="C592" s="83">
        <v>2</v>
      </c>
      <c r="D592" s="110">
        <v>0.011359622477886083</v>
      </c>
      <c r="E592" s="110">
        <v>1.7075701760979363</v>
      </c>
      <c r="F592" s="83" t="s">
        <v>2096</v>
      </c>
      <c r="G592" s="83" t="b">
        <v>0</v>
      </c>
      <c r="H592" s="83" t="b">
        <v>0</v>
      </c>
      <c r="I592" s="83" t="b">
        <v>0</v>
      </c>
      <c r="J592" s="83" t="b">
        <v>0</v>
      </c>
      <c r="K592" s="83" t="b">
        <v>0</v>
      </c>
      <c r="L592" s="83" t="b">
        <v>0</v>
      </c>
    </row>
    <row r="593" spans="1:12" ht="15">
      <c r="A593" s="84" t="s">
        <v>2299</v>
      </c>
      <c r="B593" s="83" t="s">
        <v>2270</v>
      </c>
      <c r="C593" s="83">
        <v>3</v>
      </c>
      <c r="D593" s="110">
        <v>0.0134789550297305</v>
      </c>
      <c r="E593" s="110">
        <v>1.3222192947339193</v>
      </c>
      <c r="F593" s="83" t="s">
        <v>2100</v>
      </c>
      <c r="G593" s="83" t="b">
        <v>0</v>
      </c>
      <c r="H593" s="83" t="b">
        <v>0</v>
      </c>
      <c r="I593" s="83" t="b">
        <v>0</v>
      </c>
      <c r="J593" s="83" t="b">
        <v>0</v>
      </c>
      <c r="K593" s="83" t="b">
        <v>0</v>
      </c>
      <c r="L593" s="83" t="b">
        <v>0</v>
      </c>
    </row>
    <row r="594" spans="1:12" ht="15">
      <c r="A594" s="84" t="s">
        <v>2551</v>
      </c>
      <c r="B594" s="83" t="s">
        <v>2269</v>
      </c>
      <c r="C594" s="83">
        <v>2</v>
      </c>
      <c r="D594" s="110">
        <v>0.017971940039640668</v>
      </c>
      <c r="E594" s="110">
        <v>1.3222192947339193</v>
      </c>
      <c r="F594" s="83" t="s">
        <v>2100</v>
      </c>
      <c r="G594" s="83" t="b">
        <v>0</v>
      </c>
      <c r="H594" s="83" t="b">
        <v>0</v>
      </c>
      <c r="I594" s="83" t="b">
        <v>0</v>
      </c>
      <c r="J594" s="83" t="b">
        <v>0</v>
      </c>
      <c r="K594" s="83" t="b">
        <v>0</v>
      </c>
      <c r="L594" s="83" t="b">
        <v>0</v>
      </c>
    </row>
    <row r="595" spans="1:12" ht="15">
      <c r="A595" s="84" t="s">
        <v>2645</v>
      </c>
      <c r="B595" s="83" t="s">
        <v>2494</v>
      </c>
      <c r="C595" s="83">
        <v>2</v>
      </c>
      <c r="D595" s="110">
        <v>0.017349863807987725</v>
      </c>
      <c r="E595" s="110">
        <v>1.1222158782728267</v>
      </c>
      <c r="F595" s="83" t="s">
        <v>2102</v>
      </c>
      <c r="G595" s="83" t="b">
        <v>0</v>
      </c>
      <c r="H595" s="83" t="b">
        <v>0</v>
      </c>
      <c r="I595" s="83" t="b">
        <v>0</v>
      </c>
      <c r="J595" s="83" t="b">
        <v>0</v>
      </c>
      <c r="K595" s="83" t="b">
        <v>1</v>
      </c>
      <c r="L595" s="83" t="b">
        <v>0</v>
      </c>
    </row>
    <row r="596" spans="1:12" ht="15">
      <c r="A596" s="84" t="s">
        <v>2494</v>
      </c>
      <c r="B596" s="83" t="s">
        <v>2130</v>
      </c>
      <c r="C596" s="83">
        <v>2</v>
      </c>
      <c r="D596" s="110">
        <v>0.017349863807987725</v>
      </c>
      <c r="E596" s="110">
        <v>0.8211858826088455</v>
      </c>
      <c r="F596" s="83" t="s">
        <v>2102</v>
      </c>
      <c r="G596" s="83" t="b">
        <v>0</v>
      </c>
      <c r="H596" s="83" t="b">
        <v>1</v>
      </c>
      <c r="I596" s="83" t="b">
        <v>0</v>
      </c>
      <c r="J596" s="83" t="b">
        <v>0</v>
      </c>
      <c r="K596" s="83" t="b">
        <v>0</v>
      </c>
      <c r="L596" s="83" t="b">
        <v>0</v>
      </c>
    </row>
    <row r="597" spans="1:12" ht="15">
      <c r="A597" s="84" t="s">
        <v>2130</v>
      </c>
      <c r="B597" s="83" t="s">
        <v>2494</v>
      </c>
      <c r="C597" s="83">
        <v>2</v>
      </c>
      <c r="D597" s="110">
        <v>0.017349863807987725</v>
      </c>
      <c r="E597" s="110">
        <v>0.8211858826088455</v>
      </c>
      <c r="F597" s="83" t="s">
        <v>2102</v>
      </c>
      <c r="G597" s="83" t="b">
        <v>0</v>
      </c>
      <c r="H597" s="83" t="b">
        <v>0</v>
      </c>
      <c r="I597" s="83" t="b">
        <v>0</v>
      </c>
      <c r="J597" s="83" t="b">
        <v>0</v>
      </c>
      <c r="K597" s="83" t="b">
        <v>1</v>
      </c>
      <c r="L597" s="83" t="b">
        <v>0</v>
      </c>
    </row>
    <row r="598" spans="1:12" ht="15">
      <c r="A598" s="84" t="s">
        <v>2208</v>
      </c>
      <c r="B598" s="83" t="s">
        <v>2228</v>
      </c>
      <c r="C598" s="83">
        <v>2</v>
      </c>
      <c r="D598" s="110">
        <v>0.017349863807987725</v>
      </c>
      <c r="E598" s="110">
        <v>1.423245873936808</v>
      </c>
      <c r="F598" s="83" t="s">
        <v>2102</v>
      </c>
      <c r="G598" s="83" t="b">
        <v>0</v>
      </c>
      <c r="H598" s="83" t="b">
        <v>0</v>
      </c>
      <c r="I598" s="83" t="b">
        <v>0</v>
      </c>
      <c r="J598" s="83" t="b">
        <v>0</v>
      </c>
      <c r="K598" s="83" t="b">
        <v>0</v>
      </c>
      <c r="L59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2022-06-29T17:44:08Z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