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3" activeTab="8"/>
  </bookViews>
  <sheets>
    <sheet name="Edges" sheetId="1" r:id="rId1"/>
    <sheet name="Vertices" sheetId="3" r:id="rId2"/>
    <sheet name="Do Not Delete" sheetId="4" state="hidden" r:id="rId3"/>
    <sheet name="Groups" sheetId="5" r:id="rId4"/>
    <sheet name="Group Vertices" sheetId="6" r:id="rId5"/>
    <sheet name="Overall Metrics" sheetId="7" r:id="rId6"/>
    <sheet name="Time Series Edges" sheetId="8" state="hidden" r:id="rId7"/>
    <sheet name="Misc" sheetId="2" state="hidden" r:id="rId8"/>
    <sheet name="Time Series" sheetId="9" r:id="rId9"/>
  </sheets>
  <definedNames>
    <definedName name="BinDivisor">'Overall Metrics'!$X$2</definedName>
    <definedName name="DynamicFilterColumnName" localSheetId="6">#REF!</definedName>
    <definedName name="DynamicFilterColumnName">#REF!</definedName>
    <definedName name="DynamicFilterForceCalculationRange" localSheetId="6">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6">#REF!</definedName>
    <definedName name="DynamicFilterTableName">#REF!</definedName>
    <definedName name="LOCAL_MYSQL_DATE_FORMAT" localSheetId="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0"/>
  </pivotCaches>
  <extLst>
    <ext xmlns:x14="http://schemas.microsoft.com/office/spreadsheetml/2009/9/main" uri="{BBE1A952-AA13-448e-AADC-164F8A28A991}">
      <x14:slicerCaches>
        <x14:slicerCache r:id="rId14"/>
        <x14:slicerCache r:id="rId1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comments7.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sharedStrings.xml><?xml version="1.0" encoding="utf-8"?>
<sst xmlns="http://schemas.openxmlformats.org/spreadsheetml/2006/main" count="472" uniqueCount="308">
  <si>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</si>
  <si>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</si>
  <si>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</si>
  <si>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</si>
  <si>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</si>
  <si>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</si>
  <si>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</si>
  <si>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</si>
  <si>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</si>
  <si>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</si>
  <si>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</si>
  <si>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</si>
  <si>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</si>
  <si>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</si>
  <si>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</si>
  <si>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</si>
  <si>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</si>
  <si>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</si>
  <si>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</si>
  <si>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</si>
  <si>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</si>
  <si>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</si>
  <si>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</si>
  <si>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</si>
  <si>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</si>
  <si>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</si>
  <si>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</si>
  <si>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</si>
  <si>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</si>
  <si>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</si>
  <si>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</si>
  <si>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</si>
  <si>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</si>
  <si>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</si>
  <si>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</si>
  <si>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</si>
  <si>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</si>
  <si>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</si>
  <si>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</si>
  <si>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</si>
  <si>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</si>
  <si>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</si>
  <si>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</si>
  <si>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</si>
  <si>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</si>
  <si>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</si>
  <si>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</si>
  <si>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</si>
  <si>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</si>
  <si>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</si>
  <si>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</si>
  <si>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</si>
  <si>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</si>
  <si>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</si>
  <si>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</si>
  <si>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</si>
  <si>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</si>
  <si>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</si>
  <si>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</si>
  <si>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</si>
  <si>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</si>
  <si>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</si>
  <si>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</si>
  <si>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</si>
  <si>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</si>
  <si>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</si>
  <si>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</si>
  <si>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</si>
  <si>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</si>
  <si>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</si>
  <si>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</si>
  <si>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</si>
  <si>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</si>
  <si>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</si>
  <si>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</si>
  <si>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</si>
  <si>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</si>
  <si>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</si>
  <si>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</si>
  <si>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</si>
  <si>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</si>
  <si>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</si>
  <si>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</si>
  <si>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</si>
  <si>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</si>
  <si>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</si>
  <si>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</si>
  <si>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</si>
  <si>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</si>
  <si>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</si>
  <si>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</si>
  <si>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</si>
  <si>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</si>
  <si>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</si>
  <si>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</si>
  <si>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</si>
  <si>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</si>
  <si>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</si>
  <si>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</si>
  <si>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</si>
  <si>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</si>
  <si>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</si>
  <si>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</si>
  <si>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</si>
  <si>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</si>
  <si>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</si>
  <si>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</si>
  <si>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</si>
  <si>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</si>
  <si>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</si>
  <si>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</si>
  <si>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</si>
  <si>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</si>
  <si>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</si>
  <si>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</si>
  <si>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</si>
  <si>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</si>
  <si>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</si>
  <si>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</si>
  <si>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</si>
  <si>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</si>
  <si>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</si>
  <si>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</si>
  <si>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</si>
  <si>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</si>
  <si>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</si>
  <si>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</si>
  <si>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</si>
  <si>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</si>
  <si>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</si>
  <si>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</si>
  <si>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</si>
  <si>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</si>
  <si>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</si>
  <si>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</si>
  <si>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</si>
  <si>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</si>
  <si>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</si>
  <si>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</si>
  <si>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</si>
  <si>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</si>
  <si>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</si>
  <si>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</si>
  <si>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</si>
  <si>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</si>
  <si>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</si>
  <si>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</si>
  <si>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</si>
  <si>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</si>
  <si>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</si>
  <si>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</si>
  <si>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</si>
  <si>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</si>
  <si>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</si>
  <si>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</si>
  <si>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</si>
  <si>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</si>
  <si>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</si>
  <si>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</si>
  <si>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</si>
  <si>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</si>
  <si>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</si>
  <si>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</si>
  <si>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</si>
  <si>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</si>
  <si>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</si>
  <si>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</si>
  <si>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</si>
  <si>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</si>
  <si>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</si>
  <si>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</si>
  <si>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</si>
  <si>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</si>
  <si>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</si>
  <si>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</si>
  <si>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</si>
  <si>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</si>
  <si>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</si>
  <si>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</si>
  <si>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</si>
  <si>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</si>
  <si>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</si>
  <si>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</si>
  <si>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</si>
  <si>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</si>
  <si>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</si>
  <si>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</si>
  <si>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</si>
  <si>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</si>
  <si>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</si>
  <si>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</si>
  <si>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</si>
  <si>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</si>
  <si>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</si>
  <si>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</si>
  <si>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</si>
  <si>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</si>
  <si>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</si>
  <si>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</si>
  <si>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</si>
  <si>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</si>
  <si>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</si>
  <si>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</si>
  <si>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</si>
  <si>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</si>
  <si>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</si>
  <si>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</si>
  <si>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</si>
  <si>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</si>
  <si>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</si>
  <si>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</si>
  <si>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</si>
  <si>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</si>
  <si>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</si>
  <si>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chemicalsgreen</t>
  </si>
  <si>
    <t>Thanks to the Treat-ON® Automation System that we developed with the "Know-How," we intend to use water more efficiently; we go beyond traditional systems and control the product dosage with "Trace Element Technology". 
#GREENChemicals #chemistryforfuture #chemicalproducts https://t.co/SPabqYVnze</t>
  </si>
  <si>
    <t>Suyun daha verimli kullanılması hedefiyle sahip olduğumuz “Know-How” ile geliştirdiğimiz Treat-ON® Otomasyon Sistemi sayesinde geleneksel sistemlerin ötesine geçip, ürünlerin dozaj miktarını “İz Element Teknolojisi” ile kontrol ediyoruz. 
#GREENChemicals #chemistryforfuture https://t.co/QCgbFhLuw1</t>
  </si>
  <si>
    <t>greenchemicals chemistryforfuture chemicalproducts</t>
  </si>
  <si>
    <t>greenchemicals chemistryforfuture</t>
  </si>
  <si>
    <t>14:46:24</t>
  </si>
  <si>
    <t>14:45:55</t>
  </si>
  <si>
    <t>1596153335761240065</t>
  </si>
  <si>
    <t>1596153210682621952</t>
  </si>
  <si>
    <t/>
  </si>
  <si>
    <t>en</t>
  </si>
  <si>
    <t>tr</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</si>
  <si>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</si>
  <si>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</si>
  <si>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</si>
  <si>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</si>
  <si>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</si>
  <si>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</si>
  <si>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</si>
  <si>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</si>
  <si>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</si>
  <si>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</si>
  <si>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</si>
  <si>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</si>
  <si>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</si>
  <si>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</si>
  <si>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</si>
  <si>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</si>
  <si>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</si>
  <si>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</si>
  <si>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</si>
  <si>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</si>
  <si>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</si>
  <si>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</si>
  <si>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</si>
  <si>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GREEN Chemicals®</t>
  </si>
  <si>
    <t>954301852404932608</t>
  </si>
  <si>
    <t>Kimyasal ürün ve teknik hizmet şirketi</t>
  </si>
  <si>
    <t>Kocaeli, Türkiye</t>
  </si>
  <si>
    <t>Open Twitter Page for This Person</t>
  </si>
  <si>
    <t>chemicalsgreen
Thanks to the Treat-ON® Automation
System that we developed with the
"Know-How," we intend to use water
more efficiently; we go beyond
traditional systems and control
the product dosage with "Trace
Element Technology".  #GREENChemicals
#chemistryforfuture #chemicalproducts
https://t.co/SPabqYVnze</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</si>
  <si>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</si>
  <si>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</si>
  <si>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</si>
  <si>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</si>
  <si>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</si>
  <si>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</si>
  <si>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</si>
  <si>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</si>
  <si>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</si>
  <si>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</si>
  <si>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</si>
  <si>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</si>
  <si>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</si>
  <si>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</si>
  <si>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</si>
  <si>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</si>
  <si>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</si>
  <si>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</si>
  <si>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</si>
  <si>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</si>
  <si>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</si>
  <si>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</si>
  <si>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</si>
  <si>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</si>
  <si>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</si>
  <si>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</si>
  <si>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</si>
  <si>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</si>
  <si>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</si>
  <si>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</si>
  <si>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</si>
  <si>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</si>
  <si>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</si>
  <si>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</si>
  <si>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</si>
  <si>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</si>
  <si>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</si>
  <si>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</si>
  <si>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</si>
  <si>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0, 12, 96</t>
  </si>
  <si>
    <t>Vertex Group</t>
  </si>
  <si>
    <t>Vertex 1 Group</t>
  </si>
  <si>
    <t>Vertex 2 Group</t>
  </si>
  <si>
    <t>Not Applicable</t>
  </si>
  <si>
    <t>Top URLs in Tweet</t>
  </si>
  <si>
    <t>Count of Tweet Date (UTC)</t>
  </si>
  <si>
    <t>Row Labels</t>
  </si>
  <si>
    <t>Grand Total</t>
  </si>
  <si>
    <t>128, 128, 128</t>
  </si>
  <si>
    <t>Autofill Workbook Results</t>
  </si>
  <si>
    <t>Edge Weight▓2▓2▓0▓True▓Gray▓Red▓▓Edge Weight▓2▓2▓0▓3▓10▓False▓Edge Weight▓2▓2▓0▓35▓12▓False▓▓0▓0▓0▓True▓Black▓Black▓▓▓0▓0▓0▓0▓0▓False▓▓0▓0▓0▓0▓0▓False▓▓0▓0▓0▓0▓0▓False▓▓0▓0▓0▓0▓0▓False</t>
  </si>
  <si>
    <t>GraphSource░GraphServerTwitterSearch▓GraphTerm░#GreenChemicals▓ImportDescription░The graph represents a network of 1 Twitter user whose tweets in the requested range contained "#GreenChemicals", or who was replied to or mentioned in those tweets.  The network was obtained from the NodeXL Graph Server on Tuesday, 06 December 2022 at 03:45 UTC.
The requested start date was Tuesday, 06 December 2022 at 01:01 UTC and the maximum number of days (going backward) was 14.
The maximum number of tweets collected was 7,500.
The tweets in the network were tweeted over the 0-minute period from Friday, 25 November 2022 at 14:45 UTC to Friday, 25 November 2022 at 14:46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</si>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</sst>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General"/>
    <numFmt numFmtId="178" formatCode="@"/>
    <numFmt numFmtId="179" formatCode="0"/>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96">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167" fontId="0" fillId="4" borderId="1" xfId="24" applyNumberFormat="1" applyFon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4" borderId="11" xfId="24" applyNumberFormat="1" applyBorder="1" applyAlignment="1">
      <alignment/>
    </xf>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49" fontId="6" fillId="5" borderId="1" xfId="25" applyNumberFormat="1" applyAlignment="1">
      <alignment/>
    </xf>
    <xf numFmtId="0" fontId="0" fillId="3" borderId="1" xfId="23" applyNumberFormat="1" applyFont="1" applyAlignment="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224">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77"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7" formatCode="General"/>
      <border>
        <right style="thin">
          <color theme="0"/>
        </right>
      </border>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border>
        <left style="thin">
          <color theme="0"/>
        </left>
      </border>
    </dxf>
    <dxf>
      <numFmt numFmtId="177"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80" formatCode="#,##0.00"/>
    </dxf>
    <dxf>
      <alignment horizontal="general" vertical="bottom" textRotation="0" wrapText="1" shrinkToFit="1" readingOrder="0"/>
    </dxf>
    <dxf>
      <alignment horizontal="general" vertical="bottom" textRotation="0" wrapText="1" shrinkToFit="1" readingOrder="0"/>
    </dxf>
    <dxf>
      <numFmt numFmtId="178" formatCode="@"/>
    </dxf>
    <dxf>
      <numFmt numFmtId="178" formatCode="@"/>
    </dxf>
    <dxf>
      <font>
        <b val="0"/>
        <i val="0"/>
        <u val="none"/>
        <strike val="0"/>
        <sz val="11"/>
        <name val="Calibri"/>
        <color theme="1"/>
        <condense val="0"/>
        <extend val="0"/>
      </font>
      <numFmt numFmtId="177" formatCode="General"/>
    </dxf>
    <dxf>
      <numFmt numFmtId="178"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dxf>
    <dxf>
      <numFmt numFmtId="177" formatCode="General"/>
    </dxf>
    <dxf>
      <numFmt numFmtId="177" formatCode="General"/>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numFmt numFmtId="166" formatCode="#,##0.000"/>
    </dxf>
    <dxf>
      <numFmt numFmtId="166" formatCode="#,##0.000"/>
    </dxf>
    <dxf>
      <numFmt numFmtId="177" formatCode="General"/>
    </dxf>
    <dxf>
      <numFmt numFmtId="165" formatCode="#,##0.0"/>
    </dxf>
    <dxf>
      <numFmt numFmtId="165" formatCode="#,##0.0"/>
    </dxf>
    <dxf>
      <numFmt numFmtId="164" formatCode="0.0"/>
      <border>
        <left style="thin">
          <color theme="0"/>
        </left>
      </border>
    </dxf>
    <dxf>
      <numFmt numFmtId="178" formatCode="@"/>
      <alignment horizontal="general" vertical="bottom" textRotation="0" wrapText="1" shrinkToFit="1" readingOrder="0"/>
    </dxf>
    <dxf>
      <numFmt numFmtId="177" formatCode="General"/>
      <border>
        <right style="thin">
          <color theme="0"/>
        </right>
      </border>
    </dxf>
    <dxf>
      <numFmt numFmtId="177" formatCode="General"/>
    </dxf>
    <dxf>
      <numFmt numFmtId="178" formatCode="@"/>
    </dxf>
    <dxf>
      <numFmt numFmtId="177" formatCode="General"/>
      <border>
        <left style="thin">
          <color theme="0"/>
        </left>
      </border>
    </dxf>
    <dxf>
      <numFmt numFmtId="177" formatCode="General"/>
      <alignment horizontal="general" vertical="bottom" textRotation="0" wrapText="1" shrinkToFit="1" readingOrder="0"/>
    </dxf>
    <dxf>
      <numFmt numFmtId="179" formatCode="0"/>
      <border>
        <right style="thin">
          <color theme="0"/>
        </right>
      </border>
    </dxf>
    <dxf>
      <numFmt numFmtId="164" formatCode="0.0"/>
    </dxf>
    <dxf>
      <numFmt numFmtId="177" formatCode="General"/>
    </dxf>
    <dxf>
      <numFmt numFmtId="177" formatCode="General"/>
    </dxf>
    <dxf>
      <numFmt numFmtId="178" formatCode="@"/>
    </dxf>
    <dxf>
      <numFmt numFmtId="178" formatCode="@"/>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23"/>
      <tableStyleElement type="headerRow" dxfId="222"/>
    </tableStyle>
    <tableStyle name="NodeXL Table" pivot="0" count="1">
      <tableStyleElement type="headerRow" dxfId="22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pivotCacheDefinition" Target="pivotCache/pivotCacheDefinition1.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customXml" Target="../customXml/item1.xml" /><Relationship Id="rId14" Type="http://schemas.microsoft.com/office/2007/relationships/slicerCache" Target="/xl/slicerCaches/slicerCache1.xml" /><Relationship Id="rId15" Type="http://schemas.microsoft.com/office/2007/relationships/slicerCache" Target="/xl/slicerCaches/slicerCache2.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1015521"/>
        <c:axId val="56486506"/>
      </c:barChart>
      <c:catAx>
        <c:axId val="5101552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6486506"/>
        <c:crosses val="autoZero"/>
        <c:auto val="1"/>
        <c:lblOffset val="100"/>
        <c:noMultiLvlLbl val="0"/>
      </c:catAx>
      <c:valAx>
        <c:axId val="564865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0155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#GreenChemicals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Series'!$A$26:$A$28</c:f>
              <c:strCache>
                <c:ptCount val="2"/>
                <c:pt idx="0">
                  <c:v>11/25/2022 14:45</c:v>
                </c:pt>
                <c:pt idx="1">
                  <c:v>11/25/2022 14:46</c:v>
                </c:pt>
              </c:strCache>
            </c:strRef>
          </c:cat>
          <c:val>
            <c:numRef>
              <c:f>'Time Series'!$B$26:$B$28</c:f>
              <c:numCache>
                <c:formatCode>General</c:formatCode>
                <c:ptCount val="2"/>
                <c:pt idx="0">
                  <c:v>1</c:v>
                </c:pt>
                <c:pt idx="1">
                  <c:v>1</c:v>
                </c:pt>
              </c:numCache>
            </c:numRef>
          </c:val>
        </c:ser>
        <c:axId val="863499"/>
        <c:axId val="7771492"/>
      </c:barChart>
      <c:catAx>
        <c:axId val="863499"/>
        <c:scaling>
          <c:orientation val="minMax"/>
        </c:scaling>
        <c:axPos val="b"/>
        <c:delete val="0"/>
        <c:numFmt formatCode="General" sourceLinked="1"/>
        <c:majorTickMark val="out"/>
        <c:minorTickMark val="none"/>
        <c:tickLblPos val="nextTo"/>
        <c:crossAx val="7771492"/>
        <c:crosses val="autoZero"/>
        <c:auto val="1"/>
        <c:lblOffset val="100"/>
        <c:noMultiLvlLbl val="0"/>
      </c:catAx>
      <c:valAx>
        <c:axId val="7771492"/>
        <c:scaling>
          <c:orientation val="minMax"/>
        </c:scaling>
        <c:axPos val="l"/>
        <c:majorGridlines/>
        <c:delete val="0"/>
        <c:numFmt formatCode="General" sourceLinked="1"/>
        <c:majorTickMark val="out"/>
        <c:minorTickMark val="none"/>
        <c:tickLblPos val="nextTo"/>
        <c:crossAx val="86349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8616507"/>
        <c:axId val="12004244"/>
      </c:barChart>
      <c:catAx>
        <c:axId val="3861650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2004244"/>
        <c:crosses val="autoZero"/>
        <c:auto val="1"/>
        <c:lblOffset val="100"/>
        <c:noMultiLvlLbl val="0"/>
      </c:catAx>
      <c:valAx>
        <c:axId val="120042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6165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0929333"/>
        <c:axId val="32819678"/>
      </c:barChart>
      <c:catAx>
        <c:axId val="4092933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2819678"/>
        <c:crosses val="autoZero"/>
        <c:auto val="1"/>
        <c:lblOffset val="100"/>
        <c:noMultiLvlLbl val="0"/>
      </c:catAx>
      <c:valAx>
        <c:axId val="328196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9293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6941647"/>
        <c:axId val="41148232"/>
      </c:barChart>
      <c:catAx>
        <c:axId val="2694164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1148232"/>
        <c:crosses val="autoZero"/>
        <c:auto val="1"/>
        <c:lblOffset val="100"/>
        <c:noMultiLvlLbl val="0"/>
      </c:catAx>
      <c:valAx>
        <c:axId val="411482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9416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4789769"/>
        <c:axId val="44672466"/>
      </c:barChart>
      <c:catAx>
        <c:axId val="3478976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4672466"/>
        <c:crosses val="autoZero"/>
        <c:auto val="1"/>
        <c:lblOffset val="100"/>
        <c:noMultiLvlLbl val="0"/>
      </c:catAx>
      <c:valAx>
        <c:axId val="446724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7897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6507875"/>
        <c:axId val="61699964"/>
      </c:barChart>
      <c:catAx>
        <c:axId val="6650787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1699964"/>
        <c:crosses val="autoZero"/>
        <c:auto val="1"/>
        <c:lblOffset val="100"/>
        <c:noMultiLvlLbl val="0"/>
      </c:catAx>
      <c:valAx>
        <c:axId val="616999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5078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8428765"/>
        <c:axId val="31641158"/>
      </c:barChart>
      <c:catAx>
        <c:axId val="1842876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1641158"/>
        <c:crosses val="autoZero"/>
        <c:auto val="1"/>
        <c:lblOffset val="100"/>
        <c:noMultiLvlLbl val="0"/>
      </c:catAx>
      <c:valAx>
        <c:axId val="316411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4287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6334967"/>
        <c:axId val="12796976"/>
      </c:barChart>
      <c:catAx>
        <c:axId val="1633496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2796976"/>
        <c:crosses val="autoZero"/>
        <c:auto val="1"/>
        <c:lblOffset val="100"/>
        <c:noMultiLvlLbl val="0"/>
      </c:catAx>
      <c:valAx>
        <c:axId val="127969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3349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8063921"/>
        <c:axId val="29922106"/>
      </c:barChart>
      <c:catAx>
        <c:axId val="48063921"/>
        <c:scaling>
          <c:orientation val="minMax"/>
        </c:scaling>
        <c:axPos val="b"/>
        <c:delete val="1"/>
        <c:majorTickMark val="out"/>
        <c:minorTickMark val="none"/>
        <c:tickLblPos val="none"/>
        <c:crossAx val="29922106"/>
        <c:crosses val="autoZero"/>
        <c:auto val="1"/>
        <c:lblOffset val="100"/>
        <c:noMultiLvlLbl val="0"/>
      </c:catAx>
      <c:valAx>
        <c:axId val="29922106"/>
        <c:scaling>
          <c:orientation val="minMax"/>
        </c:scaling>
        <c:axPos val="l"/>
        <c:delete val="1"/>
        <c:majorTickMark val="out"/>
        <c:minorTickMark val="none"/>
        <c:tickLblPos val="none"/>
        <c:crossAx val="4806392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24301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150971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177546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04025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30790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257460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10705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283940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 refreshedBy="Marc" refreshedVersion="5">
  <cacheSource type="worksheet">
    <worksheetSource ref="A2:BE4" sheet="Time Series Edges"/>
  </cacheSource>
  <cacheFields count="5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1">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MixedTypes="0" count="2">
        <s v="greenchemicals chemistryforfuture"/>
        <s v="greenchemicals chemistryforfuture chemicalproducts"/>
      </sharedItems>
    </cacheField>
    <cacheField name="Media in Tweet">
      <sharedItems containsMixedTypes="0" count="0"/>
    </cacheField>
    <cacheField name="Tweet Image File">
      <sharedItems containsMixedTypes="0" count="0"/>
    </cacheField>
    <cacheField name="Tweet Date (UTC)" numFmtId="22">
      <sharedItems containsSemiMixedTypes="0" containsNonDate="0" containsDate="1" containsString="0" containsMixedTypes="0" count="2">
        <d v="2022-11-25T14:45:55.000"/>
        <d v="2022-11-25T14:46:24.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
  <r>
    <s v="chemicalsgreen"/>
    <s v="chemicalsgreen"/>
    <m/>
    <m/>
    <m/>
    <m/>
    <m/>
    <m/>
    <m/>
    <m/>
    <s v="No"/>
    <n v="3"/>
    <m/>
    <m/>
    <x v="0"/>
    <d v="2022-11-25T14:45:55.000"/>
    <s v="Suyun daha verimli kullanılması hedefiyle sahip olduğumuz “Know-How” ile geliştirdiğimiz Treat-ON® Otomasyon Sistemi sayesinde geleneksel sistemlerin ötesine geçip, ürünlerin dozaj miktarını “İz Element Teknolojisi” ile kontrol ediyoruz. _x000a__x000a_#GREENChemicals #chemistryforfuture https://t.co/QCgbFhLuw1"/>
    <m/>
    <m/>
    <x v="0"/>
    <s v="https://pbs.twimg.com/media/Fias4TMXgAI_cYy.jpg"/>
    <s v="https://pbs.twimg.com/media/Fias4TMXgAI_cYy.jpg"/>
    <x v="0"/>
    <d v="2022-11-25T00:00:00.000"/>
    <s v="14:45:55"/>
    <s v="https://twitter.com/#!/chemicalsgreen/status/1596153210682621952"/>
    <m/>
    <m/>
    <s v="1596153210682621952"/>
    <m/>
    <b v="0"/>
    <n v="0"/>
    <s v=""/>
    <b v="0"/>
    <s v="tr"/>
    <m/>
    <s v=""/>
    <b v="0"/>
    <n v="0"/>
    <s v=""/>
    <s v="Twitter Web App"/>
    <b v="0"/>
    <s v="1596153210682621952"/>
    <s v="Tweet"/>
    <n v="0"/>
    <n v="0"/>
    <m/>
    <m/>
    <m/>
    <m/>
    <m/>
    <m/>
    <m/>
    <m/>
    <n v="2"/>
    <s v="1"/>
    <s v="1"/>
  </r>
  <r>
    <s v="chemicalsgreen"/>
    <s v="chemicalsgreen"/>
    <m/>
    <m/>
    <m/>
    <m/>
    <m/>
    <m/>
    <m/>
    <m/>
    <s v="No"/>
    <n v="4"/>
    <m/>
    <m/>
    <x v="0"/>
    <d v="2022-11-25T14:46:24.000"/>
    <s v="Thanks to the Treat-ON® Automation System that we developed with the &quot;Know-How,&quot; we intend to use water more efficiently; we go beyond traditional systems and control the product dosage with &quot;Trace Element Technology&quot;. _x000a__x000a_#GREENChemicals #chemistryforfuture #chemicalproducts https://t.co/SPabqYVnze"/>
    <m/>
    <m/>
    <x v="1"/>
    <s v="https://pbs.twimg.com/media/Fias_gcXEAEPjLh.jpg"/>
    <s v="https://pbs.twimg.com/media/Fias_gcXEAEPjLh.jpg"/>
    <x v="1"/>
    <d v="2022-11-25T00:00:00.000"/>
    <s v="14:46:24"/>
    <s v="https://twitter.com/#!/chemicalsgreen/status/1596153335761240065"/>
    <m/>
    <m/>
    <s v="1596153335761240065"/>
    <m/>
    <b v="0"/>
    <n v="0"/>
    <s v=""/>
    <b v="0"/>
    <s v="en"/>
    <m/>
    <s v=""/>
    <b v="0"/>
    <n v="0"/>
    <s v=""/>
    <s v="Twitter Web App"/>
    <b v="0"/>
    <s v="1596153335761240065"/>
    <s v="Tweet"/>
    <n v="0"/>
    <n v="0"/>
    <m/>
    <m/>
    <m/>
    <m/>
    <m/>
    <m/>
    <m/>
    <m/>
    <n v="2"/>
    <s v="1"/>
    <s v="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8" firstHeaderRow="1" firstDataRow="1" firstDataCol="1"/>
  <pivotFields count="5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3">
        <item x="0"/>
        <item x="1"/>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3">
    <i>
      <x/>
    </i>
    <i>
      <x v="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9" name="TimeSeries"/>
  </pivotTables>
  <data>
    <tabular pivotCacheId="1">
      <items count="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9" name="TimeSeries"/>
  </pivotTables>
  <data>
    <tabular pivotCacheId="1">
      <items count="2">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E4" totalsRowShown="0" headerRowDxfId="220" dataDxfId="219">
  <autoFilter ref="A2:BE4"/>
  <tableColumns count="57">
    <tableColumn id="1" name="Vertex 1" dataDxfId="218"/>
    <tableColumn id="2" name="Vertex 2" dataDxfId="217"/>
    <tableColumn id="3" name="Color" dataDxfId="216"/>
    <tableColumn id="4" name="Width" dataDxfId="215"/>
    <tableColumn id="11" name="Style" dataDxfId="214"/>
    <tableColumn id="5" name="Opacity" dataDxfId="213"/>
    <tableColumn id="6" name="Visibility" dataDxfId="212"/>
    <tableColumn id="10" name="Label" dataDxfId="211"/>
    <tableColumn id="12" name="Label Text Color" dataDxfId="210"/>
    <tableColumn id="13" name="Label Font Size" dataDxfId="209"/>
    <tableColumn id="14" name="Reciprocated?" dataDxfId="60"/>
    <tableColumn id="7" name="ID" dataDxfId="208"/>
    <tableColumn id="9" name="Dynamic Filter" dataDxfId="207"/>
    <tableColumn id="8" name="Add Your Own Columns Here" dataDxfId="206"/>
    <tableColumn id="15" name="Relationship" dataDxfId="205"/>
    <tableColumn id="16" name="Relationship Date (UTC)" dataDxfId="204"/>
    <tableColumn id="17" name="Tweet" dataDxfId="203"/>
    <tableColumn id="18" name="URLs in Tweet" dataDxfId="202"/>
    <tableColumn id="19" name="Domains in Tweet" dataDxfId="201"/>
    <tableColumn id="20" name="Hashtags in Tweet" dataDxfId="200"/>
    <tableColumn id="21" name="Media in Tweet" dataDxfId="199"/>
    <tableColumn id="22" name="Tweet Image File" dataDxfId="198"/>
    <tableColumn id="23" name="Tweet Date (UTC)" dataDxfId="197"/>
    <tableColumn id="24" name="Date" dataDxfId="196"/>
    <tableColumn id="25" name="Time" dataDxfId="195"/>
    <tableColumn id="26" name="Twitter Page for Tweet" dataDxfId="194"/>
    <tableColumn id="27" name="Latitude" dataDxfId="193"/>
    <tableColumn id="28" name="Longitude" dataDxfId="192"/>
    <tableColumn id="29" name="Imported ID" dataDxfId="191"/>
    <tableColumn id="30" name="In-Reply-To Tweet ID" dataDxfId="190"/>
    <tableColumn id="31" name="Favorited" dataDxfId="189"/>
    <tableColumn id="32" name="Favorite Count" dataDxfId="188"/>
    <tableColumn id="33" name="In-Reply-To User ID" dataDxfId="187"/>
    <tableColumn id="34" name="Is Quote Status" dataDxfId="186"/>
    <tableColumn id="35" name="Language" dataDxfId="185"/>
    <tableColumn id="36" name="Possibly Sensitive" dataDxfId="184"/>
    <tableColumn id="37" name="Quoted Status ID" dataDxfId="183"/>
    <tableColumn id="38" name="Retweeted" dataDxfId="182"/>
    <tableColumn id="39" name="Retweet Count" dataDxfId="181"/>
    <tableColumn id="40" name="Retweet ID" dataDxfId="180"/>
    <tableColumn id="41" name="Source" dataDxfId="179"/>
    <tableColumn id="42" name="Truncated" dataDxfId="178"/>
    <tableColumn id="43" name="Unified Twitter ID" dataDxfId="177"/>
    <tableColumn id="44" name="Imported Tweet Type" dataDxfId="176"/>
    <tableColumn id="45" name="Added By Extended Analysis" dataDxfId="175"/>
    <tableColumn id="46" name="Corrected By Extended Analysis" dataDxfId="174"/>
    <tableColumn id="47" name="Place Bounding Box" dataDxfId="173"/>
    <tableColumn id="48" name="Place Country" dataDxfId="172"/>
    <tableColumn id="49" name="Place Country Code" dataDxfId="171"/>
    <tableColumn id="50" name="Place Full Name" dataDxfId="170"/>
    <tableColumn id="51" name="Place ID" dataDxfId="169"/>
    <tableColumn id="52" name="Place Name" dataDxfId="168"/>
    <tableColumn id="53" name="Place Type" dataDxfId="167"/>
    <tableColumn id="54" name="Place URL" dataDxfId="166"/>
    <tableColumn id="55" name="Edge Weight"/>
    <tableColumn id="56" name="Vertex 1 Group" dataDxfId="76">
      <calculatedColumnFormula>REPLACE(INDEX(GroupVertices[Group], MATCH(Edges[[#This Row],[Vertex 1]],GroupVertices[Vertex],0)),1,1,"")</calculatedColumnFormula>
    </tableColumn>
    <tableColumn id="57" name="Vertex 2 Group" dataDxfId="75">
      <calculatedColumnFormula>REPLACE(INDEX(GroupVertices[Group], MATCH(Edges[[#This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7" name="PerWorkbookSettings" displayName="PerWorkbookSettings" ref="J1:K26" totalsRowShown="0" headerRowDxfId="87">
  <autoFilter ref="J1:K26"/>
  <tableColumns count="2">
    <tableColumn id="1" name="Per-Workbook Setting"/>
    <tableColumn id="2" name="Value"/>
  </tableColumns>
  <tableStyleInfo name="TableStyleMedium9" showFirstColumn="0" showLastColumn="0" showRowStripes="1" showColumnStripes="0"/>
</table>
</file>

<file path=xl/tables/table11.xml><?xml version="1.0" encoding="utf-8"?>
<table xmlns="http://schemas.openxmlformats.org/spreadsheetml/2006/main" id="8" name="DynamicFilterSettings" displayName="DynamicFilterSettings" ref="M1:P2" totalsRowShown="0" headerRowDxfId="8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BA3" totalsRowShown="0" headerRowDxfId="165" dataDxfId="164">
  <autoFilter ref="A2:BA3"/>
  <tableColumns count="53">
    <tableColumn id="1" name="Vertex" dataDxfId="163"/>
    <tableColumn id="2" name="Color" dataDxfId="162"/>
    <tableColumn id="5" name="Shape" dataDxfId="161"/>
    <tableColumn id="6" name="Size" dataDxfId="160"/>
    <tableColumn id="4" name="Opacity" dataDxfId="159"/>
    <tableColumn id="7" name="Image File" dataDxfId="158">
      <calculatedColumnFormula>HYPERLINK("http://pbs.twimg.com/profile_images/1460201642788364290/mAlneqJb_normal.jpg")</calculatedColumnFormula>
    </tableColumn>
    <tableColumn id="3" name="Visibility" dataDxfId="157"/>
    <tableColumn id="10" name="Label" dataDxfId="156"/>
    <tableColumn id="16" name="Label Fill Color" dataDxfId="155"/>
    <tableColumn id="9" name="Label Position" dataDxfId="154"/>
    <tableColumn id="8" name="Tooltip" dataDxfId="153"/>
    <tableColumn id="18" name="Layout Order" dataDxfId="152"/>
    <tableColumn id="13" name="X" dataDxfId="151"/>
    <tableColumn id="14" name="Y" dataDxfId="150"/>
    <tableColumn id="12" name="Locked?" dataDxfId="149"/>
    <tableColumn id="19" name="Polar R" dataDxfId="148"/>
    <tableColumn id="20" name="Polar Angle" dataDxfId="147"/>
    <tableColumn id="21" name="Degree" dataDxfId="146"/>
    <tableColumn id="22" name="In-Degree" dataDxfId="145"/>
    <tableColumn id="23" name="Out-Degree" dataDxfId="144"/>
    <tableColumn id="24" name="Betweenness Centrality" dataDxfId="143"/>
    <tableColumn id="25" name="Closeness Centrality" dataDxfId="142"/>
    <tableColumn id="26" name="Eigenvector Centrality" dataDxfId="141"/>
    <tableColumn id="15" name="PageRank" dataDxfId="140"/>
    <tableColumn id="27" name="Clustering Coefficient" dataDxfId="139"/>
    <tableColumn id="29" name="Reciprocated Vertex Pair Ratio" dataDxfId="138"/>
    <tableColumn id="11" name="ID" dataDxfId="137"/>
    <tableColumn id="28" name="Dynamic Filter" dataDxfId="136"/>
    <tableColumn id="17" name="Add Your Own Columns Here" dataDxfId="135"/>
    <tableColumn id="30" name="Name" dataDxfId="134"/>
    <tableColumn id="31" name="User ID" dataDxfId="133"/>
    <tableColumn id="32" name="Followed" dataDxfId="132"/>
    <tableColumn id="33" name="Followers" dataDxfId="131"/>
    <tableColumn id="34" name="Tweets" dataDxfId="130"/>
    <tableColumn id="35" name="Favorites" dataDxfId="129"/>
    <tableColumn id="36" name="Time Zone UTC Offset (Seconds)" dataDxfId="128"/>
    <tableColumn id="37" name="Description" dataDxfId="127"/>
    <tableColumn id="38" name="Location" dataDxfId="126"/>
    <tableColumn id="39" name="Web" dataDxfId="125">
      <calculatedColumnFormula>HYPERLINK("https://t.co/lfNAOmJXr7")</calculatedColumnFormula>
    </tableColumn>
    <tableColumn id="40" name="Time Zone" dataDxfId="124"/>
    <tableColumn id="41" name="Joined Twitter Date (UTC)" dataDxfId="123"/>
    <tableColumn id="42" name="Profile Banner Url" dataDxfId="122">
      <calculatedColumnFormula>HYPERLINK("https://pbs.twimg.com/profile_banners/954301852404932608/1665567433")</calculatedColumnFormula>
    </tableColumn>
    <tableColumn id="43" name="Default Profile" dataDxfId="121"/>
    <tableColumn id="44" name="Default Profile Image" dataDxfId="120"/>
    <tableColumn id="45" name="Geo Enabled" dataDxfId="119"/>
    <tableColumn id="46" name="Language" dataDxfId="118"/>
    <tableColumn id="47" name="Listed Count" dataDxfId="117"/>
    <tableColumn id="48" name="Profile Background Image Url" dataDxfId="116">
      <calculatedColumnFormula>HYPERLINK("http://abs.twimg.com/images/themes/theme1/bg.png")</calculatedColumnFormula>
    </tableColumn>
    <tableColumn id="49" name="Verified" dataDxfId="115"/>
    <tableColumn id="50" name="Custom Menu Item Text" dataDxfId="114"/>
    <tableColumn id="51" name="Custom Menu Item Action" dataDxfId="113">
      <calculatedColumnFormula>HYPERLINK("https://twitter.com/chemicalsgreen")</calculatedColumnFormula>
    </tableColumn>
    <tableColumn id="52" name="Tweeted Search Term?" dataDxfId="78"/>
    <tableColumn id="53" name="Vertex Group" dataDxfId="77">
      <calculatedColumnFormula>REPLACE(INDEX(GroupVertices[Group], MATCH(Vertices[[#This Row],[Vertex]],GroupVertices[Vertex],0)),1,1,"")</calculatedColumnFormula>
    </tableColumn>
  </tableColumns>
  <tableStyleInfo name="NodeXL Table" showFirstColumn="0" showLastColumn="0" showRowStripes="0" showColumnStripes="0"/>
</table>
</file>

<file path=xl/tables/table3.xml><?xml version="1.0" encoding="utf-8"?>
<table xmlns="http://schemas.openxmlformats.org/spreadsheetml/2006/main" id="4" name="Groups" displayName="Groups" ref="A2:Y3" totalsRowShown="0" headerRowDxfId="112">
  <autoFilter ref="A2:Y3"/>
  <tableColumns count="25">
    <tableColumn id="1" name="Group" dataDxfId="85"/>
    <tableColumn id="2" name="Vertex Color" dataDxfId="84"/>
    <tableColumn id="3" name="Vertex Shape" dataDxfId="82"/>
    <tableColumn id="22" name="Visibility" dataDxfId="83"/>
    <tableColumn id="4" name="Collapsed?"/>
    <tableColumn id="18" name="Label" dataDxfId="111"/>
    <tableColumn id="20" name="Collapsed X"/>
    <tableColumn id="21" name="Collapsed Y"/>
    <tableColumn id="6" name="ID" dataDxfId="110"/>
    <tableColumn id="19" name="Collapsed Properties" dataDxfId="74"/>
    <tableColumn id="5" name="Vertices" dataDxfId="73"/>
    <tableColumn id="7" name="Unique Edges" dataDxfId="72"/>
    <tableColumn id="8" name="Edges With Duplicates" dataDxfId="71"/>
    <tableColumn id="9" name="Total Edges" dataDxfId="70"/>
    <tableColumn id="10" name="Self-Loops" dataDxfId="69"/>
    <tableColumn id="24" name="Reciprocated Vertex Pair Ratio" dataDxfId="68"/>
    <tableColumn id="25" name="Reciprocated Edge Ratio" dataDxfId="67"/>
    <tableColumn id="11" name="Connected Components" dataDxfId="66"/>
    <tableColumn id="12" name="Single-Vertex Connected Components" dataDxfId="65"/>
    <tableColumn id="13" name="Maximum Vertices in a Connected Component" dataDxfId="64"/>
    <tableColumn id="14" name="Maximum Edges in a Connected Component" dataDxfId="63"/>
    <tableColumn id="15" name="Maximum Geodesic Distance (Diameter)" dataDxfId="62"/>
    <tableColumn id="16" name="Average Geodesic Distance" dataDxfId="61"/>
    <tableColumn id="17" name="Graph Density" dataDxfId="59"/>
    <tableColumn id="23" name="Top URLs in Tweet" dataDxfId="5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109" dataDxfId="108">
  <autoFilter ref="A1:C2"/>
  <tableColumns count="3">
    <tableColumn id="1" name="Group" dataDxfId="81"/>
    <tableColumn id="2" name="Vertex" dataDxfId="80"/>
    <tableColumn id="3" name="Vertex ID" dataDxfId="7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7" totalsRowShown="0">
  <autoFilter ref="A1:B57"/>
  <tableColumns count="2">
    <tableColumn id="1" name="Graph Metric" dataDxfId="107"/>
    <tableColumn id="2" name="Value" dataDxfId="10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105"/>
    <tableColumn id="2" name="Degree Frequency" dataDxfId="104">
      <calculatedColumnFormula>COUNTIF(Vertices[Degree], "&gt;= " &amp; D2) - COUNTIF(Vertices[Degree], "&gt;=" &amp; D3)</calculatedColumnFormula>
    </tableColumn>
    <tableColumn id="3" name="In-Degree Bin" dataDxfId="103"/>
    <tableColumn id="4" name="In-Degree Frequency" dataDxfId="102">
      <calculatedColumnFormula>COUNTIF(Vertices[In-Degree], "&gt;= " &amp; F2) - COUNTIF(Vertices[In-Degree], "&gt;=" &amp; F3)</calculatedColumnFormula>
    </tableColumn>
    <tableColumn id="5" name="Out-Degree Bin" dataDxfId="101"/>
    <tableColumn id="6" name="Out-Degree Frequency" dataDxfId="100">
      <calculatedColumnFormula>COUNTIF(Vertices[Out-Degree], "&gt;= " &amp; H2) - COUNTIF(Vertices[Out-Degree], "&gt;=" &amp; H3)</calculatedColumnFormula>
    </tableColumn>
    <tableColumn id="7" name="Betweenness Centrality Bin" dataDxfId="99"/>
    <tableColumn id="8" name="Betweenness Centrality Frequency" dataDxfId="98">
      <calculatedColumnFormula>COUNTIF(Vertices[Betweenness Centrality], "&gt;= " &amp; J2) - COUNTIF(Vertices[Betweenness Centrality], "&gt;=" &amp; J3)</calculatedColumnFormula>
    </tableColumn>
    <tableColumn id="9" name="Closeness Centrality Bin" dataDxfId="97"/>
    <tableColumn id="10" name="Closeness Centrality Frequency" dataDxfId="96">
      <calculatedColumnFormula>COUNTIF(Vertices[Closeness Centrality], "&gt;= " &amp; L2) - COUNTIF(Vertices[Closeness Centrality], "&gt;=" &amp; L3)</calculatedColumnFormula>
    </tableColumn>
    <tableColumn id="11" name="Eigenvector Centrality Bin" dataDxfId="95"/>
    <tableColumn id="12" name="Eigenvector Centrality Frequency" dataDxfId="94">
      <calculatedColumnFormula>COUNTIF(Vertices[Eigenvector Centrality], "&gt;= " &amp; N2) - COUNTIF(Vertices[Eigenvector Centrality], "&gt;=" &amp; N3)</calculatedColumnFormula>
    </tableColumn>
    <tableColumn id="18" name="PageRank Bin" dataDxfId="93"/>
    <tableColumn id="17" name="PageRank Frequency" dataDxfId="92">
      <calculatedColumnFormula>COUNTIF(Vertices[Eigenvector Centrality], "&gt;= " &amp; P2) - COUNTIF(Vertices[Eigenvector Centrality], "&gt;=" &amp; P3)</calculatedColumnFormula>
    </tableColumn>
    <tableColumn id="13" name="Clustering Coefficient Bin" dataDxfId="91"/>
    <tableColumn id="14" name="Clustering Coefficient Frequency" dataDxfId="90">
      <calculatedColumnFormula>COUNTIF(Vertices[Clustering Coefficient], "&gt;= " &amp; R2) - COUNTIF(Vertices[Clustering Coefficient], "&gt;=" &amp; R3)</calculatedColumnFormula>
    </tableColumn>
    <tableColumn id="15" name="Dynamic Filter Bin" dataDxfId="89"/>
    <tableColumn id="16" name="Dynamic Filter Frequency" dataDxfId="8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10" name="Edges11" displayName="Edges11" ref="A2:BE4" totalsRowShown="0" headerRowDxfId="57" dataDxfId="56">
  <autoFilter ref="A2:BE4"/>
  <tableColumns count="57">
    <tableColumn id="1" name="Vertex 1" dataDxfId="55"/>
    <tableColumn id="2" name="Vertex 2" dataDxfId="54"/>
    <tableColumn id="3" name="Color" dataDxfId="53"/>
    <tableColumn id="4" name="Width" dataDxfId="52"/>
    <tableColumn id="11" name="Style" dataDxfId="51"/>
    <tableColumn id="5" name="Opacity" dataDxfId="50"/>
    <tableColumn id="6" name="Visibility" dataDxfId="49"/>
    <tableColumn id="10" name="Label" dataDxfId="48"/>
    <tableColumn id="12" name="Label Text Color" dataDxfId="47"/>
    <tableColumn id="13" name="Label Font Size" dataDxfId="46"/>
    <tableColumn id="14" name="Reciprocated?" dataDxfId="45"/>
    <tableColumn id="7" name="ID" dataDxfId="44"/>
    <tableColumn id="9" name="Dynamic Filter" dataDxfId="43"/>
    <tableColumn id="8" name="Add Your Own Columns Here" dataDxfId="42"/>
    <tableColumn id="15" name="Relationship" dataDxfId="41"/>
    <tableColumn id="16" name="Relationship Date (UTC)" dataDxfId="40"/>
    <tableColumn id="17" name="Tweet" dataDxfId="39"/>
    <tableColumn id="18" name="URLs in Tweet" dataDxfId="38"/>
    <tableColumn id="19" name="Domains in Tweet" dataDxfId="37"/>
    <tableColumn id="20" name="Hashtags in Tweet" dataDxfId="36"/>
    <tableColumn id="21" name="Media in Tweet" dataDxfId="35"/>
    <tableColumn id="22" name="Tweet Image File" dataDxfId="34"/>
    <tableColumn id="23" name="Tweet Date (UTC)" dataDxfId="33"/>
    <tableColumn id="24" name="Date" dataDxfId="32"/>
    <tableColumn id="25" name="Time" dataDxfId="31"/>
    <tableColumn id="26" name="Twitter Page for Tweet" dataDxfId="30"/>
    <tableColumn id="27" name="Latitude" dataDxfId="29"/>
    <tableColumn id="28" name="Longitude" dataDxfId="28"/>
    <tableColumn id="29" name="Imported ID" dataDxfId="27"/>
    <tableColumn id="30" name="In-Reply-To Tweet ID" dataDxfId="26"/>
    <tableColumn id="31" name="Favorited" dataDxfId="25"/>
    <tableColumn id="32" name="Favorite Count" dataDxfId="24"/>
    <tableColumn id="33" name="In-Reply-To User ID" dataDxfId="23"/>
    <tableColumn id="34" name="Is Quote Status" dataDxfId="22"/>
    <tableColumn id="35" name="Language" dataDxfId="21"/>
    <tableColumn id="36" name="Possibly Sensitive" dataDxfId="20"/>
    <tableColumn id="37" name="Quoted Status ID" dataDxfId="19"/>
    <tableColumn id="38" name="Retweeted" dataDxfId="18"/>
    <tableColumn id="39" name="Retweet Count" dataDxfId="17"/>
    <tableColumn id="40" name="Retweet ID" dataDxfId="16"/>
    <tableColumn id="41" name="Source" dataDxfId="15"/>
    <tableColumn id="42" name="Truncated" dataDxfId="14"/>
    <tableColumn id="43" name="Unified Twitter ID" dataDxfId="13"/>
    <tableColumn id="44" name="Imported Tweet Type" dataDxfId="12"/>
    <tableColumn id="45" name="Added By Extended Analysis" dataDxfId="11"/>
    <tableColumn id="46" name="Corrected By Extended Analysis" dataDxfId="10"/>
    <tableColumn id="47" name="Place Bounding Box" dataDxfId="9"/>
    <tableColumn id="48" name="Place Country" dataDxfId="8"/>
    <tableColumn id="49" name="Place Country Code" dataDxfId="7"/>
    <tableColumn id="50" name="Place Full Name" dataDxfId="6"/>
    <tableColumn id="51" name="Place ID" dataDxfId="5"/>
    <tableColumn id="52" name="Place Name" dataDxfId="4"/>
    <tableColumn id="53" name="Place Type" dataDxfId="3"/>
    <tableColumn id="54" name="Place URL" dataDxfId="2"/>
    <tableColumn id="55" name="Edge Weight"/>
    <tableColumn id="56" name="Vertex 1 Group" dataDxfId="1">
      <calculatedColumnFormula>REPLACE(INDEX(GroupVertices[Group], MATCH(Edges11[[#This Row],[Vertex 1]],GroupVertices[Vertex],0)),1,1,"")</calculatedColumnFormula>
    </tableColumn>
    <tableColumn id="57" name="Vertex 2 Group" dataDxfId="0">
      <calculatedColumnFormula>REPLACE(INDEX(GroupVertices[Group], MATCH(Edges11[[#This Row],[Vertex 2]],GroupVertices[Vertex],0)),1,1,"")</calculatedColumnFormula>
    </tableColumn>
  </tableColumns>
  <tableStyleInfo name="NodeXL Tabl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table" Target="../tables/table9.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0.xml" /><Relationship Id="rId2" Type="http://schemas.openxmlformats.org/officeDocument/2006/relationships/table" Target="../tables/table11.xml" /><Relationship Id="rId3" Type="http://schemas.openxmlformats.org/officeDocument/2006/relationships/drawing" Target="../drawings/drawing2.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7" t="s">
        <v>39</v>
      </c>
      <c r="D1" s="18"/>
      <c r="E1" s="18"/>
      <c r="F1" s="18"/>
      <c r="G1" s="17"/>
      <c r="H1" s="15" t="s">
        <v>43</v>
      </c>
      <c r="I1" s="65"/>
      <c r="J1" s="65"/>
      <c r="K1" s="34" t="s">
        <v>42</v>
      </c>
      <c r="L1" s="19" t="s">
        <v>40</v>
      </c>
      <c r="M1" s="19"/>
      <c r="N1" s="16" t="s">
        <v>41</v>
      </c>
    </row>
    <row r="2" spans="1:57"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292</v>
      </c>
      <c r="BD2" s="13" t="s">
        <v>296</v>
      </c>
      <c r="BE2" s="13" t="s">
        <v>297</v>
      </c>
    </row>
    <row r="3" spans="1:57" ht="15" customHeight="1">
      <c r="A3" s="80" t="s">
        <v>214</v>
      </c>
      <c r="B3" s="80" t="s">
        <v>214</v>
      </c>
      <c r="C3" s="53" t="s">
        <v>303</v>
      </c>
      <c r="D3" s="54">
        <v>3</v>
      </c>
      <c r="E3" s="66" t="s">
        <v>132</v>
      </c>
      <c r="F3" s="55">
        <v>35</v>
      </c>
      <c r="G3" s="53"/>
      <c r="H3" s="57"/>
      <c r="I3" s="56"/>
      <c r="J3" s="56"/>
      <c r="K3" s="35" t="s">
        <v>65</v>
      </c>
      <c r="L3" s="62">
        <v>3</v>
      </c>
      <c r="M3" s="62"/>
      <c r="N3" s="63"/>
      <c r="O3" s="81" t="s">
        <v>176</v>
      </c>
      <c r="P3" s="83">
        <v>44890.615219907406</v>
      </c>
      <c r="Q3" s="81" t="s">
        <v>216</v>
      </c>
      <c r="R3" s="81"/>
      <c r="S3" s="81"/>
      <c r="T3" s="85" t="s">
        <v>218</v>
      </c>
      <c r="U3" s="87" t="str">
        <f>HYPERLINK("https://pbs.twimg.com/media/Fias4TMXgAI_cYy.jpg")</f>
        <v>https://pbs.twimg.com/media/Fias4TMXgAI_cYy.jpg</v>
      </c>
      <c r="V3" s="87" t="str">
        <f>HYPERLINK("https://pbs.twimg.com/media/Fias4TMXgAI_cYy.jpg")</f>
        <v>https://pbs.twimg.com/media/Fias4TMXgAI_cYy.jpg</v>
      </c>
      <c r="W3" s="83">
        <v>44890.615219907406</v>
      </c>
      <c r="X3" s="89">
        <v>44890</v>
      </c>
      <c r="Y3" s="85" t="s">
        <v>220</v>
      </c>
      <c r="Z3" s="87" t="str">
        <f>HYPERLINK("https://twitter.com/#!/chemicalsgreen/status/1596153210682621952")</f>
        <v>https://twitter.com/#!/chemicalsgreen/status/1596153210682621952</v>
      </c>
      <c r="AA3" s="81"/>
      <c r="AB3" s="81"/>
      <c r="AC3" s="85" t="s">
        <v>222</v>
      </c>
      <c r="AD3" s="81"/>
      <c r="AE3" s="81" t="b">
        <v>0</v>
      </c>
      <c r="AF3" s="81">
        <v>0</v>
      </c>
      <c r="AG3" s="85" t="s">
        <v>223</v>
      </c>
      <c r="AH3" s="81" t="b">
        <v>0</v>
      </c>
      <c r="AI3" s="81" t="s">
        <v>225</v>
      </c>
      <c r="AJ3" s="81"/>
      <c r="AK3" s="85" t="s">
        <v>223</v>
      </c>
      <c r="AL3" s="81" t="b">
        <v>0</v>
      </c>
      <c r="AM3" s="81">
        <v>0</v>
      </c>
      <c r="AN3" s="85" t="s">
        <v>223</v>
      </c>
      <c r="AO3" s="85" t="s">
        <v>226</v>
      </c>
      <c r="AP3" s="81" t="b">
        <v>0</v>
      </c>
      <c r="AQ3" s="85" t="s">
        <v>222</v>
      </c>
      <c r="AR3" s="81" t="s">
        <v>176</v>
      </c>
      <c r="AS3" s="81">
        <v>0</v>
      </c>
      <c r="AT3" s="81">
        <v>0</v>
      </c>
      <c r="AU3" s="81"/>
      <c r="AV3" s="81"/>
      <c r="AW3" s="81"/>
      <c r="AX3" s="81"/>
      <c r="AY3" s="81"/>
      <c r="AZ3" s="81"/>
      <c r="BA3" s="81"/>
      <c r="BB3" s="81"/>
      <c r="BC3">
        <v>2</v>
      </c>
      <c r="BD3" s="81" t="str">
        <f>REPLACE(INDEX(GroupVertices[Group],MATCH(Edges[[#This Row],[Vertex 1]],GroupVertices[Vertex],0)),1,1,"")</f>
        <v>1</v>
      </c>
      <c r="BE3" s="81" t="str">
        <f>REPLACE(INDEX(GroupVertices[Group],MATCH(Edges[[#This Row],[Vertex 2]],GroupVertices[Vertex],0)),1,1,"")</f>
        <v>1</v>
      </c>
    </row>
    <row r="4" spans="1:57" ht="15" customHeight="1">
      <c r="A4" s="80" t="s">
        <v>214</v>
      </c>
      <c r="B4" s="80" t="s">
        <v>214</v>
      </c>
      <c r="C4" s="53" t="s">
        <v>303</v>
      </c>
      <c r="D4" s="54">
        <v>3</v>
      </c>
      <c r="E4" s="66" t="s">
        <v>132</v>
      </c>
      <c r="F4" s="55">
        <v>35</v>
      </c>
      <c r="G4" s="53"/>
      <c r="H4" s="57"/>
      <c r="I4" s="56"/>
      <c r="J4" s="56"/>
      <c r="K4" s="35" t="s">
        <v>65</v>
      </c>
      <c r="L4" s="79">
        <v>4</v>
      </c>
      <c r="M4" s="79"/>
      <c r="N4" s="63"/>
      <c r="O4" s="82" t="s">
        <v>176</v>
      </c>
      <c r="P4" s="84">
        <v>44890.61555555555</v>
      </c>
      <c r="Q4" s="82" t="s">
        <v>215</v>
      </c>
      <c r="R4" s="82"/>
      <c r="S4" s="82"/>
      <c r="T4" s="86" t="s">
        <v>217</v>
      </c>
      <c r="U4" s="88" t="str">
        <f>HYPERLINK("https://pbs.twimg.com/media/Fias_gcXEAEPjLh.jpg")</f>
        <v>https://pbs.twimg.com/media/Fias_gcXEAEPjLh.jpg</v>
      </c>
      <c r="V4" s="88" t="str">
        <f>HYPERLINK("https://pbs.twimg.com/media/Fias_gcXEAEPjLh.jpg")</f>
        <v>https://pbs.twimg.com/media/Fias_gcXEAEPjLh.jpg</v>
      </c>
      <c r="W4" s="84">
        <v>44890.61555555555</v>
      </c>
      <c r="X4" s="90">
        <v>44890</v>
      </c>
      <c r="Y4" s="86" t="s">
        <v>219</v>
      </c>
      <c r="Z4" s="88" t="str">
        <f>HYPERLINK("https://twitter.com/#!/chemicalsgreen/status/1596153335761240065")</f>
        <v>https://twitter.com/#!/chemicalsgreen/status/1596153335761240065</v>
      </c>
      <c r="AA4" s="82"/>
      <c r="AB4" s="82"/>
      <c r="AC4" s="86" t="s">
        <v>221</v>
      </c>
      <c r="AD4" s="82"/>
      <c r="AE4" s="82" t="b">
        <v>0</v>
      </c>
      <c r="AF4" s="82">
        <v>0</v>
      </c>
      <c r="AG4" s="86" t="s">
        <v>223</v>
      </c>
      <c r="AH4" s="82" t="b">
        <v>0</v>
      </c>
      <c r="AI4" s="82" t="s">
        <v>224</v>
      </c>
      <c r="AJ4" s="82"/>
      <c r="AK4" s="86" t="s">
        <v>223</v>
      </c>
      <c r="AL4" s="82" t="b">
        <v>0</v>
      </c>
      <c r="AM4" s="82">
        <v>0</v>
      </c>
      <c r="AN4" s="86" t="s">
        <v>223</v>
      </c>
      <c r="AO4" s="86" t="s">
        <v>226</v>
      </c>
      <c r="AP4" s="82" t="b">
        <v>0</v>
      </c>
      <c r="AQ4" s="86" t="s">
        <v>221</v>
      </c>
      <c r="AR4" s="82" t="s">
        <v>176</v>
      </c>
      <c r="AS4" s="82">
        <v>0</v>
      </c>
      <c r="AT4" s="82">
        <v>0</v>
      </c>
      <c r="AU4" s="82"/>
      <c r="AV4" s="82"/>
      <c r="AW4" s="82"/>
      <c r="AX4" s="82"/>
      <c r="AY4" s="82"/>
      <c r="AZ4" s="82"/>
      <c r="BA4" s="82"/>
      <c r="BB4" s="82"/>
      <c r="BC4">
        <v>2</v>
      </c>
      <c r="BD4" s="81" t="str">
        <f>REPLACE(INDEX(GroupVertices[Group],MATCH(Edges[[#This Row],[Vertex 1]],GroupVertices[Vertex],0)),1,1,"")</f>
        <v>1</v>
      </c>
      <c r="BE4" s="81" t="str">
        <f>REPLACE(INDEX(GroupVertices[Group],MATCH(Edges[[#This Row],[Vertex 2]],GroupVertices[Vertex],0)),1,1,"")</f>
        <v>1</v>
      </c>
    </row>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
    <dataValidation allowBlank="1" showErrorMessage="1" sqref="N2:N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
    <dataValidation allowBlank="1" showInputMessage="1" promptTitle="Edge Color" prompt="To select an optional edge color, right-click and select Select Color on the right-click menu." sqref="C3:C4"/>
    <dataValidation allowBlank="1" showInputMessage="1" promptTitle="Edge Width" prompt="Enter an optional edge width between 1 and 10." errorTitle="Invalid Edge Width" error="The optional edge width must be a whole number between 1 and 10." sqref="D3:D4"/>
    <dataValidation allowBlank="1" showInputMessage="1" promptTitle="Edge Opacity" prompt="Enter an optional edge opacity between 0 (transparent) and 100 (opaque)." errorTitle="Invalid Edge Opacity" error="The optional edge opacity must be a whole number between 0 and 10." sqref="F3:F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
      <formula1>ValidEdgeVisibilities</formula1>
    </dataValidation>
    <dataValidation allowBlank="1" showInputMessage="1" showErrorMessage="1" promptTitle="Vertex 1 Name" prompt="Enter the name of the edge's first vertex." sqref="A3:A4"/>
    <dataValidation allowBlank="1" showInputMessage="1" showErrorMessage="1" promptTitle="Vertex 2 Name" prompt="Enter the name of the edge's second vertex." sqref="B3:B4"/>
    <dataValidation allowBlank="1" showInputMessage="1" showErrorMessage="1" promptTitle="Edge Label" prompt="Enter an optional edge label." errorTitle="Invalid Edge Visibility" error="You have entered an unrecognized edge visibility.  Try selecting from the drop-down list instead." sqref="H3:H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C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55"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227</v>
      </c>
      <c r="AE2" s="13" t="s">
        <v>228</v>
      </c>
      <c r="AF2" s="13" t="s">
        <v>229</v>
      </c>
      <c r="AG2" s="13" t="s">
        <v>230</v>
      </c>
      <c r="AH2" s="13" t="s">
        <v>231</v>
      </c>
      <c r="AI2" s="13" t="s">
        <v>232</v>
      </c>
      <c r="AJ2" s="13" t="s">
        <v>233</v>
      </c>
      <c r="AK2" s="13" t="s">
        <v>234</v>
      </c>
      <c r="AL2" s="13" t="s">
        <v>235</v>
      </c>
      <c r="AM2" s="13" t="s">
        <v>236</v>
      </c>
      <c r="AN2" s="13" t="s">
        <v>237</v>
      </c>
      <c r="AO2" s="13" t="s">
        <v>238</v>
      </c>
      <c r="AP2" s="13" t="s">
        <v>239</v>
      </c>
      <c r="AQ2" s="13" t="s">
        <v>240</v>
      </c>
      <c r="AR2" s="13" t="s">
        <v>241</v>
      </c>
      <c r="AS2" s="13" t="s">
        <v>242</v>
      </c>
      <c r="AT2" s="13" t="s">
        <v>194</v>
      </c>
      <c r="AU2" s="13" t="s">
        <v>243</v>
      </c>
      <c r="AV2" s="13" t="s">
        <v>244</v>
      </c>
      <c r="AW2" s="13" t="s">
        <v>245</v>
      </c>
      <c r="AX2" s="13" t="s">
        <v>246</v>
      </c>
      <c r="AY2" s="13" t="s">
        <v>247</v>
      </c>
      <c r="AZ2" s="13" t="s">
        <v>248</v>
      </c>
      <c r="BA2" s="13" t="s">
        <v>295</v>
      </c>
      <c r="BB2" s="3"/>
      <c r="BC2" s="3"/>
    </row>
    <row r="3" spans="1:55" ht="15" customHeight="1">
      <c r="A3" s="49" t="s">
        <v>214</v>
      </c>
      <c r="B3" s="53"/>
      <c r="C3" s="53"/>
      <c r="D3" s="54"/>
      <c r="E3" s="55"/>
      <c r="F3" s="91" t="str">
        <f>HYPERLINK("http://pbs.twimg.com/profile_images/1460201642788364290/mAlneqJb_normal.jpg")</f>
        <v>http://pbs.twimg.com/profile_images/1460201642788364290/mAlneqJb_normal.jpg</v>
      </c>
      <c r="G3" s="53"/>
      <c r="H3" s="57" t="s">
        <v>214</v>
      </c>
      <c r="I3" s="56"/>
      <c r="J3" s="56"/>
      <c r="K3" s="92" t="s">
        <v>254</v>
      </c>
      <c r="L3" s="59"/>
      <c r="M3" s="60">
        <v>4999.5</v>
      </c>
      <c r="N3" s="60">
        <v>4999.5</v>
      </c>
      <c r="O3" s="58"/>
      <c r="P3" s="61"/>
      <c r="Q3" s="61"/>
      <c r="R3" s="50"/>
      <c r="S3" s="50"/>
      <c r="T3" s="50"/>
      <c r="U3" s="50"/>
      <c r="V3" s="51"/>
      <c r="W3" s="51"/>
      <c r="X3" s="52"/>
      <c r="Y3" s="51"/>
      <c r="Z3" s="51"/>
      <c r="AA3" s="62">
        <v>3</v>
      </c>
      <c r="AB3" s="62"/>
      <c r="AC3" s="63"/>
      <c r="AD3" s="81" t="s">
        <v>249</v>
      </c>
      <c r="AE3" s="85" t="s">
        <v>250</v>
      </c>
      <c r="AF3" s="81">
        <v>0</v>
      </c>
      <c r="AG3" s="81">
        <v>168</v>
      </c>
      <c r="AH3" s="81">
        <v>883</v>
      </c>
      <c r="AI3" s="81">
        <v>77</v>
      </c>
      <c r="AJ3" s="81"/>
      <c r="AK3" s="81" t="s">
        <v>251</v>
      </c>
      <c r="AL3" s="81" t="s">
        <v>252</v>
      </c>
      <c r="AM3" s="87" t="str">
        <f>HYPERLINK("https://t.co/lfNAOmJXr7")</f>
        <v>https://t.co/lfNAOmJXr7</v>
      </c>
      <c r="AN3" s="81"/>
      <c r="AO3" s="83">
        <v>43119.44289351852</v>
      </c>
      <c r="AP3" s="87" t="str">
        <f>HYPERLINK("https://pbs.twimg.com/profile_banners/954301852404932608/1665567433")</f>
        <v>https://pbs.twimg.com/profile_banners/954301852404932608/1665567433</v>
      </c>
      <c r="AQ3" s="81" t="b">
        <v>0</v>
      </c>
      <c r="AR3" s="81" t="b">
        <v>0</v>
      </c>
      <c r="AS3" s="81" t="b">
        <v>0</v>
      </c>
      <c r="AT3" s="81"/>
      <c r="AU3" s="81">
        <v>1</v>
      </c>
      <c r="AV3" s="87" t="str">
        <f>HYPERLINK("http://abs.twimg.com/images/themes/theme1/bg.png")</f>
        <v>http://abs.twimg.com/images/themes/theme1/bg.png</v>
      </c>
      <c r="AW3" s="81" t="b">
        <v>0</v>
      </c>
      <c r="AX3" s="81" t="s">
        <v>253</v>
      </c>
      <c r="AY3" s="87" t="str">
        <f>HYPERLINK("https://twitter.com/chemicalsgreen")</f>
        <v>https://twitter.com/chemicalsgreen</v>
      </c>
      <c r="AZ3" s="81" t="s">
        <v>66</v>
      </c>
      <c r="BA3" s="81" t="str">
        <f>REPLACE(INDEX(GroupVertices[Group],MATCH(Vertices[[#This Row],[Vertex]],GroupVertices[Vertex],0)),1,1,"")</f>
        <v>1</v>
      </c>
      <c r="BB3" s="3"/>
      <c r="BC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B3"/>
    <dataValidation allowBlank="1" showErrorMessage="1" sqref="BB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customWidth="1"/>
    <col min="7" max="8" width="13.57421875" style="0" customWidth="1"/>
    <col min="9" max="9" width="11.00390625" style="0" customWidth="1"/>
    <col min="10" max="10" width="12.57421875" style="0"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s>
  <sheetData>
    <row r="1" spans="2:24" ht="15">
      <c r="B1" s="68" t="s">
        <v>39</v>
      </c>
      <c r="C1" s="69"/>
      <c r="D1" s="69"/>
      <c r="E1" s="70"/>
      <c r="F1" s="67" t="s">
        <v>43</v>
      </c>
      <c r="G1" s="71" t="s">
        <v>44</v>
      </c>
      <c r="H1" s="72"/>
      <c r="I1" s="73" t="s">
        <v>40</v>
      </c>
      <c r="J1" s="74"/>
      <c r="K1" s="75" t="s">
        <v>42</v>
      </c>
      <c r="L1" s="76"/>
      <c r="M1" s="76"/>
      <c r="N1" s="76"/>
      <c r="O1" s="76"/>
      <c r="P1" s="76"/>
      <c r="Q1" s="76"/>
      <c r="R1" s="76"/>
      <c r="S1" s="76"/>
      <c r="T1" s="76"/>
      <c r="U1" s="76"/>
      <c r="V1" s="76"/>
      <c r="W1" s="76"/>
      <c r="X1" s="76"/>
    </row>
    <row r="2" spans="1:25"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299</v>
      </c>
    </row>
    <row r="3" spans="1:25" ht="15">
      <c r="A3" s="80" t="s">
        <v>293</v>
      </c>
      <c r="B3" s="93" t="s">
        <v>294</v>
      </c>
      <c r="C3" s="93" t="s">
        <v>56</v>
      </c>
      <c r="D3" s="14"/>
      <c r="E3" s="14"/>
      <c r="F3" s="15" t="s">
        <v>293</v>
      </c>
      <c r="G3" s="77"/>
      <c r="H3" s="77"/>
      <c r="I3" s="64">
        <v>3</v>
      </c>
      <c r="J3" s="64"/>
      <c r="K3" s="50">
        <v>1</v>
      </c>
      <c r="L3" s="50">
        <v>0</v>
      </c>
      <c r="M3" s="50">
        <v>2</v>
      </c>
      <c r="N3" s="50">
        <v>2</v>
      </c>
      <c r="O3" s="50">
        <v>2</v>
      </c>
      <c r="P3" s="51" t="s">
        <v>298</v>
      </c>
      <c r="Q3" s="51" t="s">
        <v>298</v>
      </c>
      <c r="R3" s="50">
        <v>1</v>
      </c>
      <c r="S3" s="50">
        <v>1</v>
      </c>
      <c r="T3" s="50">
        <v>1</v>
      </c>
      <c r="U3" s="50">
        <v>2</v>
      </c>
      <c r="V3" s="50">
        <v>0</v>
      </c>
      <c r="W3" s="51">
        <v>0</v>
      </c>
      <c r="X3" s="51" t="s">
        <v>298</v>
      </c>
      <c r="Y3" s="81"/>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1" t="s">
        <v>293</v>
      </c>
      <c r="B2" s="85" t="s">
        <v>214</v>
      </c>
      <c r="C2" s="81">
        <f>VLOOKUP(GroupVertices[[#This Row],[Vertex]],Vertices[],MATCH("ID",Vertices[[#Headers],[Vertex]:[Vertex Group]],0),FALSE)</f>
        <v>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c r="B2" s="35"/>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35"/>
      <c r="B3" s="35"/>
      <c r="D3" s="33">
        <f aca="true" t="shared" si="1" ref="D3:D35">D2+($D$36-$D$2)/BinDivisor</f>
        <v>0</v>
      </c>
      <c r="E3" s="3">
        <f>COUNTIF(Vertices[Degree],"&gt;= "&amp;D3)-COUNTIF(Vertices[Degree],"&gt;="&amp;D4)</f>
        <v>0</v>
      </c>
      <c r="F3" s="40">
        <f aca="true" t="shared" si="2" ref="F3:F35">F2+($F$36-$F$2)/BinDivisor</f>
        <v>0</v>
      </c>
      <c r="G3" s="41">
        <f>COUNTIF(Vertices[In-Degree],"&gt;= "&amp;F3)-COUNTIF(Vertices[In-Degree],"&gt;="&amp;F4)</f>
        <v>0</v>
      </c>
      <c r="H3" s="40">
        <f aca="true" t="shared" si="3" ref="H3:H35">H2+($H$36-$H$2)/BinDivisor</f>
        <v>0</v>
      </c>
      <c r="I3" s="41">
        <f>COUNTIF(Vertices[Out-Degree],"&gt;= "&amp;H3)-COUNTIF(Vertices[Out-Degree],"&gt;="&amp;H4)</f>
        <v>0</v>
      </c>
      <c r="J3" s="40">
        <f aca="true" t="shared" si="4" ref="J3:J35">J2+($J$36-$J$2)/BinDivisor</f>
        <v>0</v>
      </c>
      <c r="K3" s="41">
        <f>COUNTIF(Vertices[Betweenness Centrality],"&gt;= "&amp;J3)-COUNTIF(Vertices[Betweenness Centrality],"&gt;="&amp;J4)</f>
        <v>0</v>
      </c>
      <c r="L3" s="40">
        <f aca="true" t="shared" si="5" ref="L3:L35">L2+($L$36-$L$2)/BinDivisor</f>
        <v>0</v>
      </c>
      <c r="M3" s="41">
        <f>COUNTIF(Vertices[Closeness Centrality],"&gt;= "&amp;L3)-COUNTIF(Vertices[Closeness Centrality],"&gt;="&amp;L4)</f>
        <v>0</v>
      </c>
      <c r="N3" s="40">
        <f aca="true" t="shared" si="6" ref="N3:N35">N2+($N$36-$N$2)/BinDivisor</f>
        <v>0</v>
      </c>
      <c r="O3" s="41">
        <f>COUNTIF(Vertices[Eigenvector Centrality],"&gt;= "&amp;N3)-COUNTIF(Vertices[Eigenvector Centrality],"&gt;="&amp;N4)</f>
        <v>0</v>
      </c>
      <c r="P3" s="40">
        <f aca="true" t="shared" si="7" ref="P3:P35">P2+($P$36-$P$2)/BinDivisor</f>
        <v>0</v>
      </c>
      <c r="Q3" s="41">
        <f>COUNTIF(Vertices[PageRank],"&gt;= "&amp;P3)-COUNTIF(Vertices[PageRank],"&gt;="&amp;P4)</f>
        <v>0</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c r="B4" s="35"/>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35"/>
      <c r="B5" s="35"/>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c r="B6" s="35"/>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c r="B7" s="35"/>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c r="B8" s="35"/>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35"/>
      <c r="B9" s="35"/>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c r="B10" s="35"/>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35"/>
      <c r="B11" s="35"/>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c r="B12" s="35"/>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c r="B13" s="35"/>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c r="B14" s="35"/>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c r="B15" s="35"/>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c r="B16" s="35"/>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c r="B17" s="35"/>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c r="B18" s="35"/>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35"/>
      <c r="B19" s="35"/>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c r="B20" s="35"/>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c r="B21" s="35"/>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c r="B22" s="35"/>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c r="B23" s="35"/>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c r="B24" s="35"/>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c r="B25" s="35"/>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c r="B26" s="35"/>
      <c r="D26" s="33">
        <f t="shared" si="1"/>
        <v>0</v>
      </c>
      <c r="E26" s="3">
        <f>COUNTIF(Vertices[Degree],"&gt;= "&amp;D26)-COUNTIF(Vertices[Degree],"&gt;="&amp;D27)</f>
        <v>0</v>
      </c>
      <c r="F26" s="38">
        <f t="shared" si="2"/>
        <v>0</v>
      </c>
      <c r="G26" s="39">
        <f>COUNTIF(Vertices[In-Degree],"&gt;= "&amp;F26)-COUNTIF(Vertices[In-Degree],"&gt;="&amp;F27)</f>
        <v>0</v>
      </c>
      <c r="H26" s="38">
        <f t="shared" si="3"/>
        <v>0</v>
      </c>
      <c r="I26" s="39">
        <f>COUNTIF(Vertices[Out-Degree],"&gt;= "&amp;H26)-COUNTIF(Vertices[Out-Degree],"&gt;="&amp;H27)</f>
        <v>0</v>
      </c>
      <c r="J26" s="38">
        <f t="shared" si="4"/>
        <v>0</v>
      </c>
      <c r="K26" s="39">
        <f>COUNTIF(Vertices[Betweenness Centrality],"&gt;= "&amp;J26)-COUNTIF(Vertices[Betweenness Centrality],"&gt;="&amp;J27)</f>
        <v>0</v>
      </c>
      <c r="L26" s="38">
        <f t="shared" si="5"/>
        <v>0</v>
      </c>
      <c r="M26" s="39">
        <f>COUNTIF(Vertices[Closeness Centrality],"&gt;= "&amp;L26)-COUNTIF(Vertices[Closeness Centrality],"&gt;="&amp;L27)</f>
        <v>0</v>
      </c>
      <c r="N26" s="38">
        <f t="shared" si="6"/>
        <v>0</v>
      </c>
      <c r="O26" s="39">
        <f>COUNTIF(Vertices[Eigenvector Centrality],"&gt;= "&amp;N26)-COUNTIF(Vertices[Eigenvector Centrality],"&gt;="&amp;N27)</f>
        <v>0</v>
      </c>
      <c r="P26" s="38">
        <f t="shared" si="7"/>
        <v>0</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78"/>
      <c r="B27" s="78"/>
      <c r="D27" s="33">
        <f t="shared" si="1"/>
        <v>0</v>
      </c>
      <c r="E27" s="3">
        <f>COUNTIF(Vertices[Degree],"&gt;= "&amp;D27)-COUNTIF(Vertices[Degree],"&gt;="&amp;D28)</f>
        <v>0</v>
      </c>
      <c r="F27" s="40">
        <f t="shared" si="2"/>
        <v>0</v>
      </c>
      <c r="G27" s="41">
        <f>COUNTIF(Vertices[In-Degree],"&gt;= "&amp;F27)-COUNTIF(Vertices[In-Degree],"&gt;="&amp;F28)</f>
        <v>0</v>
      </c>
      <c r="H27" s="40">
        <f t="shared" si="3"/>
        <v>0</v>
      </c>
      <c r="I27" s="41">
        <f>COUNTIF(Vertices[Out-Degree],"&gt;= "&amp;H27)-COUNTIF(Vertices[Out-Degree],"&gt;="&amp;H28)</f>
        <v>0</v>
      </c>
      <c r="J27" s="40">
        <f t="shared" si="4"/>
        <v>0</v>
      </c>
      <c r="K27" s="41">
        <f>COUNTIF(Vertices[Betweenness Centrality],"&gt;= "&amp;J27)-COUNTIF(Vertices[Betweenness Centrality],"&gt;="&amp;J28)</f>
        <v>0</v>
      </c>
      <c r="L27" s="40">
        <f t="shared" si="5"/>
        <v>0</v>
      </c>
      <c r="M27" s="41">
        <f>COUNTIF(Vertices[Closeness Centrality],"&gt;= "&amp;L27)-COUNTIF(Vertices[Closeness Centrality],"&gt;="&amp;L28)</f>
        <v>0</v>
      </c>
      <c r="N27" s="40">
        <f t="shared" si="6"/>
        <v>0</v>
      </c>
      <c r="O27" s="41">
        <f>COUNTIF(Vertices[Eigenvector Centrality],"&gt;= "&amp;N27)-COUNTIF(Vertices[Eigenvector Centrality],"&gt;="&amp;N28)</f>
        <v>0</v>
      </c>
      <c r="P27" s="40">
        <f t="shared" si="7"/>
        <v>0</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c r="B28" s="35"/>
      <c r="D28" s="33">
        <f t="shared" si="1"/>
        <v>0</v>
      </c>
      <c r="E28" s="3">
        <f>COUNTIF(Vertices[Degree],"&gt;= "&amp;D28)-COUNTIF(Vertices[Degree],"&gt;="&amp;D29)</f>
        <v>0</v>
      </c>
      <c r="F28" s="38">
        <f t="shared" si="2"/>
        <v>0</v>
      </c>
      <c r="G28" s="39">
        <f>COUNTIF(Vertices[In-Degree],"&gt;= "&amp;F28)-COUNTIF(Vertices[In-Degree],"&gt;="&amp;F29)</f>
        <v>0</v>
      </c>
      <c r="H28" s="38">
        <f t="shared" si="3"/>
        <v>0</v>
      </c>
      <c r="I28" s="39">
        <f>COUNTIF(Vertices[Out-Degree],"&gt;= "&amp;H28)-COUNTIF(Vertices[Out-Degree],"&gt;="&amp;H29)</f>
        <v>0</v>
      </c>
      <c r="J28" s="38">
        <f t="shared" si="4"/>
        <v>0</v>
      </c>
      <c r="K28" s="39">
        <f>COUNTIF(Vertices[Betweenness Centrality],"&gt;= "&amp;J28)-COUNTIF(Vertices[Betweenness Centrality],"&gt;="&amp;J29)</f>
        <v>0</v>
      </c>
      <c r="L28" s="38">
        <f t="shared" si="5"/>
        <v>0</v>
      </c>
      <c r="M28" s="39">
        <f>COUNTIF(Vertices[Closeness Centrality],"&gt;= "&amp;L28)-COUNTIF(Vertices[Closeness Centrality],"&gt;="&amp;L29)</f>
        <v>0</v>
      </c>
      <c r="N28" s="38">
        <f t="shared" si="6"/>
        <v>0</v>
      </c>
      <c r="O28" s="39">
        <f>COUNTIF(Vertices[Eigenvector Centrality],"&gt;= "&amp;N28)-COUNTIF(Vertices[Eigenvector Centrality],"&gt;="&amp;N29)</f>
        <v>0</v>
      </c>
      <c r="P28" s="38">
        <f t="shared" si="7"/>
        <v>0</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35"/>
      <c r="B29" s="35"/>
      <c r="D29" s="33">
        <f t="shared" si="1"/>
        <v>0</v>
      </c>
      <c r="E29" s="3">
        <f>COUNTIF(Vertices[Degree],"&gt;= "&amp;D29)-COUNTIF(Vertices[Degree],"&gt;="&amp;D30)</f>
        <v>0</v>
      </c>
      <c r="F29" s="40">
        <f t="shared" si="2"/>
        <v>0</v>
      </c>
      <c r="G29" s="41">
        <f>COUNTIF(Vertices[In-Degree],"&gt;= "&amp;F29)-COUNTIF(Vertices[In-Degree],"&gt;="&amp;F30)</f>
        <v>0</v>
      </c>
      <c r="H29" s="40">
        <f t="shared" si="3"/>
        <v>0</v>
      </c>
      <c r="I29" s="41">
        <f>COUNTIF(Vertices[Out-Degree],"&gt;= "&amp;H29)-COUNTIF(Vertices[Out-Degree],"&gt;="&amp;H30)</f>
        <v>0</v>
      </c>
      <c r="J29" s="40">
        <f t="shared" si="4"/>
        <v>0</v>
      </c>
      <c r="K29" s="41">
        <f>COUNTIF(Vertices[Betweenness Centrality],"&gt;= "&amp;J29)-COUNTIF(Vertices[Betweenness Centrality],"&gt;="&amp;J30)</f>
        <v>0</v>
      </c>
      <c r="L29" s="40">
        <f t="shared" si="5"/>
        <v>0</v>
      </c>
      <c r="M29" s="41">
        <f>COUNTIF(Vertices[Closeness Centrality],"&gt;= "&amp;L29)-COUNTIF(Vertices[Closeness Centrality],"&gt;="&amp;L30)</f>
        <v>0</v>
      </c>
      <c r="N29" s="40">
        <f t="shared" si="6"/>
        <v>0</v>
      </c>
      <c r="O29" s="41">
        <f>COUNTIF(Vertices[Eigenvector Centrality],"&gt;= "&amp;N29)-COUNTIF(Vertices[Eigenvector Centrality],"&gt;="&amp;N30)</f>
        <v>0</v>
      </c>
      <c r="P29" s="40">
        <f t="shared" si="7"/>
        <v>0</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35"/>
      <c r="B30" s="35"/>
      <c r="D30" s="33">
        <f t="shared" si="1"/>
        <v>0</v>
      </c>
      <c r="E30" s="3">
        <f>COUNTIF(Vertices[Degree],"&gt;= "&amp;D30)-COUNTIF(Vertices[Degree],"&gt;="&amp;D31)</f>
        <v>0</v>
      </c>
      <c r="F30" s="38">
        <f t="shared" si="2"/>
        <v>0</v>
      </c>
      <c r="G30" s="39">
        <f>COUNTIF(Vertices[In-Degree],"&gt;= "&amp;F30)-COUNTIF(Vertices[In-Degree],"&gt;="&amp;F31)</f>
        <v>0</v>
      </c>
      <c r="H30" s="38">
        <f t="shared" si="3"/>
        <v>0</v>
      </c>
      <c r="I30" s="39">
        <f>COUNTIF(Vertices[Out-Degree],"&gt;= "&amp;H30)-COUNTIF(Vertices[Out-Degree],"&gt;="&amp;H31)</f>
        <v>0</v>
      </c>
      <c r="J30" s="38">
        <f t="shared" si="4"/>
        <v>0</v>
      </c>
      <c r="K30" s="39">
        <f>COUNTIF(Vertices[Betweenness Centrality],"&gt;= "&amp;J30)-COUNTIF(Vertices[Betweenness Centrality],"&gt;="&amp;J31)</f>
        <v>0</v>
      </c>
      <c r="L30" s="38">
        <f t="shared" si="5"/>
        <v>0</v>
      </c>
      <c r="M30" s="39">
        <f>COUNTIF(Vertices[Closeness Centrality],"&gt;= "&amp;L30)-COUNTIF(Vertices[Closeness Centrality],"&gt;="&amp;L31)</f>
        <v>0</v>
      </c>
      <c r="N30" s="38">
        <f t="shared" si="6"/>
        <v>0</v>
      </c>
      <c r="O30" s="39">
        <f>COUNTIF(Vertices[Eigenvector Centrality],"&gt;= "&amp;N30)-COUNTIF(Vertices[Eigenvector Centrality],"&gt;="&amp;N31)</f>
        <v>0</v>
      </c>
      <c r="P30" s="38">
        <f t="shared" si="7"/>
        <v>0</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35"/>
      <c r="B31" s="35"/>
      <c r="D31" s="33">
        <f t="shared" si="1"/>
        <v>0</v>
      </c>
      <c r="E31" s="3">
        <f>COUNTIF(Vertices[Degree],"&gt;= "&amp;D31)-COUNTIF(Vertices[Degree],"&gt;="&amp;D32)</f>
        <v>0</v>
      </c>
      <c r="F31" s="40">
        <f t="shared" si="2"/>
        <v>0</v>
      </c>
      <c r="G31" s="41">
        <f>COUNTIF(Vertices[In-Degree],"&gt;= "&amp;F31)-COUNTIF(Vertices[In-Degree],"&gt;="&amp;F32)</f>
        <v>0</v>
      </c>
      <c r="H31" s="40">
        <f t="shared" si="3"/>
        <v>0</v>
      </c>
      <c r="I31" s="41">
        <f>COUNTIF(Vertices[Out-Degree],"&gt;= "&amp;H31)-COUNTIF(Vertices[Out-Degree],"&gt;="&amp;H32)</f>
        <v>0</v>
      </c>
      <c r="J31" s="40">
        <f t="shared" si="4"/>
        <v>0</v>
      </c>
      <c r="K31" s="41">
        <f>COUNTIF(Vertices[Betweenness Centrality],"&gt;= "&amp;J31)-COUNTIF(Vertices[Betweenness Centrality],"&gt;="&amp;J32)</f>
        <v>0</v>
      </c>
      <c r="L31" s="40">
        <f t="shared" si="5"/>
        <v>0</v>
      </c>
      <c r="M31" s="41">
        <f>COUNTIF(Vertices[Closeness Centrality],"&gt;= "&amp;L31)-COUNTIF(Vertices[Closeness Centrality],"&gt;="&amp;L32)</f>
        <v>0</v>
      </c>
      <c r="N31" s="40">
        <f t="shared" si="6"/>
        <v>0</v>
      </c>
      <c r="O31" s="41">
        <f>COUNTIF(Vertices[Eigenvector Centrality],"&gt;= "&amp;N31)-COUNTIF(Vertices[Eigenvector Centrality],"&gt;="&amp;N32)</f>
        <v>0</v>
      </c>
      <c r="P31" s="40">
        <f t="shared" si="7"/>
        <v>0</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c r="B32" s="35"/>
      <c r="D32" s="33">
        <f t="shared" si="1"/>
        <v>0</v>
      </c>
      <c r="E32" s="3">
        <f>COUNTIF(Vertices[Degree],"&gt;= "&amp;D32)-COUNTIF(Vertices[Degree],"&gt;="&amp;D33)</f>
        <v>0</v>
      </c>
      <c r="F32" s="38">
        <f t="shared" si="2"/>
        <v>0</v>
      </c>
      <c r="G32" s="39">
        <f>COUNTIF(Vertices[In-Degree],"&gt;= "&amp;F32)-COUNTIF(Vertices[In-Degree],"&gt;="&amp;F33)</f>
        <v>0</v>
      </c>
      <c r="H32" s="38">
        <f t="shared" si="3"/>
        <v>0</v>
      </c>
      <c r="I32" s="39">
        <f>COUNTIF(Vertices[Out-Degree],"&gt;= "&amp;H32)-COUNTIF(Vertices[Out-Degree],"&gt;="&amp;H33)</f>
        <v>0</v>
      </c>
      <c r="J32" s="38">
        <f t="shared" si="4"/>
        <v>0</v>
      </c>
      <c r="K32" s="39">
        <f>COUNTIF(Vertices[Betweenness Centrality],"&gt;= "&amp;J32)-COUNTIF(Vertices[Betweenness Centrality],"&gt;="&amp;J33)</f>
        <v>0</v>
      </c>
      <c r="L32" s="38">
        <f t="shared" si="5"/>
        <v>0</v>
      </c>
      <c r="M32" s="39">
        <f>COUNTIF(Vertices[Closeness Centrality],"&gt;= "&amp;L32)-COUNTIF(Vertices[Closeness Centrality],"&gt;="&amp;L33)</f>
        <v>0</v>
      </c>
      <c r="N32" s="38">
        <f t="shared" si="6"/>
        <v>0</v>
      </c>
      <c r="O32" s="39">
        <f>COUNTIF(Vertices[Eigenvector Centrality],"&gt;= "&amp;N32)-COUNTIF(Vertices[Eigenvector Centrality],"&gt;="&amp;N33)</f>
        <v>0</v>
      </c>
      <c r="P32" s="38">
        <f t="shared" si="7"/>
        <v>0</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78"/>
      <c r="B33" s="78"/>
      <c r="D33" s="33">
        <f t="shared" si="1"/>
        <v>0</v>
      </c>
      <c r="E33" s="3">
        <f>COUNTIF(Vertices[Degree],"&gt;= "&amp;D33)-COUNTIF(Vertices[Degree],"&gt;="&amp;D34)</f>
        <v>0</v>
      </c>
      <c r="F33" s="40">
        <f t="shared" si="2"/>
        <v>0</v>
      </c>
      <c r="G33" s="41">
        <f>COUNTIF(Vertices[In-Degree],"&gt;= "&amp;F33)-COUNTIF(Vertices[In-Degree],"&gt;="&amp;F34)</f>
        <v>0</v>
      </c>
      <c r="H33" s="40">
        <f t="shared" si="3"/>
        <v>0</v>
      </c>
      <c r="I33" s="41">
        <f>COUNTIF(Vertices[Out-Degree],"&gt;= "&amp;H33)-COUNTIF(Vertices[Out-Degree],"&gt;="&amp;H34)</f>
        <v>0</v>
      </c>
      <c r="J33" s="40">
        <f t="shared" si="4"/>
        <v>0</v>
      </c>
      <c r="K33" s="41">
        <f>COUNTIF(Vertices[Betweenness Centrality],"&gt;= "&amp;J33)-COUNTIF(Vertices[Betweenness Centrality],"&gt;="&amp;J34)</f>
        <v>0</v>
      </c>
      <c r="L33" s="40">
        <f t="shared" si="5"/>
        <v>0</v>
      </c>
      <c r="M33" s="41">
        <f>COUNTIF(Vertices[Closeness Centrality],"&gt;= "&amp;L33)-COUNTIF(Vertices[Closeness Centrality],"&gt;="&amp;L34)</f>
        <v>0</v>
      </c>
      <c r="N33" s="40">
        <f t="shared" si="6"/>
        <v>0</v>
      </c>
      <c r="O33" s="41">
        <f>COUNTIF(Vertices[Eigenvector Centrality],"&gt;= "&amp;N33)-COUNTIF(Vertices[Eigenvector Centrality],"&gt;="&amp;N34)</f>
        <v>0</v>
      </c>
      <c r="P33" s="40">
        <f t="shared" si="7"/>
        <v>0</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35"/>
      <c r="B34" s="35"/>
      <c r="D34" s="33">
        <f t="shared" si="1"/>
        <v>0</v>
      </c>
      <c r="E34" s="3">
        <f>COUNTIF(Vertices[Degree],"&gt;= "&amp;D34)-COUNTIF(Vertices[Degree],"&gt;="&amp;D35)</f>
        <v>0</v>
      </c>
      <c r="F34" s="38">
        <f t="shared" si="2"/>
        <v>0</v>
      </c>
      <c r="G34" s="39">
        <f>COUNTIF(Vertices[In-Degree],"&gt;= "&amp;F34)-COUNTIF(Vertices[In-Degree],"&gt;="&amp;F35)</f>
        <v>0</v>
      </c>
      <c r="H34" s="38">
        <f t="shared" si="3"/>
        <v>0</v>
      </c>
      <c r="I34" s="39">
        <f>COUNTIF(Vertices[Out-Degree],"&gt;= "&amp;H34)-COUNTIF(Vertices[Out-Degree],"&gt;="&amp;H35)</f>
        <v>0</v>
      </c>
      <c r="J34" s="38">
        <f t="shared" si="4"/>
        <v>0</v>
      </c>
      <c r="K34" s="39">
        <f>COUNTIF(Vertices[Betweenness Centrality],"&gt;= "&amp;J34)-COUNTIF(Vertices[Betweenness Centrality],"&gt;="&amp;J35)</f>
        <v>0</v>
      </c>
      <c r="L34" s="38">
        <f t="shared" si="5"/>
        <v>0</v>
      </c>
      <c r="M34" s="39">
        <f>COUNTIF(Vertices[Closeness Centrality],"&gt;= "&amp;L34)-COUNTIF(Vertices[Closeness Centrality],"&gt;="&amp;L35)</f>
        <v>0</v>
      </c>
      <c r="N34" s="38">
        <f t="shared" si="6"/>
        <v>0</v>
      </c>
      <c r="O34" s="39">
        <f>COUNTIF(Vertices[Eigenvector Centrality],"&gt;= "&amp;N34)-COUNTIF(Vertices[Eigenvector Centrality],"&gt;="&amp;N35)</f>
        <v>0</v>
      </c>
      <c r="P34" s="38">
        <f t="shared" si="7"/>
        <v>0</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c r="B35" s="35"/>
      <c r="D35" s="33">
        <f t="shared" si="1"/>
        <v>0</v>
      </c>
      <c r="E35" s="3">
        <f>COUNTIF(Vertices[Degree],"&gt;= "&amp;D35)-COUNTIF(Vertices[Degree],"&gt;="&amp;D36)</f>
        <v>0</v>
      </c>
      <c r="F35" s="40">
        <f t="shared" si="2"/>
        <v>0</v>
      </c>
      <c r="G35" s="41">
        <f>COUNTIF(Vertices[In-Degree],"&gt;= "&amp;F35)-COUNTIF(Vertices[In-Degree],"&gt;="&amp;F36)</f>
        <v>0</v>
      </c>
      <c r="H35" s="40">
        <f t="shared" si="3"/>
        <v>0</v>
      </c>
      <c r="I35" s="41">
        <f>COUNTIF(Vertices[Out-Degree],"&gt;= "&amp;H35)-COUNTIF(Vertices[Out-Degree],"&gt;="&amp;H36)</f>
        <v>0</v>
      </c>
      <c r="J35" s="40">
        <f t="shared" si="4"/>
        <v>0</v>
      </c>
      <c r="K35" s="41">
        <f>COUNTIF(Vertices[Betweenness Centrality],"&gt;= "&amp;J35)-COUNTIF(Vertices[Betweenness Centrality],"&gt;="&amp;J36)</f>
        <v>0</v>
      </c>
      <c r="L35" s="40">
        <f t="shared" si="5"/>
        <v>0</v>
      </c>
      <c r="M35" s="41">
        <f>COUNTIF(Vertices[Closeness Centrality],"&gt;= "&amp;L35)-COUNTIF(Vertices[Closeness Centrality],"&gt;="&amp;L36)</f>
        <v>0</v>
      </c>
      <c r="N35" s="40">
        <f t="shared" si="6"/>
        <v>0</v>
      </c>
      <c r="O35" s="41">
        <f>COUNTIF(Vertices[Eigenvector Centrality],"&gt;= "&amp;N35)-COUNTIF(Vertices[Eigenvector Centrality],"&gt;="&amp;N36)</f>
        <v>0</v>
      </c>
      <c r="P35" s="40">
        <f t="shared" si="7"/>
        <v>0</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c r="B36" s="35"/>
      <c r="D36" s="33">
        <f>MAX(Vertices[Degree])</f>
        <v>0</v>
      </c>
      <c r="E36" s="3">
        <f>COUNTIF(Vertices[Degree],"&gt;= "&amp;D36)-COUNTIF(Vertices[Degree],"&gt;="&amp;#REF!)</f>
        <v>0</v>
      </c>
      <c r="F36" s="42">
        <f>MAX(Vertices[In-Degree])</f>
        <v>0</v>
      </c>
      <c r="G36" s="43">
        <f>COUNTIF(Vertices[In-Degree],"&gt;= "&amp;F36)-COUNTIF(Vertices[In-Degree],"&gt;="&amp;#REF!)</f>
        <v>0</v>
      </c>
      <c r="H36" s="42">
        <f>MAX(Vertices[Out-Degree])</f>
        <v>0</v>
      </c>
      <c r="I36" s="43">
        <f>COUNTIF(Vertices[Out-Degree],"&gt;= "&amp;H36)-COUNTIF(Vertices[Out-Degree],"&gt;="&amp;#REF!)</f>
        <v>0</v>
      </c>
      <c r="J36" s="42">
        <f>MAX(Vertices[Betweenness Centrality])</f>
        <v>0</v>
      </c>
      <c r="K36" s="43">
        <f>COUNTIF(Vertices[Betweenness Centrality],"&gt;= "&amp;J36)-COUNTIF(Vertices[Betweenness Centrality],"&gt;="&amp;#REF!)</f>
        <v>0</v>
      </c>
      <c r="L36" s="42">
        <f>MAX(Vertices[Closeness Centrality])</f>
        <v>0</v>
      </c>
      <c r="M36" s="43">
        <f>COUNTIF(Vertices[Closeness Centrality],"&gt;= "&amp;L36)-COUNTIF(Vertices[Closeness Centrality],"&gt;="&amp;#REF!)</f>
        <v>0</v>
      </c>
      <c r="N36" s="42">
        <f>MAX(Vertices[Eigenvector Centrality])</f>
        <v>0</v>
      </c>
      <c r="O36" s="43">
        <f>COUNTIF(Vertices[Eigenvector Centrality],"&gt;= "&amp;N36)-COUNTIF(Vertices[Eigenvector Centrality],"&gt;="&amp;#REF!)</f>
        <v>0</v>
      </c>
      <c r="P36" s="42">
        <f>MAX(Vertices[PageRank])</f>
        <v>0</v>
      </c>
      <c r="Q36" s="43">
        <f>COUNTIF(Vertices[PageRank],"&gt;= "&amp;P36)-COUNTIF(Vertices[PageRank],"&gt;="&amp;#REF!)</f>
        <v>0</v>
      </c>
      <c r="R36" s="42">
        <f>MAX(Vertices[Clustering Coefficient])</f>
        <v>0</v>
      </c>
      <c r="S36" s="46">
        <f>COUNTIF(Vertices[Clustering Coefficient],"&gt;= "&amp;R36)-COUNTIF(Vertices[Clustering Coefficient],"&gt;="&amp;#REF!)</f>
        <v>0</v>
      </c>
      <c r="T36" s="42" t="e">
        <f ca="1">MAX(INDIRECT(DynamicFilterSourceColumnRange))</f>
        <v>#REF!</v>
      </c>
      <c r="U36" s="43" t="e">
        <f ca="1">COUNTIF(INDIRECT(DynamicFilterSourceColumnRange),"&gt;= "&amp;T36)-COUNTIF(INDIRECT(DynamicFilterSourceColumnRange),"&gt;="&amp;#REF!)</f>
        <v>#REF!</v>
      </c>
    </row>
    <row r="37" spans="1:2" ht="15">
      <c r="A37" s="78"/>
      <c r="B37" s="78"/>
    </row>
    <row r="38" spans="1:2" ht="15">
      <c r="A38" s="78"/>
      <c r="B38" s="78"/>
    </row>
    <row r="39" spans="1:2" ht="15">
      <c r="A39" s="78"/>
      <c r="B39" s="78"/>
    </row>
    <row r="40" spans="1:2" ht="15">
      <c r="A40" s="78"/>
      <c r="B40" s="78"/>
    </row>
    <row r="41" spans="1:2" ht="15">
      <c r="A41" s="78"/>
      <c r="B41" s="78"/>
    </row>
    <row r="42" spans="1:2" ht="15">
      <c r="A42" s="35"/>
      <c r="B42" s="35"/>
    </row>
    <row r="43" spans="1:2" ht="15">
      <c r="A43" s="35"/>
      <c r="B43" s="35"/>
    </row>
    <row r="44" spans="1:2" ht="15">
      <c r="A44" s="35"/>
      <c r="B44" s="35"/>
    </row>
    <row r="45" spans="1:2" ht="15">
      <c r="A45" s="35"/>
      <c r="B45" s="35"/>
    </row>
    <row r="46" spans="1:2" ht="15">
      <c r="A46" s="35"/>
      <c r="B46" s="35"/>
    </row>
    <row r="47" spans="1:2" ht="15">
      <c r="A47" s="35"/>
      <c r="B47" s="35"/>
    </row>
    <row r="48" spans="1:2" ht="15">
      <c r="A48" s="35"/>
      <c r="B48" s="35"/>
    </row>
    <row r="49" spans="1:2" ht="15">
      <c r="A49" s="35"/>
      <c r="B49" s="35"/>
    </row>
    <row r="50" spans="1:2" ht="15">
      <c r="A50" s="78"/>
      <c r="B50" s="78"/>
    </row>
    <row r="51" spans="1:2" ht="15">
      <c r="A51" s="78"/>
      <c r="B51" s="78"/>
    </row>
    <row r="52" spans="1:2" ht="15">
      <c r="A52" s="35"/>
      <c r="B52" s="35"/>
    </row>
    <row r="53" spans="1:2" ht="15">
      <c r="A53" s="78"/>
      <c r="B53" s="78"/>
    </row>
    <row r="54" spans="1:2" ht="15">
      <c r="A54" s="35"/>
      <c r="B54" s="35"/>
    </row>
    <row r="55" spans="1:2" ht="15">
      <c r="A55" s="35"/>
      <c r="B55" s="35"/>
    </row>
    <row r="56" spans="1:2" ht="15">
      <c r="A56" s="35"/>
      <c r="B56" s="35"/>
    </row>
    <row r="57" spans="1:2" ht="15">
      <c r="A57" s="78"/>
      <c r="B57" s="78"/>
    </row>
    <row r="60" spans="1:2" ht="15">
      <c r="A60" t="s">
        <v>163</v>
      </c>
      <c r="B60" t="s">
        <v>17</v>
      </c>
    </row>
    <row r="61" spans="1:2" ht="15">
      <c r="A61" s="34"/>
      <c r="B61" s="34"/>
    </row>
    <row r="62" spans="1:2" ht="15">
      <c r="A62" s="34"/>
      <c r="B62" s="34"/>
    </row>
    <row r="63" spans="1:2" ht="15">
      <c r="A63" s="34"/>
      <c r="B63"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t="str">
        <f>IF(COUNT(Vertices[In-Degree])&gt;0,F2,NoMetricMessage)</f>
        <v>Not Available</v>
      </c>
    </row>
    <row r="89" spans="1:2" ht="15">
      <c r="A89" s="34" t="s">
        <v>89</v>
      </c>
      <c r="B89" s="47" t="str">
        <f>IF(COUNT(Vertices[In-Degree])&gt;0,F36,NoMetricMessage)</f>
        <v>Not Available</v>
      </c>
    </row>
    <row r="90" spans="1:2" ht="15">
      <c r="A90" s="34" t="s">
        <v>90</v>
      </c>
      <c r="B90" s="48" t="str">
        <f>_xlfn.IFERROR(AVERAGE(Vertices[In-Degree]),NoMetricMessage)</f>
        <v>Not Available</v>
      </c>
    </row>
    <row r="91" spans="1:2" ht="15">
      <c r="A91" s="34" t="s">
        <v>91</v>
      </c>
      <c r="B91" s="48" t="str">
        <f>_xlfn.IFERROR(MEDIAN(Vertices[In-Degree]),NoMetricMessage)</f>
        <v>Not Available</v>
      </c>
    </row>
    <row r="102" spans="1:2" ht="15">
      <c r="A102" s="34" t="s">
        <v>94</v>
      </c>
      <c r="B102" s="47" t="str">
        <f>IF(COUNT(Vertices[Out-Degree])&gt;0,H2,NoMetricMessage)</f>
        <v>Not Available</v>
      </c>
    </row>
    <row r="103" spans="1:2" ht="15">
      <c r="A103" s="34" t="s">
        <v>95</v>
      </c>
      <c r="B103" s="47" t="str">
        <f>IF(COUNT(Vertices[Out-Degree])&gt;0,H36,NoMetricMessage)</f>
        <v>Not Available</v>
      </c>
    </row>
    <row r="104" spans="1:2" ht="15">
      <c r="A104" s="34" t="s">
        <v>96</v>
      </c>
      <c r="B104" s="48" t="str">
        <f>_xlfn.IFERROR(AVERAGE(Vertices[Out-Degree]),NoMetricMessage)</f>
        <v>Not Available</v>
      </c>
    </row>
    <row r="105" spans="1:2" ht="15">
      <c r="A105" s="34" t="s">
        <v>97</v>
      </c>
      <c r="B105" s="48" t="str">
        <f>_xlfn.IFERROR(MEDIAN(Vertices[Out-Degree]),NoMetricMessage)</f>
        <v>Not Available</v>
      </c>
    </row>
    <row r="116" spans="1:2" ht="15">
      <c r="A116" s="34" t="s">
        <v>100</v>
      </c>
      <c r="B116" s="48" t="str">
        <f>IF(COUNT(Vertices[Betweenness Centrality])&gt;0,J2,NoMetricMessage)</f>
        <v>Not Available</v>
      </c>
    </row>
    <row r="117" spans="1:2" ht="15">
      <c r="A117" s="34" t="s">
        <v>101</v>
      </c>
      <c r="B117" s="48" t="str">
        <f>IF(COUNT(Vertices[Betweenness Centrality])&gt;0,J36,NoMetricMessage)</f>
        <v>Not Available</v>
      </c>
    </row>
    <row r="118" spans="1:2" ht="15">
      <c r="A118" s="34" t="s">
        <v>102</v>
      </c>
      <c r="B118" s="48" t="str">
        <f>_xlfn.IFERROR(AVERAGE(Vertices[Betweenness Centrality]),NoMetricMessage)</f>
        <v>Not Available</v>
      </c>
    </row>
    <row r="119" spans="1:2" ht="15">
      <c r="A119" s="34" t="s">
        <v>103</v>
      </c>
      <c r="B119" s="48" t="str">
        <f>_xlfn.IFERROR(MEDIAN(Vertices[Betweenness Centrality]),NoMetricMessage)</f>
        <v>Not Available</v>
      </c>
    </row>
    <row r="130" spans="1:2" ht="15">
      <c r="A130" s="34" t="s">
        <v>106</v>
      </c>
      <c r="B130" s="48" t="str">
        <f>IF(COUNT(Vertices[Closeness Centrality])&gt;0,L2,NoMetricMessage)</f>
        <v>Not Available</v>
      </c>
    </row>
    <row r="131" spans="1:2" ht="15">
      <c r="A131" s="34" t="s">
        <v>107</v>
      </c>
      <c r="B131" s="48" t="str">
        <f>IF(COUNT(Vertices[Closeness Centrality])&gt;0,L36,NoMetricMessage)</f>
        <v>Not Available</v>
      </c>
    </row>
    <row r="132" spans="1:2" ht="15">
      <c r="A132" s="34" t="s">
        <v>108</v>
      </c>
      <c r="B132" s="48" t="str">
        <f>_xlfn.IFERROR(AVERAGE(Vertices[Closeness Centrality]),NoMetricMessage)</f>
        <v>Not Available</v>
      </c>
    </row>
    <row r="133" spans="1:2" ht="15">
      <c r="A133" s="34" t="s">
        <v>109</v>
      </c>
      <c r="B133" s="48" t="str">
        <f>_xlfn.IFERROR(MEDIAN(Vertices[Closeness Centrality]),NoMetricMessage)</f>
        <v>Not Available</v>
      </c>
    </row>
    <row r="144" spans="1:2" ht="15">
      <c r="A144" s="34" t="s">
        <v>112</v>
      </c>
      <c r="B144" s="48" t="str">
        <f>IF(COUNT(Vertices[Eigenvector Centrality])&gt;0,N2,NoMetricMessage)</f>
        <v>Not Available</v>
      </c>
    </row>
    <row r="145" spans="1:2" ht="15">
      <c r="A145" s="34" t="s">
        <v>113</v>
      </c>
      <c r="B145" s="48" t="str">
        <f>IF(COUNT(Vertices[Eigenvector Centrality])&gt;0,N36,NoMetricMessage)</f>
        <v>Not Available</v>
      </c>
    </row>
    <row r="146" spans="1:2" ht="15">
      <c r="A146" s="34" t="s">
        <v>114</v>
      </c>
      <c r="B146" s="48" t="str">
        <f>_xlfn.IFERROR(AVERAGE(Vertices[Eigenvector Centrality]),NoMetricMessage)</f>
        <v>Not Available</v>
      </c>
    </row>
    <row r="147" spans="1:2" ht="15">
      <c r="A147" s="34" t="s">
        <v>115</v>
      </c>
      <c r="B147" s="48" t="str">
        <f>_xlfn.IFERROR(MEDIAN(Vertices[Eigenvector Centrality]),NoMetricMessage)</f>
        <v>Not Available</v>
      </c>
    </row>
    <row r="158" spans="1:2" ht="15">
      <c r="A158" s="34" t="s">
        <v>140</v>
      </c>
      <c r="B158" s="48" t="str">
        <f>IF(COUNT(Vertices[PageRank])&gt;0,P2,NoMetricMessage)</f>
        <v>Not Available</v>
      </c>
    </row>
    <row r="159" spans="1:2" ht="15">
      <c r="A159" s="34" t="s">
        <v>141</v>
      </c>
      <c r="B159" s="48" t="str">
        <f>IF(COUNT(Vertices[PageRank])&gt;0,P36,NoMetricMessage)</f>
        <v>Not Available</v>
      </c>
    </row>
    <row r="160" spans="1:2" ht="15">
      <c r="A160" s="34" t="s">
        <v>142</v>
      </c>
      <c r="B160" s="48" t="str">
        <f>_xlfn.IFERROR(AVERAGE(Vertices[PageRank]),NoMetricMessage)</f>
        <v>Not Available</v>
      </c>
    </row>
    <row r="161" spans="1:2" ht="15">
      <c r="A161" s="34" t="s">
        <v>143</v>
      </c>
      <c r="B161" s="48" t="str">
        <f>_xlfn.IFERROR(MEDIAN(Vertices[PageRank]),NoMetricMessage)</f>
        <v>Not Available</v>
      </c>
    </row>
    <row r="172" spans="1:2" ht="15">
      <c r="A172" s="34" t="s">
        <v>118</v>
      </c>
      <c r="B172" s="48" t="str">
        <f>IF(COUNT(Vertices[Clustering Coefficient])&gt;0,R2,NoMetricMessage)</f>
        <v>Not Available</v>
      </c>
    </row>
    <row r="173" spans="1:2" ht="15">
      <c r="A173" s="34" t="s">
        <v>119</v>
      </c>
      <c r="B173" s="48" t="str">
        <f>IF(COUNT(Vertices[Clustering Coefficient])&gt;0,R36,NoMetricMessage)</f>
        <v>Not Available</v>
      </c>
    </row>
    <row r="174" spans="1:2" ht="15">
      <c r="A174" s="34" t="s">
        <v>120</v>
      </c>
      <c r="B174" s="48" t="str">
        <f>_xlfn.IFERROR(AVERAGE(Vertices[Clustering Coefficient]),NoMetricMessage)</f>
        <v>Not Available</v>
      </c>
    </row>
    <row r="175" spans="1:2" ht="15">
      <c r="A175" s="34" t="s">
        <v>121</v>
      </c>
      <c r="B175"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7" t="s">
        <v>39</v>
      </c>
      <c r="D1" s="18"/>
      <c r="E1" s="18"/>
      <c r="F1" s="18"/>
      <c r="G1" s="17"/>
      <c r="H1" s="15" t="s">
        <v>43</v>
      </c>
      <c r="I1" s="65"/>
      <c r="J1" s="65"/>
      <c r="K1" s="34" t="s">
        <v>42</v>
      </c>
      <c r="L1" s="19" t="s">
        <v>40</v>
      </c>
      <c r="M1" s="19"/>
      <c r="N1" s="16" t="s">
        <v>41</v>
      </c>
    </row>
    <row r="2" spans="1:57"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292</v>
      </c>
      <c r="BD2" s="13" t="s">
        <v>296</v>
      </c>
      <c r="BE2" s="13" t="s">
        <v>297</v>
      </c>
    </row>
    <row r="3" spans="1:57" ht="15" customHeight="1">
      <c r="A3" s="80" t="s">
        <v>214</v>
      </c>
      <c r="B3" s="80" t="s">
        <v>214</v>
      </c>
      <c r="C3" s="53"/>
      <c r="D3" s="54"/>
      <c r="E3" s="66"/>
      <c r="F3" s="55"/>
      <c r="G3" s="53"/>
      <c r="H3" s="57"/>
      <c r="I3" s="56"/>
      <c r="J3" s="56"/>
      <c r="K3" s="35" t="s">
        <v>65</v>
      </c>
      <c r="L3" s="62">
        <v>3</v>
      </c>
      <c r="M3" s="62"/>
      <c r="N3" s="63"/>
      <c r="O3" s="81" t="s">
        <v>176</v>
      </c>
      <c r="P3" s="83">
        <v>44890.615219907406</v>
      </c>
      <c r="Q3" s="81" t="s">
        <v>216</v>
      </c>
      <c r="R3" s="81"/>
      <c r="S3" s="81"/>
      <c r="T3" s="85" t="s">
        <v>218</v>
      </c>
      <c r="U3" s="87" t="str">
        <f>HYPERLINK("https://pbs.twimg.com/media/Fias4TMXgAI_cYy.jpg")</f>
        <v>https://pbs.twimg.com/media/Fias4TMXgAI_cYy.jpg</v>
      </c>
      <c r="V3" s="87" t="str">
        <f>HYPERLINK("https://pbs.twimg.com/media/Fias4TMXgAI_cYy.jpg")</f>
        <v>https://pbs.twimg.com/media/Fias4TMXgAI_cYy.jpg</v>
      </c>
      <c r="W3" s="83">
        <v>44890.615219907406</v>
      </c>
      <c r="X3" s="89">
        <v>44890</v>
      </c>
      <c r="Y3" s="85" t="s">
        <v>220</v>
      </c>
      <c r="Z3" s="87" t="str">
        <f>HYPERLINK("https://twitter.com/#!/chemicalsgreen/status/1596153210682621952")</f>
        <v>https://twitter.com/#!/chemicalsgreen/status/1596153210682621952</v>
      </c>
      <c r="AA3" s="81"/>
      <c r="AB3" s="81"/>
      <c r="AC3" s="85" t="s">
        <v>222</v>
      </c>
      <c r="AD3" s="81"/>
      <c r="AE3" s="81" t="b">
        <v>0</v>
      </c>
      <c r="AF3" s="81">
        <v>0</v>
      </c>
      <c r="AG3" s="85" t="s">
        <v>223</v>
      </c>
      <c r="AH3" s="81" t="b">
        <v>0</v>
      </c>
      <c r="AI3" s="81" t="s">
        <v>225</v>
      </c>
      <c r="AJ3" s="81"/>
      <c r="AK3" s="85" t="s">
        <v>223</v>
      </c>
      <c r="AL3" s="81" t="b">
        <v>0</v>
      </c>
      <c r="AM3" s="81">
        <v>0</v>
      </c>
      <c r="AN3" s="85" t="s">
        <v>223</v>
      </c>
      <c r="AO3" s="85" t="s">
        <v>226</v>
      </c>
      <c r="AP3" s="81" t="b">
        <v>0</v>
      </c>
      <c r="AQ3" s="85" t="s">
        <v>222</v>
      </c>
      <c r="AR3" s="81" t="s">
        <v>176</v>
      </c>
      <c r="AS3" s="81">
        <v>0</v>
      </c>
      <c r="AT3" s="81">
        <v>0</v>
      </c>
      <c r="AU3" s="81"/>
      <c r="AV3" s="81"/>
      <c r="AW3" s="81"/>
      <c r="AX3" s="81"/>
      <c r="AY3" s="81"/>
      <c r="AZ3" s="81"/>
      <c r="BA3" s="81"/>
      <c r="BB3" s="81"/>
      <c r="BC3">
        <v>2</v>
      </c>
      <c r="BD3" s="81" t="str">
        <f>REPLACE(INDEX(GroupVertices[Group],MATCH(Edges11[[#This Row],[Vertex 1]],GroupVertices[Vertex],0)),1,1,"")</f>
        <v>1</v>
      </c>
      <c r="BE3" s="81" t="str">
        <f>REPLACE(INDEX(GroupVertices[Group],MATCH(Edges11[[#This Row],[Vertex 2]],GroupVertices[Vertex],0)),1,1,"")</f>
        <v>1</v>
      </c>
    </row>
    <row r="4" spans="1:57" ht="15" customHeight="1">
      <c r="A4" s="80" t="s">
        <v>214</v>
      </c>
      <c r="B4" s="80" t="s">
        <v>214</v>
      </c>
      <c r="C4" s="53"/>
      <c r="D4" s="54"/>
      <c r="E4" s="66"/>
      <c r="F4" s="55"/>
      <c r="G4" s="53"/>
      <c r="H4" s="57"/>
      <c r="I4" s="56"/>
      <c r="J4" s="56"/>
      <c r="K4" s="35" t="s">
        <v>65</v>
      </c>
      <c r="L4" s="79">
        <v>4</v>
      </c>
      <c r="M4" s="79"/>
      <c r="N4" s="63"/>
      <c r="O4" s="82" t="s">
        <v>176</v>
      </c>
      <c r="P4" s="84">
        <v>44890.61555555555</v>
      </c>
      <c r="Q4" s="82" t="s">
        <v>215</v>
      </c>
      <c r="R4" s="82"/>
      <c r="S4" s="82"/>
      <c r="T4" s="86" t="s">
        <v>217</v>
      </c>
      <c r="U4" s="88" t="str">
        <f>HYPERLINK("https://pbs.twimg.com/media/Fias_gcXEAEPjLh.jpg")</f>
        <v>https://pbs.twimg.com/media/Fias_gcXEAEPjLh.jpg</v>
      </c>
      <c r="V4" s="88" t="str">
        <f>HYPERLINK("https://pbs.twimg.com/media/Fias_gcXEAEPjLh.jpg")</f>
        <v>https://pbs.twimg.com/media/Fias_gcXEAEPjLh.jpg</v>
      </c>
      <c r="W4" s="84">
        <v>44890.61555555555</v>
      </c>
      <c r="X4" s="90">
        <v>44890</v>
      </c>
      <c r="Y4" s="86" t="s">
        <v>219</v>
      </c>
      <c r="Z4" s="88" t="str">
        <f>HYPERLINK("https://twitter.com/#!/chemicalsgreen/status/1596153335761240065")</f>
        <v>https://twitter.com/#!/chemicalsgreen/status/1596153335761240065</v>
      </c>
      <c r="AA4" s="82"/>
      <c r="AB4" s="82"/>
      <c r="AC4" s="86" t="s">
        <v>221</v>
      </c>
      <c r="AD4" s="82"/>
      <c r="AE4" s="82" t="b">
        <v>0</v>
      </c>
      <c r="AF4" s="82">
        <v>0</v>
      </c>
      <c r="AG4" s="86" t="s">
        <v>223</v>
      </c>
      <c r="AH4" s="82" t="b">
        <v>0</v>
      </c>
      <c r="AI4" s="82" t="s">
        <v>224</v>
      </c>
      <c r="AJ4" s="82"/>
      <c r="AK4" s="86" t="s">
        <v>223</v>
      </c>
      <c r="AL4" s="82" t="b">
        <v>0</v>
      </c>
      <c r="AM4" s="82">
        <v>0</v>
      </c>
      <c r="AN4" s="86" t="s">
        <v>223</v>
      </c>
      <c r="AO4" s="86" t="s">
        <v>226</v>
      </c>
      <c r="AP4" s="82" t="b">
        <v>0</v>
      </c>
      <c r="AQ4" s="86" t="s">
        <v>221</v>
      </c>
      <c r="AR4" s="82" t="s">
        <v>176</v>
      </c>
      <c r="AS4" s="82">
        <v>0</v>
      </c>
      <c r="AT4" s="82">
        <v>0</v>
      </c>
      <c r="AU4" s="82"/>
      <c r="AV4" s="82"/>
      <c r="AW4" s="82"/>
      <c r="AX4" s="82"/>
      <c r="AY4" s="82"/>
      <c r="AZ4" s="82"/>
      <c r="BA4" s="82"/>
      <c r="BB4" s="82"/>
      <c r="BC4">
        <v>2</v>
      </c>
      <c r="BD4" s="81" t="str">
        <f>REPLACE(INDEX(GroupVertices[Group],MATCH(Edges11[[#This Row],[Vertex 1]],GroupVertices[Vertex],0)),1,1,"")</f>
        <v>1</v>
      </c>
      <c r="BE4" s="81" t="str">
        <f>REPLACE(INDEX(GroupVertices[Group],MATCH(Edges11[[#This Row],[Vertex 2]],GroupVertices[Vertex],0)),1,1,"")</f>
        <v>1</v>
      </c>
    </row>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
    <dataValidation allowBlank="1" showInputMessage="1" showErrorMessage="1" promptTitle="Vertex 2 Name" prompt="Enter the name of the edge's second vertex." sqref="B3:B4"/>
    <dataValidation allowBlank="1" showInputMessage="1" showErrorMessage="1" promptTitle="Vertex 1 Name" prompt="Enter the name of the edge's first vertex." sqref="A3:A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
    <dataValidation allowBlank="1" showInputMessage="1" promptTitle="Edge Width" prompt="Enter an optional edge width between 1 and 10." errorTitle="Invalid Edge Width" error="The optional edge width must be a whole number between 1 and 10." sqref="D3:D4"/>
    <dataValidation allowBlank="1" showInputMessage="1" promptTitle="Edge Color" prompt="To select an optional edge color, right-click and select Select Color on the right-click menu." sqref="C3:C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
    <dataValidation allowBlank="1" showErrorMessage="1" sqref="N2:N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
  </dataValidations>
  <printOptions/>
  <pageMargins left="0.7" right="0.7" top="0.75" bottom="0.75" header="0.3" footer="0.3"/>
  <pageSetup horizontalDpi="600" verticalDpi="600" orientation="portrait" r:id="rId4"/>
  <legacyDrawing r:id="rId2"/>
  <tableParts>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255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256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257</v>
      </c>
      <c r="K7" s="13" t="s">
        <v>258</v>
      </c>
    </row>
    <row r="8" spans="1:11" ht="409.5">
      <c r="A8"/>
      <c r="B8">
        <v>2</v>
      </c>
      <c r="C8">
        <v>2</v>
      </c>
      <c r="D8" t="s">
        <v>61</v>
      </c>
      <c r="E8" t="s">
        <v>61</v>
      </c>
      <c r="H8" t="s">
        <v>73</v>
      </c>
      <c r="J8" t="s">
        <v>259</v>
      </c>
      <c r="K8" s="13" t="s">
        <v>260</v>
      </c>
    </row>
    <row r="9" spans="1:11" ht="409.5">
      <c r="A9"/>
      <c r="B9">
        <v>3</v>
      </c>
      <c r="C9">
        <v>4</v>
      </c>
      <c r="D9" t="s">
        <v>62</v>
      </c>
      <c r="E9" t="s">
        <v>62</v>
      </c>
      <c r="H9" t="s">
        <v>74</v>
      </c>
      <c r="J9" t="s">
        <v>261</v>
      </c>
      <c r="K9" s="13" t="s">
        <v>262</v>
      </c>
    </row>
    <row r="10" spans="1:11" ht="409.5">
      <c r="A10"/>
      <c r="B10">
        <v>4</v>
      </c>
      <c r="D10" t="s">
        <v>63</v>
      </c>
      <c r="E10" t="s">
        <v>63</v>
      </c>
      <c r="H10" t="s">
        <v>75</v>
      </c>
      <c r="J10" t="s">
        <v>263</v>
      </c>
      <c r="K10" s="13" t="s">
        <v>264</v>
      </c>
    </row>
    <row r="11" spans="1:11" ht="15">
      <c r="A11"/>
      <c r="B11">
        <v>5</v>
      </c>
      <c r="D11" t="s">
        <v>46</v>
      </c>
      <c r="E11">
        <v>1</v>
      </c>
      <c r="H11" t="s">
        <v>76</v>
      </c>
      <c r="J11" t="s">
        <v>265</v>
      </c>
      <c r="K11" t="s">
        <v>266</v>
      </c>
    </row>
    <row r="12" spans="1:11" ht="15">
      <c r="A12"/>
      <c r="B12"/>
      <c r="D12" t="s">
        <v>64</v>
      </c>
      <c r="E12">
        <v>2</v>
      </c>
      <c r="H12">
        <v>0</v>
      </c>
      <c r="J12" t="s">
        <v>267</v>
      </c>
      <c r="K12" t="s">
        <v>268</v>
      </c>
    </row>
    <row r="13" spans="1:11" ht="15">
      <c r="A13"/>
      <c r="B13"/>
      <c r="D13">
        <v>1</v>
      </c>
      <c r="E13">
        <v>3</v>
      </c>
      <c r="H13">
        <v>1</v>
      </c>
      <c r="J13" t="s">
        <v>269</v>
      </c>
      <c r="K13" t="s">
        <v>270</v>
      </c>
    </row>
    <row r="14" spans="4:11" ht="15">
      <c r="D14">
        <v>2</v>
      </c>
      <c r="E14">
        <v>4</v>
      </c>
      <c r="H14">
        <v>2</v>
      </c>
      <c r="J14" t="s">
        <v>271</v>
      </c>
      <c r="K14" t="s">
        <v>272</v>
      </c>
    </row>
    <row r="15" spans="4:11" ht="15">
      <c r="D15">
        <v>3</v>
      </c>
      <c r="E15">
        <v>5</v>
      </c>
      <c r="H15">
        <v>3</v>
      </c>
      <c r="J15" t="s">
        <v>273</v>
      </c>
      <c r="K15" t="s">
        <v>274</v>
      </c>
    </row>
    <row r="16" spans="4:11" ht="15">
      <c r="D16">
        <v>4</v>
      </c>
      <c r="E16">
        <v>6</v>
      </c>
      <c r="H16">
        <v>4</v>
      </c>
      <c r="J16" t="s">
        <v>275</v>
      </c>
      <c r="K16" t="s">
        <v>276</v>
      </c>
    </row>
    <row r="17" spans="4:11" ht="15">
      <c r="D17">
        <v>5</v>
      </c>
      <c r="E17">
        <v>7</v>
      </c>
      <c r="H17">
        <v>5</v>
      </c>
      <c r="J17" t="s">
        <v>277</v>
      </c>
      <c r="K17" t="s">
        <v>278</v>
      </c>
    </row>
    <row r="18" spans="4:11" ht="15">
      <c r="D18">
        <v>6</v>
      </c>
      <c r="E18">
        <v>8</v>
      </c>
      <c r="H18">
        <v>6</v>
      </c>
      <c r="J18" t="s">
        <v>279</v>
      </c>
      <c r="K18" t="s">
        <v>280</v>
      </c>
    </row>
    <row r="19" spans="4:11" ht="15">
      <c r="D19">
        <v>7</v>
      </c>
      <c r="E19">
        <v>9</v>
      </c>
      <c r="H19">
        <v>7</v>
      </c>
      <c r="J19" t="s">
        <v>281</v>
      </c>
      <c r="K19" t="s">
        <v>282</v>
      </c>
    </row>
    <row r="20" spans="4:11" ht="15">
      <c r="D20">
        <v>8</v>
      </c>
      <c r="H20">
        <v>8</v>
      </c>
      <c r="J20" t="s">
        <v>283</v>
      </c>
      <c r="K20" t="s">
        <v>284</v>
      </c>
    </row>
    <row r="21" spans="4:11" ht="409.5">
      <c r="D21">
        <v>9</v>
      </c>
      <c r="H21">
        <v>9</v>
      </c>
      <c r="J21" t="s">
        <v>285</v>
      </c>
      <c r="K21" s="13" t="s">
        <v>286</v>
      </c>
    </row>
    <row r="22" spans="4:11" ht="409.5">
      <c r="D22">
        <v>10</v>
      </c>
      <c r="J22" t="s">
        <v>287</v>
      </c>
      <c r="K22" s="13" t="s">
        <v>288</v>
      </c>
    </row>
    <row r="23" spans="4:11" ht="409.5">
      <c r="D23">
        <v>11</v>
      </c>
      <c r="J23" t="s">
        <v>289</v>
      </c>
      <c r="K23" s="13" t="s">
        <v>307</v>
      </c>
    </row>
    <row r="24" spans="10:11" ht="409.5">
      <c r="J24" t="s">
        <v>290</v>
      </c>
      <c r="K24" s="13" t="s">
        <v>306</v>
      </c>
    </row>
    <row r="25" spans="10:11" ht="15">
      <c r="J25" t="s">
        <v>291</v>
      </c>
      <c r="K25" t="b">
        <v>0</v>
      </c>
    </row>
    <row r="26" spans="10:11" ht="15">
      <c r="J26" t="s">
        <v>304</v>
      </c>
      <c r="K26" t="s">
        <v>305</v>
      </c>
    </row>
  </sheetData>
  <printOptions/>
  <pageMargins left="0.7" right="0.7" top="0.75" bottom="0.75" header="0.3" footer="0.3"/>
  <pageSetup horizontalDpi="600" verticalDpi="600" orientation="portrait" r:id="rId4"/>
  <drawing r:id="rId3"/>
  <tableParts>
    <tablePart r:id="rId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8"/>
  <sheetViews>
    <sheetView tabSelected="1" workbookViewId="0" topLeftCell="A1"/>
  </sheetViews>
  <sheetFormatPr defaultColWidth="9.140625" defaultRowHeight="15"/>
  <cols>
    <col min="1" max="1" width="15.8515625" style="0" customWidth="1"/>
    <col min="2" max="2" width="25.00390625" style="0" bestFit="1" customWidth="1"/>
  </cols>
  <sheetData>
    <row r="25" spans="1:2" ht="15">
      <c r="A25" s="94" t="s">
        <v>301</v>
      </c>
      <c r="B25" t="s">
        <v>300</v>
      </c>
    </row>
    <row r="26" spans="1:2" ht="15">
      <c r="A26" s="95">
        <v>44890.615219907406</v>
      </c>
      <c r="B26" s="3">
        <v>1</v>
      </c>
    </row>
    <row r="27" spans="1:2" ht="15">
      <c r="A27" s="95">
        <v>44890.61555555555</v>
      </c>
      <c r="B27" s="3">
        <v>1</v>
      </c>
    </row>
    <row r="28" spans="1:2" ht="15">
      <c r="A28" s="95" t="s">
        <v>302</v>
      </c>
      <c r="B28" s="3">
        <v>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2022-12-06T14:53:17Z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