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Export Option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<sst xmlns="http://schemas.openxmlformats.org/spreadsheetml/2006/main" count="345" uniqueCount="227">
  <si>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</si>
  <si>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</si>
  <si>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</si>
  <si>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</si>
  <si>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</si>
  <si>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</si>
  <si>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</si>
  <si>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</si>
  <si>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</si>
  <si>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</si>
  <si>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</si>
  <si>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</si>
  <si>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</si>
  <si>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</si>
  <si>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</si>
  <si>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</si>
  <si>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</si>
  <si>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</si>
  <si>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</si>
  <si>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</si>
  <si>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</si>
  <si>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</si>
  <si>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</si>
  <si>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</si>
  <si>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</si>
  <si>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</si>
  <si>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</si>
  <si>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</si>
  <si>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</si>
  <si>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</si>
  <si>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</si>
  <si>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</si>
  <si>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</si>
  <si>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</si>
  <si>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</si>
  <si>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</si>
  <si>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</si>
  <si>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</si>
  <si>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</si>
  <si>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</si>
  <si>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</si>
  <si>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</si>
  <si>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</si>
  <si>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</si>
  <si>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</si>
  <si>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</si>
  <si>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</si>
  <si>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</si>
  <si>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</si>
  <si>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</si>
  <si>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</si>
  <si>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</si>
  <si>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</si>
  <si>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</si>
  <si>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</si>
  <si>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</si>
  <si>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</si>
  <si>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</si>
  <si>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</si>
  <si>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</si>
  <si>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</si>
  <si>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</si>
  <si>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</si>
  <si>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</si>
  <si>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</si>
  <si>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</si>
  <si>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</si>
  <si>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</si>
  <si>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</si>
  <si>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</si>
  <si>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</si>
  <si>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</si>
  <si>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</si>
  <si>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</si>
  <si>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</si>
  <si>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</si>
  <si>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</si>
  <si>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</si>
  <si>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</si>
  <si>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</si>
  <si>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</si>
  <si>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</si>
  <si>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</si>
  <si>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</si>
  <si>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</si>
  <si>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</si>
  <si>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</si>
  <si>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</si>
  <si>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</si>
  <si>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</si>
  <si>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</si>
  <si>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</si>
  <si>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</si>
  <si>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</si>
  <si>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</si>
  <si>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</si>
  <si>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</si>
  <si>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</si>
  <si>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</si>
  <si>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</si>
  <si>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</si>
  <si>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</si>
  <si>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</si>
  <si>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</si>
  <si>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</si>
  <si>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</si>
  <si>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</si>
  <si>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</si>
  <si>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</si>
  <si>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</si>
  <si>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</si>
  <si>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</si>
  <si>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</si>
  <si>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</si>
  <si>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</si>
  <si>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</si>
  <si>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</si>
  <si>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</si>
  <si>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</si>
  <si>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</si>
  <si>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</si>
  <si>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</si>
  <si>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</si>
  <si>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</si>
  <si>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</si>
  <si>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</si>
  <si>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</si>
  <si>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</si>
  <si>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</si>
  <si>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</si>
  <si>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</si>
  <si>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</si>
  <si>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</si>
  <si>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</si>
  <si>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</si>
  <si>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</si>
  <si>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</si>
  <si>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</si>
  <si>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</si>
  <si>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</si>
  <si>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</si>
  <si>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</si>
  <si>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</si>
  <si>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</si>
  <si>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</si>
  <si>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</si>
  <si>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</si>
  <si>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</si>
  <si>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</si>
  <si>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</si>
  <si>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</si>
  <si>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</si>
  <si>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</si>
  <si>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</si>
  <si>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</si>
  <si>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</si>
  <si>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</si>
  <si>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</si>
  <si>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</si>
  <si>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</si>
  <si>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</si>
  <si>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</si>
  <si>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</si>
  <si>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</si>
  <si>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</si>
  <si>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</si>
  <si>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</si>
  <si>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</si>
  <si>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</si>
  <si>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</si>
  <si>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</si>
  <si>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</si>
  <si>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</si>
  <si>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</si>
  <si>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t>
  </si>
  <si>
    <t>B</t>
  </si>
  <si>
    <t>C</t>
  </si>
  <si>
    <t>D</t>
  </si>
  <si>
    <t>E</t>
  </si>
  <si>
    <t>F</t>
  </si>
  <si>
    <t>G</t>
  </si>
  <si>
    <t>H</t>
  </si>
  <si>
    <t>I</t>
  </si>
  <si>
    <t>J</t>
  </si>
  <si>
    <t>Graph History</t>
  </si>
  <si>
    <t>Workbook Settings 2</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</si>
  <si>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</si>
  <si>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</si>
  <si>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</si>
  <si>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</si>
  <si>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</si>
  <si>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</si>
  <si>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</si>
  <si>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</si>
  <si>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</si>
  <si>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</si>
  <si>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</si>
  <si>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</si>
  <si>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</si>
  <si>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</si>
  <si>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</si>
  <si>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</si>
  <si>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</si>
  <si>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</si>
  <si>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1.0.1.510</t>
  </si>
  <si>
    <t>Key</t>
  </si>
  <si>
    <t>Action Label</t>
  </si>
  <si>
    <t>Action URL</t>
  </si>
  <si>
    <t>Brand Logo</t>
  </si>
  <si>
    <t>Brand URL</t>
  </si>
  <si>
    <t>Hashtag</t>
  </si>
  <si>
    <t>URL</t>
  </si>
  <si>
    <t>Marked?</t>
  </si>
  <si>
    <t>Autofill Workbook Results</t>
  </si>
  <si>
    <t>Workbook Settings 3</t>
  </si>
  <si>
    <t>Directed</t>
  </si>
  <si>
    <t>LayoutAlgorithm░The graph was laid out using the Circle layout algorithm.▓GraphDirectedness░The graph is directed.</t>
  </si>
  <si>
    <t>0, 128, 255</t>
  </si>
  <si>
    <t>Weight</t>
  </si>
  <si>
    <t>Weight▓1▓10▓1▓True▓Silver▓Red▓▓Weight▓1▓10▓1▓1▓10▓False▓▓0▓0▓0▓0▓0▓False▓▓0▓0▓0▓True▓Black▓Black▓▓▓0▓0▓0▓0▓0▓False▓▓0▓0▓0▓0▓0▓False▓▓0▓0▓0▓0▓0▓False▓▓0▓0▓0▓0▓0▓False</t>
  </si>
  <si>
    <t>Gray</t>
  </si>
  <si>
    <t>&lt;?xml version="1.0" encoding="utf-8"?&gt;
&lt;configuration&gt;
  &lt;configSections&gt;
    &lt;sectionGroup name="userSettings" type="System.Configuration.UserSettingsGroup, System, Version=2.0.0.0, Culture=neutral, PublicKeyToken=b77a5c561934e089"&gt;
      &lt;section name="VertexGridSnapperUserSettings"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&lt;VertexGridSnapperUserSettings&gt;
      &lt;setting name="GridSize" serializeAs="String"&gt;
        &lt;value&gt;100&lt;/value&gt;
      &lt;/setting&gt;
    &lt;/VertexGridSnapperUserSettings&gt;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&lt;value&gt;#nxlviz&lt;/value&gt;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 /&gt;
      &lt;/setting&gt;
      &lt;setting name="VertexRadiusSourceColumnName" serializeAs="String"&gt;
        &lt;value /&gt;
      &lt;/setting&gt;
      &lt;setting name="EdgeColorDetails" serializeAs="String"&gt;
        &lt;value&gt;False False 0 0 Silver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t>
  </si>
  <si>
    <t>The graph was laid out using the Circle layout algorithm.</t>
  </si>
  <si>
    <t xml:space="preserve">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26.25pt White BottomCenter 2147483647 2147483647 Black True 400 Black 86 MiddleCenter Microsoft Sans Serif, 60pt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&lt;value&gt;80&lt;/value&gt;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name="NewWorkbookGraphDirectedness" serializeAs="String"&gt;
        &lt;value&gt;Directed&lt;/value&gt;
      &lt;/setting&gt;
    &lt;/GeneralUserSettings4&gt;
    &lt;LayoutUserSettings&gt;
      &lt;setting name="Layout" serializeAs="String"&gt;
        &lt;value&gt;Circle&lt;/value&gt;
      &lt;/setting&gt;
    &lt;/LayoutUserSettings&gt;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&lt;PlugInUserSettings&gt;
      &lt;setting name="PlugInFolderPath" serializeAs="String"&gt;
        &lt;value /&gt;
      &lt;/setting&gt;
    &lt;/PlugInUserSettings&gt;
  &lt;/userSettings&gt;
&lt;/configuration&gt;</t>
  </si>
  <si>
    <t>https://nodexlgraphgallery.org/Pages/Graph.aspx?graphID=291828</t>
  </si>
  <si>
    <t>https://nodexlgraphgallery.org/Images/Image.ashx?graphID=291828&amp;type=f</t>
  </si>
  <si>
    <t xml:space="preserve">ails" serializeAs="String"&gt;
        &lt;value&gt;GreaterThan 0 Solid Square Disk&lt;/value&gt;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 /&gt;
      &lt;/setting&gt;
      &lt;setting name="EdgeWidthSourceColumnName" serializeAs="String"&gt;
        &lt;value&gt;Weight&lt;/value&gt;
      &lt;/setting&gt;
      &lt;setting name="EdgeAlphaSourceColumnName" serializeAs="String"&gt;
        &lt;value /&gt;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0 100 500 False False&lt;/value&gt;
      &lt;/setting&gt;
      &lt;setting name="EdgeColorSourceColumnName" serializeAs="String"&gt;
        &lt;value&gt;Weight&lt;/value&gt;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ClusteringCoefficient, BrandesFastCentralities, EigenvectorCentrality, PageRank, OverallMetrics, EdgeReciprocation, ReciprocatedVertexPairRatio&lt;/value&gt;
      &lt;/setting&gt;
    &lt;/GraphMetricUserSettings&gt;
    &lt;AutoScaleUserSettings&gt;
      &lt;setting name="AutoScale" serializeAs="String"&gt;
        &lt;value&gt;False&lt;/value&gt;
      &lt;/setting&gt;
    &lt;/AutoScaleUserSettings&gt;
    &lt;GraphZoomAndScaleUserSettings&gt;
      &lt;setting name="GraphScale" serializeAs="String"&gt;
        &lt;value&gt;0.53&lt;/value&gt;
      &lt;/setting&gt;
    &lt;/GraphZoomAndScaleUserSettings&gt;
    &lt;GraphImageUserSettings2&gt;
      &lt;setting name="ImageSize" serializeAs="String"&gt;
        &lt;value&gt;500, 400&lt;/value&gt;
      &lt;/setting&gt;
      &lt;setting name="UseControlSize" serializeAs="String"&gt;
        &lt;value&gt;True&lt;/value&gt;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&lt;GeneralUserSettings4&gt;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&lt;value&gt;45&lt;/value&gt;
      &lt;/setting&gt;
      &lt;setting name="EdgeWidth" serializeAs="String"&gt;
        &lt;value&gt;5&lt;/value&gt;
      &lt;/setting&gt;
      &lt;setting name="RelativeArrowSize" serializeAs="String"&gt;
        &lt;value&gt;3&lt;/value&gt;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</si>
</sst>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0.00"/>
    <numFmt numFmtId="180" formatCode="@"/>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0" fontId="2" fillId="0" borderId="0" xfId="0" applyFont="1" applyAlignment="1">
      <alignment wrapText="1"/>
    </xf>
    <xf numFmtId="49" fontId="2" fillId="0" borderId="0" xfId="0" applyNumberFormat="1" applyFont="1" applyAlignment="1">
      <alignment wrapText="1"/>
    </xf>
    <xf numFmtId="0" fontId="0" fillId="0" borderId="0" xfId="0" applyAlignment="1">
      <alignment vertical="top" wrapText="1"/>
    </xf>
    <xf numFmtId="0" fontId="0" fillId="0" borderId="0" xfId="0"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2" xfId="0" applyFont="1" applyFill="1" applyBorder="1"/>
    <xf numFmtId="0" fontId="7" fillId="7" borderId="3" xfId="0" applyFont="1" applyFill="1" applyBorder="1"/>
    <xf numFmtId="4" fontId="0" fillId="8" borderId="4" xfId="0" applyNumberFormat="1" applyFill="1" applyBorder="1"/>
    <xf numFmtId="0" fontId="0" fillId="8" borderId="5" xfId="0" applyFill="1" applyBorder="1"/>
    <xf numFmtId="4" fontId="0" fillId="9" borderId="4" xfId="0" applyNumberFormat="1" applyFill="1" applyBorder="1"/>
    <xf numFmtId="0" fontId="0" fillId="9" borderId="5" xfId="0" applyFill="1" applyBorder="1"/>
    <xf numFmtId="4" fontId="0" fillId="9" borderId="6" xfId="0" applyNumberFormat="1" applyFill="1" applyBorder="1"/>
    <xf numFmtId="0" fontId="0" fillId="9" borderId="0" xfId="0" applyFill="1"/>
    <xf numFmtId="0" fontId="0" fillId="8" borderId="4" xfId="0" applyFill="1" applyBorder="1"/>
    <xf numFmtId="0" fontId="0" fillId="9" borderId="4" xfId="0" applyFill="1" applyBorder="1"/>
    <xf numFmtId="0" fontId="0" fillId="9" borderId="6"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applyNumberFormat="1"/>
    <xf numFmtId="0" fontId="0" fillId="3" borderId="7" xfId="23" applyNumberFormat="1" applyFont="1" applyBorder="1"/>
    <xf numFmtId="0" fontId="0" fillId="3" borderId="8" xfId="23" applyNumberFormat="1" applyFont="1" applyBorder="1"/>
    <xf numFmtId="0" fontId="0" fillId="3" borderId="9" xfId="23" applyNumberFormat="1" applyFont="1" applyBorder="1"/>
    <xf numFmtId="0" fontId="0" fillId="6" borderId="7" xfId="26" applyNumberFormat="1" applyFont="1" applyBorder="1"/>
    <xf numFmtId="0" fontId="6" fillId="6" borderId="9" xfId="26" applyNumberFormat="1" applyFont="1" applyBorder="1"/>
    <xf numFmtId="0" fontId="0" fillId="2" borderId="7" xfId="20" applyNumberFormat="1" applyBorder="1"/>
    <xf numFmtId="0" fontId="0" fillId="2" borderId="9" xfId="20" applyNumberFormat="1" applyBorder="1"/>
    <xf numFmtId="0" fontId="0" fillId="4" borderId="7" xfId="24" applyNumberFormat="1" applyBorder="1"/>
    <xf numFmtId="0" fontId="0" fillId="4" borderId="8" xfId="24" applyNumberFormat="1" applyBorder="1"/>
    <xf numFmtId="0" fontId="0" fillId="6" borderId="1" xfId="26" applyNumberFormat="1" applyFont="1"/>
    <xf numFmtId="0" fontId="0" fillId="3" borderId="1" xfId="27" applyNumberFormat="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0" borderId="0" xfId="21" applyFont="1" applyAlignment="1">
      <alignment/>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49" fontId="0" fillId="0" borderId="0" xfId="22" applyNumberFormat="1" applyFont="1" applyBorder="1" applyAlignment="1">
      <alignment/>
    </xf>
    <xf numFmtId="0" fontId="0" fillId="3" borderId="10" xfId="23" applyNumberFormat="1" applyFont="1" applyBorder="1" applyAlignment="1">
      <alignment/>
    </xf>
    <xf numFmtId="1" fontId="0" fillId="3" borderId="10" xfId="23" applyNumberFormat="1" applyFont="1" applyBorder="1" applyAlignment="1">
      <alignment/>
    </xf>
    <xf numFmtId="0" fontId="6" fillId="5" borderId="10" xfId="25" applyNumberFormat="1" applyBorder="1" applyAlignment="1">
      <alignment/>
    </xf>
    <xf numFmtId="0" fontId="0" fillId="2" borderId="10" xfId="20" applyNumberFormat="1" applyFont="1" applyBorder="1" applyAlignment="1">
      <alignment/>
    </xf>
    <xf numFmtId="0" fontId="0" fillId="0" borderId="0" xfId="21" applyNumberFormat="1" applyFont="1" applyBorder="1" applyAlignment="1">
      <alignment/>
    </xf>
    <xf numFmtId="1" fontId="0" fillId="0" borderId="0" xfId="0" applyNumberFormat="1"/>
    <xf numFmtId="0" fontId="0" fillId="3" borderId="11" xfId="23" applyNumberFormat="1" applyFont="1" applyBorder="1" applyAlignment="1">
      <alignment/>
    </xf>
    <xf numFmtId="0" fontId="6" fillId="5" borderId="11" xfId="25" applyBorder="1" applyAlignment="1">
      <alignment/>
    </xf>
    <xf numFmtId="0" fontId="6" fillId="5" borderId="0" xfId="25" applyBorder="1" applyAlignment="1">
      <alignment/>
    </xf>
    <xf numFmtId="0" fontId="0" fillId="6" borderId="11" xfId="26" applyNumberFormat="1" applyFont="1" applyBorder="1" applyAlignment="1">
      <alignment/>
    </xf>
    <xf numFmtId="0" fontId="0" fillId="6" borderId="0" xfId="26" applyNumberFormat="1" applyFont="1" applyBorder="1" applyAlignment="1">
      <alignment/>
    </xf>
    <xf numFmtId="0" fontId="0" fillId="4" borderId="11" xfId="24" applyNumberFormat="1" applyBorder="1" applyAlignment="1">
      <alignment/>
    </xf>
    <xf numFmtId="0" fontId="0" fillId="4" borderId="0" xfId="24" applyNumberFormat="1" applyBorder="1" applyAlignment="1">
      <alignment/>
    </xf>
    <xf numFmtId="164" fontId="0" fillId="4" borderId="0" xfId="24" applyNumberFormat="1" applyBorder="1" applyAlignment="1">
      <alignment/>
    </xf>
    <xf numFmtId="1" fontId="0" fillId="4" borderId="0" xfId="24" applyNumberFormat="1" applyBorder="1" applyAlignment="1">
      <alignment/>
    </xf>
    <xf numFmtId="0" fontId="0" fillId="2" borderId="11" xfId="20" applyNumberFormat="1" applyFont="1" applyBorder="1" applyAlignment="1">
      <alignment/>
    </xf>
    <xf numFmtId="0" fontId="0" fillId="0" borderId="11" xfId="21" applyFont="1" applyBorder="1" applyAlignment="1">
      <alignment/>
    </xf>
    <xf numFmtId="164" fontId="0" fillId="0" borderId="0" xfId="0" applyNumberFormat="1"/>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49" fontId="6" fillId="5" borderId="10" xfId="25" applyNumberFormat="1" applyBorder="1" applyAlignment="1">
      <alignment/>
    </xf>
    <xf numFmtId="164" fontId="0" fillId="6" borderId="10" xfId="26" applyNumberFormat="1" applyFont="1" applyBorder="1" applyAlignment="1">
      <alignment/>
    </xf>
    <xf numFmtId="166" fontId="0" fillId="6" borderId="10" xfId="26" applyNumberFormat="1" applyFont="1" applyBorder="1" applyAlignment="1">
      <alignment/>
    </xf>
    <xf numFmtId="1" fontId="0" fillId="4" borderId="10" xfId="24" applyNumberFormat="1" applyBorder="1" applyAlignment="1">
      <alignment/>
    </xf>
    <xf numFmtId="0" fontId="0" fillId="0" borderId="0" xfId="0" applyAlignment="1">
      <alignment/>
    </xf>
    <xf numFmtId="0" fontId="0" fillId="0" borderId="0" xfId="0" applyFill="1" applyAlignment="1">
      <alignment/>
    </xf>
    <xf numFmtId="0" fontId="0" fillId="3" borderId="1" xfId="23" applyNumberFormat="1" applyFont="1" applyBorder="1" applyAlignment="1">
      <alignment/>
    </xf>
    <xf numFmtId="0" fontId="0" fillId="0" borderId="0" xfId="0" applyFill="1" applyBorder="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04">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numFmt numFmtId="178" formatCode="General"/>
    </dxf>
    <dxf>
      <numFmt numFmtId="180" formatCode="@"/>
    </dxf>
    <dxf>
      <numFmt numFmtId="180" formatCode="@"/>
    </dxf>
    <dxf>
      <numFmt numFmtId="180" formatCode="@"/>
    </dxf>
    <dxf>
      <numFmt numFmtId="180" formatCode="@"/>
    </dxf>
    <dxf>
      <numFmt numFmtId="167" formatCode="0.000"/>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80" formatCode="@"/>
    </dxf>
    <dxf>
      <font>
        <b val="0"/>
        <i val="0"/>
        <u val="none"/>
        <strike val="0"/>
        <sz val="11"/>
        <name val="Calibri"/>
        <color theme="1"/>
        <condense val="0"/>
        <extend val="0"/>
      </font>
      <numFmt numFmtId="178" formatCode="General"/>
    </dxf>
    <dxf>
      <numFmt numFmtId="178" formatCode="General"/>
    </dxf>
    <dxf>
      <numFmt numFmtId="178" formatCode="General"/>
    </dxf>
    <dxf>
      <numFmt numFmtId="180" formatCode="@"/>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80"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80" formatCode="@"/>
      <alignment horizontal="general" vertical="bottom" textRotation="0" wrapText="1" shrinkToFit="1" readingOrder="0"/>
    </dxf>
    <dxf>
      <numFmt numFmtId="180" formatCode="@"/>
      <alignment horizontal="general" vertical="bottom" textRotation="0" wrapText="1" shrinkToFit="1" readingOrder="0"/>
    </dxf>
    <dxf>
      <numFmt numFmtId="180"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right style="thin">
          <color theme="0"/>
        </right>
        <top style="thin">
          <color theme="0"/>
        </top>
        <bottom/>
        <vertical/>
        <horizontal/>
      </border>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80"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80" formatCode="@"/>
      <alignment horizontal="general" vertical="bottom" textRotation="0" wrapText="1" shrinkToFit="1" readingOrder="0"/>
    </dxf>
    <dxf>
      <numFmt numFmtId="180"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03"/>
      <tableStyleElement type="headerRow" dxfId="102"/>
    </tableStyle>
    <tableStyle name="NodeXL Table" pivot="0" count="1">
      <tableStyleElement type="headerRow" dxfId="1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599254"/>
        <c:axId val="20066695"/>
      </c:barChart>
      <c:catAx>
        <c:axId val="245992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066695"/>
        <c:crosses val="autoZero"/>
        <c:auto val="1"/>
        <c:lblOffset val="100"/>
        <c:noMultiLvlLbl val="0"/>
      </c:catAx>
      <c:valAx>
        <c:axId val="2006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99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382528"/>
        <c:axId val="14789569"/>
      </c:barChart>
      <c:catAx>
        <c:axId val="463825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789569"/>
        <c:crosses val="autoZero"/>
        <c:auto val="1"/>
        <c:lblOffset val="100"/>
        <c:noMultiLvlLbl val="0"/>
      </c:catAx>
      <c:valAx>
        <c:axId val="14789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2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997258"/>
        <c:axId val="57104411"/>
      </c:barChart>
      <c:catAx>
        <c:axId val="659972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104411"/>
        <c:crosses val="autoZero"/>
        <c:auto val="1"/>
        <c:lblOffset val="100"/>
        <c:noMultiLvlLbl val="0"/>
      </c:catAx>
      <c:valAx>
        <c:axId val="57104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97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177652"/>
        <c:axId val="62054549"/>
      </c:barChart>
      <c:catAx>
        <c:axId val="441776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054549"/>
        <c:crosses val="autoZero"/>
        <c:auto val="1"/>
        <c:lblOffset val="100"/>
        <c:noMultiLvlLbl val="0"/>
      </c:catAx>
      <c:valAx>
        <c:axId val="62054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77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620030"/>
        <c:axId val="60362543"/>
      </c:barChart>
      <c:catAx>
        <c:axId val="216200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362543"/>
        <c:crosses val="autoZero"/>
        <c:auto val="1"/>
        <c:lblOffset val="100"/>
        <c:noMultiLvlLbl val="0"/>
      </c:catAx>
      <c:valAx>
        <c:axId val="60362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20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91976"/>
        <c:axId val="57527785"/>
      </c:barChart>
      <c:catAx>
        <c:axId val="63919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527785"/>
        <c:crosses val="autoZero"/>
        <c:auto val="1"/>
        <c:lblOffset val="100"/>
        <c:noMultiLvlLbl val="0"/>
      </c:catAx>
      <c:valAx>
        <c:axId val="57527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988018"/>
        <c:axId val="29238979"/>
      </c:barChart>
      <c:catAx>
        <c:axId val="479880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238979"/>
        <c:crosses val="autoZero"/>
        <c:auto val="1"/>
        <c:lblOffset val="100"/>
        <c:noMultiLvlLbl val="0"/>
      </c:catAx>
      <c:valAx>
        <c:axId val="29238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88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824220"/>
        <c:axId val="19547069"/>
      </c:barChart>
      <c:catAx>
        <c:axId val="618242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47069"/>
        <c:crosses val="autoZero"/>
        <c:auto val="1"/>
        <c:lblOffset val="100"/>
        <c:noMultiLvlLbl val="0"/>
      </c:catAx>
      <c:valAx>
        <c:axId val="19547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24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705894"/>
        <c:axId val="39808727"/>
      </c:barChart>
      <c:catAx>
        <c:axId val="41705894"/>
        <c:scaling>
          <c:orientation val="minMax"/>
        </c:scaling>
        <c:axPos val="b"/>
        <c:delete val="1"/>
        <c:majorTickMark val="out"/>
        <c:minorTickMark val="none"/>
        <c:tickLblPos val="none"/>
        <c:crossAx val="39808727"/>
        <c:crosses val="autoZero"/>
        <c:auto val="1"/>
        <c:lblOffset val="100"/>
        <c:noMultiLvlLbl val="0"/>
      </c:catAx>
      <c:valAx>
        <c:axId val="39808727"/>
        <c:scaling>
          <c:orientation val="minMax"/>
        </c:scaling>
        <c:axPos val="l"/>
        <c:delete val="1"/>
        <c:majorTickMark val="out"/>
        <c:minorTickMark val="none"/>
        <c:tickLblPos val="none"/>
        <c:crossAx val="417058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7" totalsRowShown="0" headerRowDxfId="100" dataDxfId="99">
  <autoFilter ref="A2:N7"/>
  <sortState ref="A3:N7">
    <sortCondition sortBy="value" ref="A3:A7"/>
  </sortState>
  <tableColumns count="14">
    <tableColumn id="1" name="Vertex 1" dataDxfId="98"/>
    <tableColumn id="2" name="Vertex 2" dataDxfId="97"/>
    <tableColumn id="3" name="Color" dataDxfId="96"/>
    <tableColumn id="4" name="Width" dataDxfId="95"/>
    <tableColumn id="11" name="Style" dataDxfId="94"/>
    <tableColumn id="5" name="Opacity" dataDxfId="93"/>
    <tableColumn id="6" name="Visibility" dataDxfId="92"/>
    <tableColumn id="10" name="Label" dataDxfId="91"/>
    <tableColumn id="12" name="Label Text Color" dataDxfId="90"/>
    <tableColumn id="13" name="Label Font Size" dataDxfId="89"/>
    <tableColumn id="14" name="Reciprocated?" dataDxfId="13"/>
    <tableColumn id="7" name="ID" dataDxfId="88"/>
    <tableColumn id="9" name="Dynamic Filter" dataDxfId="87"/>
    <tableColumn id="8" name="Weight" dataDxfId="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15" dataDxfId="14">
  <autoFilter ref="A1:B7"/>
  <tableColumns count="2">
    <tableColumn id="1" name="Key" dataDxfId="10"/>
    <tableColumn id="2" name="Value" dataDxfId="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D12" totalsRowShown="0" headerRowDxfId="85" dataDxfId="84">
  <autoFilter ref="A2:AD12"/>
  <sortState ref="A3:AD11">
    <sortCondition sortBy="value" ref="M3:M11"/>
  </sortState>
  <tableColumns count="30">
    <tableColumn id="1" name="Vertex" dataDxfId="83"/>
    <tableColumn id="2" name="Color" dataDxfId="82"/>
    <tableColumn id="5" name="Shape" dataDxfId="81"/>
    <tableColumn id="6" name="Size" dataDxfId="80"/>
    <tableColumn id="4" name="Opacity" dataDxfId="79"/>
    <tableColumn id="7" name="Image File" dataDxfId="78"/>
    <tableColumn id="3" name="Visibility" dataDxfId="77"/>
    <tableColumn id="10" name="Label" dataDxfId="76"/>
    <tableColumn id="16" name="Label Fill Color" dataDxfId="75"/>
    <tableColumn id="9" name="Label Position" dataDxfId="74"/>
    <tableColumn id="8" name="Tooltip" dataDxfId="73"/>
    <tableColumn id="18" name="Layout Order" dataDxfId="72"/>
    <tableColumn id="13" name="X" dataDxfId="71"/>
    <tableColumn id="14" name="Y" dataDxfId="70"/>
    <tableColumn id="12" name="Locked?" dataDxfId="69"/>
    <tableColumn id="19" name="Polar R" dataDxfId="68"/>
    <tableColumn id="20" name="Polar Angle" dataDxfId="67"/>
    <tableColumn id="21" name="Degree" dataDxfId="6"/>
    <tableColumn id="22" name="In-Degree" dataDxfId="5"/>
    <tableColumn id="23" name="Out-Degree" dataDxfId="3"/>
    <tableColumn id="24" name="Betweenness Centrality" dataDxfId="4"/>
    <tableColumn id="25" name="Closeness Centrality" dataDxfId="8"/>
    <tableColumn id="26" name="Eigenvector Centrality" dataDxfId="7"/>
    <tableColumn id="15" name="PageRank" dataDxfId="2"/>
    <tableColumn id="27" name="Clustering Coefficient" dataDxfId="0"/>
    <tableColumn id="29" name="Reciprocated Vertex Pair Ratio" dataDxfId="1"/>
    <tableColumn id="11" name="ID" dataDxfId="66"/>
    <tableColumn id="28" name="Dynamic Filter" dataDxfId="65"/>
    <tableColumn id="17" name="Add Your Own Columns Here" dataDxfId="64"/>
    <tableColumn id="30" name="Marked?" dataDxfId="63"/>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62">
  <autoFilter ref="A2:X3"/>
  <tableColumns count="24">
    <tableColumn id="1" name="Group" dataDxfId="61"/>
    <tableColumn id="2" name="Vertex Color" dataDxfId="60"/>
    <tableColumn id="3" name="Vertex Shape" dataDxfId="59"/>
    <tableColumn id="22" name="Visibility" dataDxfId="58"/>
    <tableColumn id="4" name="Collapsed?"/>
    <tableColumn id="18" name="Label" dataDxfId="57"/>
    <tableColumn id="20" name="Collapsed X"/>
    <tableColumn id="21" name="Collapsed Y"/>
    <tableColumn id="6" name="ID" dataDxfId="56"/>
    <tableColumn id="19" name="Collapsed Properties" dataDxfId="55"/>
    <tableColumn id="5" name="Vertices" dataDxfId="54"/>
    <tableColumn id="7" name="Unique Edges" dataDxfId="53"/>
    <tableColumn id="8" name="Edges With Duplicates" dataDxfId="52"/>
    <tableColumn id="9" name="Total Edges" dataDxfId="51"/>
    <tableColumn id="10" name="Self-Loops" dataDxfId="50"/>
    <tableColumn id="24" name="Reciprocated Vertex Pair Ratio" dataDxfId="49"/>
    <tableColumn id="25" name="Reciprocated Edge Ratio" dataDxfId="48"/>
    <tableColumn id="11" name="Connected Components" dataDxfId="47"/>
    <tableColumn id="12" name="Single-Vertex Connected Components" dataDxfId="46"/>
    <tableColumn id="13" name="Maximum Vertices in a Connected Component" dataDxfId="45"/>
    <tableColumn id="14" name="Maximum Edges in a Connected Component" dataDxfId="44"/>
    <tableColumn id="15" name="Maximum Geodesic Distance (Diameter)" dataDxfId="43"/>
    <tableColumn id="16" name="Average Geodesic Distance" dataDxfId="42"/>
    <tableColumn id="17" name="Graph Density" dataDxfId="4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40" dataDxfId="39">
  <autoFilter ref="A1:C2"/>
  <tableColumns count="3">
    <tableColumn id="1" name="Group" dataDxfId="38"/>
    <tableColumn id="2" name="Vertex" dataDxfId="37"/>
    <tableColumn id="3" name="Vertex ID" dataDxfId="36"/>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2"/>
    <tableColumn id="2" name="Value" dataDxfId="1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
    <tableColumn id="2" name="Degree Frequency" dataDxfId="34">
      <calculatedColumnFormula>COUNTIF(Vertices[Degree], "&gt;= " &amp; D2) - COUNTIF(Vertices[Degree], "&gt;=" &amp; D3)</calculatedColumnFormula>
    </tableColumn>
    <tableColumn id="3" name="In-Degree Bin" dataDxfId="33"/>
    <tableColumn id="4" name="In-Degree Frequency" dataDxfId="32">
      <calculatedColumnFormula>COUNTIF(Vertices[In-Degree], "&gt;= " &amp; F2) - COUNTIF(Vertices[In-Degree], "&gt;=" &amp; F3)</calculatedColumnFormula>
    </tableColumn>
    <tableColumn id="5" name="Out-Degree Bin" dataDxfId="31"/>
    <tableColumn id="6" name="Out-Degree Frequency" dataDxfId="30">
      <calculatedColumnFormula>COUNTIF(Vertices[Out-Degree], "&gt;= " &amp; H2) - COUNTIF(Vertices[Out-Degree], "&gt;=" &amp; H3)</calculatedColumnFormula>
    </tableColumn>
    <tableColumn id="7" name="Betweenness Centrality Bin" dataDxfId="29"/>
    <tableColumn id="8" name="Betweenness Centrality Frequency" dataDxfId="28">
      <calculatedColumnFormula>COUNTIF(Vertices[Betweenness Centrality], "&gt;= " &amp; J2) - COUNTIF(Vertices[Betweenness Centrality], "&gt;=" &amp; J3)</calculatedColumnFormula>
    </tableColumn>
    <tableColumn id="9" name="Closeness Centrality Bin" dataDxfId="27"/>
    <tableColumn id="10" name="Closeness Centrality Frequency" dataDxfId="26">
      <calculatedColumnFormula>COUNTIF(Vertices[Closeness Centrality], "&gt;= " &amp; L2) - COUNTIF(Vertices[Closeness Centrality], "&gt;=" &amp; L3)</calculatedColumnFormula>
    </tableColumn>
    <tableColumn id="11" name="Eigenvector Centrality Bin" dataDxfId="25"/>
    <tableColumn id="12" name="Eigenvector Centrality Frequency" dataDxfId="24">
      <calculatedColumnFormula>COUNTIF(Vertices[Eigenvector Centrality], "&gt;= " &amp; N2) - COUNTIF(Vertices[Eigenvector Centrality], "&gt;=" &amp; N3)</calculatedColumnFormula>
    </tableColumn>
    <tableColumn id="18" name="PageRank Bin" dataDxfId="23"/>
    <tableColumn id="17" name="PageRank Frequency" dataDxfId="22">
      <calculatedColumnFormula>COUNTIF(Vertices[Eigenvector Centrality], "&gt;= " &amp; P2) - COUNTIF(Vertices[Eigenvector Centrality], "&gt;=" &amp; P3)</calculatedColumnFormula>
    </tableColumn>
    <tableColumn id="13" name="Clustering Coefficient Bin" dataDxfId="21"/>
    <tableColumn id="14" name="Clustering Coefficient Frequency" dataDxfId="20">
      <calculatedColumnFormula>COUNTIF(Vertices[Clustering Coefficient], "&gt;= " &amp; R2) - COUNTIF(Vertices[Clustering Coefficient], "&gt;=" &amp; R3)</calculatedColumnFormula>
    </tableColumn>
    <tableColumn id="15" name="Dynamic Filter Bin" dataDxfId="19"/>
    <tableColumn id="16" name="Dynamic Filter Frequency" dataDxfId="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7">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
  <sheetViews>
    <sheetView zoomScale="110" zoomScaleNormal="110"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0" bestFit="1" customWidth="1"/>
    <col min="4" max="4" width="8.7109375" style="61" bestFit="1" customWidth="1"/>
    <col min="5" max="5" width="13.140625" style="61" customWidth="1"/>
    <col min="6" max="6" width="9.8515625" style="61" bestFit="1" customWidth="1"/>
    <col min="7" max="7" width="11.00390625" style="0" bestFit="1" customWidth="1"/>
    <col min="8" max="8" width="8.00390625" style="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s>
  <sheetData>
    <row r="1" spans="3:14" ht="15">
      <c r="C1" s="42" t="s">
        <v>39</v>
      </c>
      <c r="D1" s="43"/>
      <c r="E1" s="43"/>
      <c r="F1" s="43"/>
      <c r="G1" s="42"/>
      <c r="H1" s="44" t="s">
        <v>43</v>
      </c>
      <c r="I1" s="45"/>
      <c r="J1" s="45"/>
      <c r="K1" s="13" t="s">
        <v>42</v>
      </c>
      <c r="L1" s="46" t="s">
        <v>40</v>
      </c>
      <c r="M1" s="46"/>
      <c r="N1" s="47" t="s">
        <v>41</v>
      </c>
    </row>
    <row r="2" spans="1:14" ht="30" customHeight="1">
      <c r="A2" s="1" t="s">
        <v>0</v>
      </c>
      <c r="B2" s="1" t="s">
        <v>1</v>
      </c>
      <c r="C2" t="s">
        <v>2</v>
      </c>
      <c r="D2" t="s">
        <v>3</v>
      </c>
      <c r="E2" t="s">
        <v>130</v>
      </c>
      <c r="F2" t="s">
        <v>4</v>
      </c>
      <c r="G2" t="s">
        <v>11</v>
      </c>
      <c r="H2" s="1" t="s">
        <v>46</v>
      </c>
      <c r="I2" t="s">
        <v>160</v>
      </c>
      <c r="J2" t="s">
        <v>161</v>
      </c>
      <c r="K2" s="5" t="s">
        <v>165</v>
      </c>
      <c r="L2" t="s">
        <v>12</v>
      </c>
      <c r="M2" t="s">
        <v>38</v>
      </c>
      <c r="N2" t="s">
        <v>218</v>
      </c>
    </row>
    <row r="3" spans="1:14" ht="15" customHeight="1">
      <c r="A3" s="48" t="s">
        <v>174</v>
      </c>
      <c r="B3" s="48" t="s">
        <v>179</v>
      </c>
      <c r="C3" s="49" t="s">
        <v>220</v>
      </c>
      <c r="D3" s="50">
        <v>8</v>
      </c>
      <c r="E3" s="49" t="s">
        <v>133</v>
      </c>
      <c r="F3" s="51"/>
      <c r="G3" s="49"/>
      <c r="H3" s="44" t="s">
        <v>133</v>
      </c>
      <c r="I3" s="52"/>
      <c r="J3" s="52"/>
      <c r="K3" s="13" t="s">
        <v>65</v>
      </c>
      <c r="L3" s="53">
        <v>3</v>
      </c>
      <c r="M3" s="53"/>
      <c r="N3" s="50">
        <v>8</v>
      </c>
    </row>
    <row r="4" spans="1:14" ht="15">
      <c r="A4" s="48" t="s">
        <v>180</v>
      </c>
      <c r="B4" s="48" t="s">
        <v>175</v>
      </c>
      <c r="C4" s="49" t="s">
        <v>220</v>
      </c>
      <c r="D4" s="50">
        <v>8</v>
      </c>
      <c r="E4" s="49" t="s">
        <v>132</v>
      </c>
      <c r="F4" s="51"/>
      <c r="G4" s="49"/>
      <c r="H4" s="44" t="s">
        <v>132</v>
      </c>
      <c r="I4" s="52"/>
      <c r="J4" s="52"/>
      <c r="K4" s="13" t="s">
        <v>65</v>
      </c>
      <c r="L4" s="53">
        <v>4</v>
      </c>
      <c r="M4" s="53"/>
      <c r="N4" s="50">
        <v>8</v>
      </c>
    </row>
    <row r="5" spans="1:14" ht="15">
      <c r="A5" s="48" t="s">
        <v>181</v>
      </c>
      <c r="B5" s="48" t="s">
        <v>176</v>
      </c>
      <c r="C5" s="49" t="s">
        <v>220</v>
      </c>
      <c r="D5" s="50">
        <v>8</v>
      </c>
      <c r="E5" s="49" t="s">
        <v>134</v>
      </c>
      <c r="F5" s="51"/>
      <c r="G5" s="49"/>
      <c r="H5" s="44" t="s">
        <v>134</v>
      </c>
      <c r="I5" s="52"/>
      <c r="J5" s="52"/>
      <c r="K5" s="13" t="s">
        <v>65</v>
      </c>
      <c r="L5" s="53">
        <v>5</v>
      </c>
      <c r="M5" s="53"/>
      <c r="N5" s="50">
        <v>8</v>
      </c>
    </row>
    <row r="6" spans="1:14" ht="15">
      <c r="A6" s="55" t="s">
        <v>183</v>
      </c>
      <c r="B6" s="48" t="s">
        <v>178</v>
      </c>
      <c r="C6" s="49" t="s">
        <v>220</v>
      </c>
      <c r="D6" s="50">
        <v>8</v>
      </c>
      <c r="E6" s="56" t="s">
        <v>135</v>
      </c>
      <c r="F6" s="57"/>
      <c r="G6" s="56"/>
      <c r="H6" s="44" t="s">
        <v>135</v>
      </c>
      <c r="I6" s="58"/>
      <c r="J6" s="58"/>
      <c r="K6" s="13" t="s">
        <v>65</v>
      </c>
      <c r="L6" s="59">
        <v>6</v>
      </c>
      <c r="M6" s="59"/>
      <c r="N6" s="50">
        <v>8</v>
      </c>
    </row>
    <row r="7" spans="1:14" ht="15">
      <c r="A7" s="55" t="s">
        <v>182</v>
      </c>
      <c r="B7" s="55" t="s">
        <v>177</v>
      </c>
      <c r="C7" s="49" t="s">
        <v>220</v>
      </c>
      <c r="D7" s="50">
        <v>8</v>
      </c>
      <c r="E7" s="49" t="s">
        <v>136</v>
      </c>
      <c r="F7" s="51"/>
      <c r="G7" s="49"/>
      <c r="H7" s="44" t="s">
        <v>136</v>
      </c>
      <c r="I7" s="52"/>
      <c r="J7" s="52"/>
      <c r="K7" s="13" t="s">
        <v>65</v>
      </c>
      <c r="L7" s="53">
        <v>7</v>
      </c>
      <c r="M7" s="53"/>
      <c r="N7" s="50">
        <v>8</v>
      </c>
    </row>
  </sheetData>
  <dataValidations count="13">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A6:B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Width" prompt="Enter an optional edge width between 1 and 10." errorTitle="Invalid Edge Width" error="The optional edge width must be a whole number between 1 and 10." sqref="D3:D7 N3:N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H3:H7 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 allowBlank="1" showInputMessage="1" promptTitle="Vertex Color" prompt="To select an optional vertex color, right-click and select Select Color on the right-click menu." sqref="C3:C7"/>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2"/>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9.140625" style="1" customWidth="1"/>
    <col min="2" max="2" width="7.8515625" style="0" customWidth="1"/>
    <col min="3" max="3" width="8.57421875" style="0" customWidth="1"/>
    <col min="4" max="4" width="11.0039062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3" width="10.421875" style="0" hidden="1" customWidth="1"/>
    <col min="14" max="14" width="12.003906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73" bestFit="1" customWidth="1"/>
    <col min="30" max="30" width="11.00390625" style="61" bestFit="1"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62" t="s">
        <v>39</v>
      </c>
      <c r="C1" s="42"/>
      <c r="D1" s="42"/>
      <c r="E1" s="42"/>
      <c r="F1" s="42"/>
      <c r="G1" s="42"/>
      <c r="H1" s="63" t="s">
        <v>43</v>
      </c>
      <c r="I1" s="64"/>
      <c r="J1" s="64"/>
      <c r="K1" s="64"/>
      <c r="L1" s="65" t="s">
        <v>44</v>
      </c>
      <c r="M1" s="66"/>
      <c r="N1" s="66"/>
      <c r="O1" s="66"/>
      <c r="P1" s="66"/>
      <c r="Q1" s="66"/>
      <c r="R1" s="67" t="s">
        <v>42</v>
      </c>
      <c r="S1" s="68"/>
      <c r="T1" s="69"/>
      <c r="U1" s="70"/>
      <c r="V1" s="68"/>
      <c r="W1" s="68"/>
      <c r="X1" s="68"/>
      <c r="Y1" s="68"/>
      <c r="Z1" s="68"/>
      <c r="AA1" s="71" t="s">
        <v>40</v>
      </c>
      <c r="AB1" s="46"/>
      <c r="AC1" s="72" t="s">
        <v>41</v>
      </c>
      <c r="AD1"/>
    </row>
    <row r="2" spans="1:30" ht="30" customHeight="1">
      <c r="A2" s="1" t="s">
        <v>5</v>
      </c>
      <c r="B2" t="s">
        <v>2</v>
      </c>
      <c r="C2" t="s">
        <v>8</v>
      </c>
      <c r="D2" s="73" t="s">
        <v>45</v>
      </c>
      <c r="E2" s="61" t="s">
        <v>4</v>
      </c>
      <c r="F2" t="s">
        <v>48</v>
      </c>
      <c r="G2" t="s">
        <v>11</v>
      </c>
      <c r="H2" t="s">
        <v>46</v>
      </c>
      <c r="I2" t="s">
        <v>47</v>
      </c>
      <c r="J2" t="s">
        <v>77</v>
      </c>
      <c r="K2" t="s">
        <v>10</v>
      </c>
      <c r="L2" t="s">
        <v>27</v>
      </c>
      <c r="M2" t="s">
        <v>15</v>
      </c>
      <c r="N2" t="s">
        <v>16</v>
      </c>
      <c r="O2" t="s">
        <v>13</v>
      </c>
      <c r="P2" t="s">
        <v>28</v>
      </c>
      <c r="Q2" t="s">
        <v>29</v>
      </c>
      <c r="R2" t="s">
        <v>31</v>
      </c>
      <c r="S2" s="5" t="s">
        <v>32</v>
      </c>
      <c r="T2" s="5" t="s">
        <v>33</v>
      </c>
      <c r="U2" s="5" t="s">
        <v>34</v>
      </c>
      <c r="V2" s="5" t="s">
        <v>35</v>
      </c>
      <c r="W2" s="5" t="s">
        <v>36</v>
      </c>
      <c r="X2" s="5" t="s">
        <v>137</v>
      </c>
      <c r="Y2" s="5" t="s">
        <v>37</v>
      </c>
      <c r="Z2" s="5" t="s">
        <v>170</v>
      </c>
      <c r="AA2" s="1" t="s">
        <v>12</v>
      </c>
      <c r="AB2" s="1" t="s">
        <v>38</v>
      </c>
      <c r="AC2" t="s">
        <v>26</v>
      </c>
      <c r="AD2" t="s">
        <v>212</v>
      </c>
    </row>
    <row r="3" spans="1:30" ht="15" customHeight="1">
      <c r="A3" s="48" t="s">
        <v>182</v>
      </c>
      <c r="B3" s="49" t="s">
        <v>217</v>
      </c>
      <c r="C3" s="49" t="s">
        <v>56</v>
      </c>
      <c r="D3" s="50">
        <v>500</v>
      </c>
      <c r="E3" s="51"/>
      <c r="F3" s="49"/>
      <c r="G3" s="49"/>
      <c r="H3" s="84"/>
      <c r="I3" s="52"/>
      <c r="J3" s="52"/>
      <c r="K3" s="44"/>
      <c r="L3" s="74"/>
      <c r="M3" s="75">
        <v>2000</v>
      </c>
      <c r="N3" s="75">
        <v>1000</v>
      </c>
      <c r="O3" s="76" t="s">
        <v>66</v>
      </c>
      <c r="P3" s="77"/>
      <c r="Q3" s="77"/>
      <c r="R3" s="27"/>
      <c r="S3" s="27">
        <v>0</v>
      </c>
      <c r="T3" s="27">
        <v>1</v>
      </c>
      <c r="U3" s="28">
        <v>0</v>
      </c>
      <c r="V3" s="28">
        <v>0.111111</v>
      </c>
      <c r="W3" s="28">
        <v>0.316228</v>
      </c>
      <c r="X3" s="28">
        <v>0.1</v>
      </c>
      <c r="Y3" s="28">
        <v>0</v>
      </c>
      <c r="Z3" s="28">
        <v>0</v>
      </c>
      <c r="AA3" s="53">
        <v>3</v>
      </c>
      <c r="AB3" s="53"/>
      <c r="AC3" s="54"/>
      <c r="AD3"/>
    </row>
    <row r="4" spans="1:31" ht="15">
      <c r="A4" s="48" t="s">
        <v>183</v>
      </c>
      <c r="B4" s="49" t="s">
        <v>217</v>
      </c>
      <c r="C4" s="49" t="s">
        <v>56</v>
      </c>
      <c r="D4" s="50">
        <v>500</v>
      </c>
      <c r="E4" s="51"/>
      <c r="F4" s="49"/>
      <c r="G4" s="49"/>
      <c r="H4" s="84"/>
      <c r="I4" s="52"/>
      <c r="J4" s="52"/>
      <c r="K4" s="44"/>
      <c r="L4" s="74"/>
      <c r="M4" s="75">
        <v>2000</v>
      </c>
      <c r="N4" s="75">
        <v>3000</v>
      </c>
      <c r="O4" s="76" t="s">
        <v>66</v>
      </c>
      <c r="P4" s="77"/>
      <c r="Q4" s="77"/>
      <c r="R4" s="27"/>
      <c r="S4" s="27">
        <v>0</v>
      </c>
      <c r="T4" s="27">
        <v>1</v>
      </c>
      <c r="U4" s="28">
        <v>0</v>
      </c>
      <c r="V4" s="28">
        <v>0.111111</v>
      </c>
      <c r="W4" s="28">
        <v>0.316228</v>
      </c>
      <c r="X4" s="28">
        <v>0.1</v>
      </c>
      <c r="Y4" s="28">
        <v>0</v>
      </c>
      <c r="Z4" s="28">
        <v>0</v>
      </c>
      <c r="AA4" s="53">
        <v>4</v>
      </c>
      <c r="AB4" s="53"/>
      <c r="AC4" s="54"/>
      <c r="AD4"/>
      <c r="AE4" s="61"/>
    </row>
    <row r="5" spans="1:31" ht="15">
      <c r="A5" s="48" t="s">
        <v>180</v>
      </c>
      <c r="B5" s="49" t="s">
        <v>217</v>
      </c>
      <c r="C5" s="49" t="s">
        <v>56</v>
      </c>
      <c r="D5" s="50">
        <v>500</v>
      </c>
      <c r="E5" s="51"/>
      <c r="F5" s="49"/>
      <c r="G5" s="49"/>
      <c r="H5" s="56"/>
      <c r="I5" s="52"/>
      <c r="J5" s="52"/>
      <c r="K5" s="44"/>
      <c r="L5" s="74"/>
      <c r="M5" s="75">
        <v>2000</v>
      </c>
      <c r="N5" s="75">
        <v>7000</v>
      </c>
      <c r="O5" s="76" t="s">
        <v>66</v>
      </c>
      <c r="P5" s="77"/>
      <c r="Q5" s="77"/>
      <c r="R5" s="27"/>
      <c r="S5" s="27">
        <v>0</v>
      </c>
      <c r="T5" s="27">
        <v>1</v>
      </c>
      <c r="U5" s="28">
        <v>0</v>
      </c>
      <c r="V5" s="28">
        <v>0.111111</v>
      </c>
      <c r="W5" s="28">
        <v>0.316228</v>
      </c>
      <c r="X5" s="28">
        <v>0.1</v>
      </c>
      <c r="Y5" s="28">
        <v>0</v>
      </c>
      <c r="Z5" s="28">
        <v>0</v>
      </c>
      <c r="AA5" s="53">
        <v>5</v>
      </c>
      <c r="AB5" s="53"/>
      <c r="AC5" s="54"/>
      <c r="AD5"/>
      <c r="AE5" s="61"/>
    </row>
    <row r="6" spans="1:31" ht="15">
      <c r="A6" s="48" t="s">
        <v>181</v>
      </c>
      <c r="B6" s="49" t="s">
        <v>217</v>
      </c>
      <c r="C6" s="49" t="s">
        <v>56</v>
      </c>
      <c r="D6" s="50">
        <v>500</v>
      </c>
      <c r="E6" s="51"/>
      <c r="F6" s="49"/>
      <c r="G6" s="49"/>
      <c r="H6" s="49"/>
      <c r="I6" s="52"/>
      <c r="J6" s="52"/>
      <c r="K6" s="44"/>
      <c r="L6" s="74"/>
      <c r="M6" s="75">
        <v>2000</v>
      </c>
      <c r="N6" s="75">
        <v>9000</v>
      </c>
      <c r="O6" s="76" t="s">
        <v>66</v>
      </c>
      <c r="P6" s="77"/>
      <c r="Q6" s="77"/>
      <c r="R6" s="27"/>
      <c r="S6" s="27">
        <v>0</v>
      </c>
      <c r="T6" s="27">
        <v>1</v>
      </c>
      <c r="U6" s="28">
        <v>0</v>
      </c>
      <c r="V6" s="28">
        <v>0.111111</v>
      </c>
      <c r="W6" s="28">
        <v>0.316228</v>
      </c>
      <c r="X6" s="28">
        <v>0.1</v>
      </c>
      <c r="Y6" s="28">
        <v>0</v>
      </c>
      <c r="Z6" s="28">
        <v>0</v>
      </c>
      <c r="AA6" s="53">
        <v>6</v>
      </c>
      <c r="AB6" s="53"/>
      <c r="AC6" s="54"/>
      <c r="AD6"/>
      <c r="AE6" s="61"/>
    </row>
    <row r="7" spans="1:31" ht="15">
      <c r="A7" s="48" t="s">
        <v>177</v>
      </c>
      <c r="B7" s="49" t="s">
        <v>217</v>
      </c>
      <c r="C7" s="49" t="s">
        <v>56</v>
      </c>
      <c r="D7" s="50">
        <v>500</v>
      </c>
      <c r="E7" s="51"/>
      <c r="F7" s="49"/>
      <c r="G7" s="49"/>
      <c r="H7" s="84"/>
      <c r="I7" s="52"/>
      <c r="J7" s="52"/>
      <c r="K7" s="44"/>
      <c r="L7" s="74"/>
      <c r="M7" s="75">
        <v>8000</v>
      </c>
      <c r="N7" s="75">
        <v>1000</v>
      </c>
      <c r="O7" s="76" t="s">
        <v>66</v>
      </c>
      <c r="P7" s="77"/>
      <c r="Q7" s="77"/>
      <c r="R7" s="27"/>
      <c r="S7" s="27">
        <v>1</v>
      </c>
      <c r="T7" s="27">
        <v>0</v>
      </c>
      <c r="U7" s="28">
        <v>0</v>
      </c>
      <c r="V7" s="28">
        <v>0.111111</v>
      </c>
      <c r="W7" s="28">
        <v>0.316228</v>
      </c>
      <c r="X7" s="28">
        <v>0.1</v>
      </c>
      <c r="Y7" s="28">
        <v>0</v>
      </c>
      <c r="Z7" s="28">
        <v>0</v>
      </c>
      <c r="AA7" s="53">
        <v>7</v>
      </c>
      <c r="AB7" s="53"/>
      <c r="AC7" s="54"/>
      <c r="AD7"/>
      <c r="AE7" s="61"/>
    </row>
    <row r="8" spans="1:31" ht="15">
      <c r="A8" s="48" t="s">
        <v>178</v>
      </c>
      <c r="B8" s="49" t="s">
        <v>217</v>
      </c>
      <c r="C8" s="49" t="s">
        <v>56</v>
      </c>
      <c r="D8" s="50">
        <v>500</v>
      </c>
      <c r="E8" s="51"/>
      <c r="F8" s="49"/>
      <c r="G8" s="49"/>
      <c r="H8" s="84"/>
      <c r="I8" s="52"/>
      <c r="J8" s="52"/>
      <c r="K8" s="44"/>
      <c r="L8" s="74"/>
      <c r="M8" s="75">
        <v>8000</v>
      </c>
      <c r="N8" s="75">
        <v>3000</v>
      </c>
      <c r="O8" s="76" t="s">
        <v>66</v>
      </c>
      <c r="P8" s="77"/>
      <c r="Q8" s="77"/>
      <c r="R8" s="27"/>
      <c r="S8" s="27">
        <v>1</v>
      </c>
      <c r="T8" s="27">
        <v>0</v>
      </c>
      <c r="U8" s="28">
        <v>0</v>
      </c>
      <c r="V8" s="28">
        <v>0.111111</v>
      </c>
      <c r="W8" s="28">
        <v>0.316228</v>
      </c>
      <c r="X8" s="28">
        <v>0.1</v>
      </c>
      <c r="Y8" s="28">
        <v>0</v>
      </c>
      <c r="Z8" s="28">
        <v>0</v>
      </c>
      <c r="AA8" s="53">
        <v>8</v>
      </c>
      <c r="AB8" s="53"/>
      <c r="AC8" s="54"/>
      <c r="AD8"/>
      <c r="AE8" s="61"/>
    </row>
    <row r="9" spans="1:31" ht="15">
      <c r="A9" s="48" t="s">
        <v>179</v>
      </c>
      <c r="B9" s="49" t="s">
        <v>217</v>
      </c>
      <c r="C9" s="49" t="s">
        <v>56</v>
      </c>
      <c r="D9" s="50">
        <v>500</v>
      </c>
      <c r="E9" s="51"/>
      <c r="F9" s="49"/>
      <c r="G9" s="49"/>
      <c r="H9" s="84"/>
      <c r="I9" s="52"/>
      <c r="J9" s="52"/>
      <c r="K9" s="44"/>
      <c r="L9" s="74"/>
      <c r="M9" s="75">
        <v>8000</v>
      </c>
      <c r="N9" s="75">
        <v>5000</v>
      </c>
      <c r="O9" s="76" t="s">
        <v>66</v>
      </c>
      <c r="P9" s="77"/>
      <c r="Q9" s="77"/>
      <c r="R9" s="27"/>
      <c r="S9" s="27">
        <v>0</v>
      </c>
      <c r="T9" s="27">
        <v>1</v>
      </c>
      <c r="U9" s="28">
        <v>0</v>
      </c>
      <c r="V9" s="28">
        <v>0.111111</v>
      </c>
      <c r="W9" s="28">
        <v>0.316228</v>
      </c>
      <c r="X9" s="28">
        <v>0.1</v>
      </c>
      <c r="Y9" s="28">
        <v>0</v>
      </c>
      <c r="Z9" s="28">
        <v>0</v>
      </c>
      <c r="AA9" s="53">
        <v>9</v>
      </c>
      <c r="AB9" s="53"/>
      <c r="AC9" s="54"/>
      <c r="AD9"/>
      <c r="AE9" s="61"/>
    </row>
    <row r="10" spans="1:31" ht="15">
      <c r="A10" s="48" t="s">
        <v>175</v>
      </c>
      <c r="B10" s="49" t="s">
        <v>217</v>
      </c>
      <c r="C10" s="49" t="s">
        <v>56</v>
      </c>
      <c r="D10" s="50">
        <v>500</v>
      </c>
      <c r="E10" s="51"/>
      <c r="F10" s="49"/>
      <c r="G10" s="49"/>
      <c r="H10" s="49"/>
      <c r="I10" s="52"/>
      <c r="J10" s="52"/>
      <c r="K10" s="44"/>
      <c r="L10" s="74"/>
      <c r="M10" s="75">
        <v>8000</v>
      </c>
      <c r="N10" s="75">
        <v>7000</v>
      </c>
      <c r="O10" s="76" t="s">
        <v>66</v>
      </c>
      <c r="P10" s="77"/>
      <c r="Q10" s="77"/>
      <c r="R10" s="27"/>
      <c r="S10" s="27">
        <v>1</v>
      </c>
      <c r="T10" s="27">
        <v>0</v>
      </c>
      <c r="U10" s="28">
        <v>0</v>
      </c>
      <c r="V10" s="28">
        <v>0.111111</v>
      </c>
      <c r="W10" s="28">
        <v>0.316228</v>
      </c>
      <c r="X10" s="28">
        <v>0.1</v>
      </c>
      <c r="Y10" s="28">
        <v>0</v>
      </c>
      <c r="Z10" s="28">
        <v>0</v>
      </c>
      <c r="AA10" s="53">
        <v>10</v>
      </c>
      <c r="AB10" s="53"/>
      <c r="AC10" s="54"/>
      <c r="AD10"/>
      <c r="AE10" s="61"/>
    </row>
    <row r="11" spans="1:31" ht="15">
      <c r="A11" s="48" t="s">
        <v>176</v>
      </c>
      <c r="B11" s="49" t="s">
        <v>217</v>
      </c>
      <c r="C11" s="49" t="s">
        <v>56</v>
      </c>
      <c r="D11" s="50">
        <v>500</v>
      </c>
      <c r="E11" s="51"/>
      <c r="F11" s="49"/>
      <c r="G11" s="49"/>
      <c r="H11" s="49"/>
      <c r="I11" s="52"/>
      <c r="J11" s="52"/>
      <c r="K11" s="44"/>
      <c r="L11" s="74"/>
      <c r="M11" s="75">
        <v>8000</v>
      </c>
      <c r="N11" s="75">
        <v>9000</v>
      </c>
      <c r="O11" s="76" t="s">
        <v>66</v>
      </c>
      <c r="P11" s="77"/>
      <c r="Q11" s="77"/>
      <c r="R11" s="27"/>
      <c r="S11" s="27">
        <v>1</v>
      </c>
      <c r="T11" s="27">
        <v>0</v>
      </c>
      <c r="U11" s="28">
        <v>0</v>
      </c>
      <c r="V11" s="28">
        <v>0.111111</v>
      </c>
      <c r="W11" s="28">
        <v>0.316228</v>
      </c>
      <c r="X11" s="28">
        <v>0.1</v>
      </c>
      <c r="Y11" s="28">
        <v>0</v>
      </c>
      <c r="Z11" s="28">
        <v>0</v>
      </c>
      <c r="AA11" s="53">
        <v>11</v>
      </c>
      <c r="AB11" s="53"/>
      <c r="AC11" s="54"/>
      <c r="AD11"/>
      <c r="AE11" s="61"/>
    </row>
    <row r="12" spans="1:30" ht="15">
      <c r="A12" s="55" t="s">
        <v>174</v>
      </c>
      <c r="B12" s="49" t="s">
        <v>217</v>
      </c>
      <c r="C12" s="49" t="s">
        <v>56</v>
      </c>
      <c r="D12" s="50">
        <v>500</v>
      </c>
      <c r="E12" s="57"/>
      <c r="F12" s="56"/>
      <c r="G12" s="56"/>
      <c r="H12" s="56"/>
      <c r="I12" s="58"/>
      <c r="J12" s="58"/>
      <c r="K12" s="78"/>
      <c r="L12" s="79"/>
      <c r="M12" s="75">
        <v>2000</v>
      </c>
      <c r="N12" s="75">
        <v>5000</v>
      </c>
      <c r="O12" s="76" t="s">
        <v>66</v>
      </c>
      <c r="P12" s="80"/>
      <c r="Q12" s="80"/>
      <c r="R12" s="81"/>
      <c r="S12" s="27">
        <v>1</v>
      </c>
      <c r="T12" s="27">
        <v>0</v>
      </c>
      <c r="U12" s="28">
        <v>0</v>
      </c>
      <c r="V12" s="28">
        <v>0.111111</v>
      </c>
      <c r="W12" s="28">
        <v>0.316228</v>
      </c>
      <c r="X12" s="28">
        <v>0.1</v>
      </c>
      <c r="Y12" s="28">
        <v>0</v>
      </c>
      <c r="Z12" s="28">
        <v>0</v>
      </c>
      <c r="AA12" s="59">
        <v>12</v>
      </c>
      <c r="AB12" s="59"/>
      <c r="AC12" s="60"/>
      <c r="AD12" s="85"/>
    </row>
  </sheetData>
  <dataValidations count="19">
    <dataValidation allowBlank="1" errorTitle="Invalid Vertex Visibility" error="You have entered an unrecognized vertex visibility.  Try selecting from the drop-down list instead." sqref="AE3"/>
    <dataValidation allowBlank="1" showErrorMessage="1" sqref="AE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H3:H12 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10" t="s">
        <v>50</v>
      </c>
    </row>
    <row r="21" ht="15">
      <c r="D21" s="4"/>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31" t="s">
        <v>39</v>
      </c>
      <c r="C1" s="32"/>
      <c r="D1" s="32"/>
      <c r="E1" s="33"/>
      <c r="F1" s="30" t="s">
        <v>43</v>
      </c>
      <c r="G1" s="34" t="s">
        <v>44</v>
      </c>
      <c r="H1" s="35"/>
      <c r="I1" s="36" t="s">
        <v>40</v>
      </c>
      <c r="J1" s="37"/>
      <c r="K1" s="38" t="s">
        <v>42</v>
      </c>
      <c r="L1" s="39"/>
      <c r="M1" s="39"/>
      <c r="N1" s="39"/>
      <c r="O1" s="39"/>
      <c r="P1" s="39"/>
      <c r="Q1" s="39"/>
      <c r="R1" s="39"/>
      <c r="S1" s="39"/>
      <c r="T1" s="39"/>
      <c r="U1" s="39"/>
      <c r="V1" s="39"/>
      <c r="W1" s="39"/>
      <c r="X1" s="39"/>
    </row>
    <row r="2" spans="1:24" s="5" customFormat="1" ht="30" customHeight="1">
      <c r="A2" s="6" t="s">
        <v>144</v>
      </c>
      <c r="B2" s="5" t="s">
        <v>21</v>
      </c>
      <c r="C2" s="5" t="s">
        <v>20</v>
      </c>
      <c r="D2" s="5" t="s">
        <v>11</v>
      </c>
      <c r="E2" s="5" t="s">
        <v>145</v>
      </c>
      <c r="F2" s="5" t="s">
        <v>46</v>
      </c>
      <c r="G2" s="5" t="s">
        <v>167</v>
      </c>
      <c r="H2" s="5" t="s">
        <v>168</v>
      </c>
      <c r="I2" s="5" t="s">
        <v>12</v>
      </c>
      <c r="J2" s="5" t="s">
        <v>166</v>
      </c>
      <c r="K2" s="5" t="s">
        <v>146</v>
      </c>
      <c r="L2" s="5" t="s">
        <v>148</v>
      </c>
      <c r="M2" s="5" t="s">
        <v>149</v>
      </c>
      <c r="N2" s="5" t="s">
        <v>150</v>
      </c>
      <c r="O2" s="5" t="s">
        <v>151</v>
      </c>
      <c r="P2" s="5" t="s">
        <v>170</v>
      </c>
      <c r="Q2" s="5" t="s">
        <v>171</v>
      </c>
      <c r="R2" s="5" t="s">
        <v>152</v>
      </c>
      <c r="S2" s="5" t="s">
        <v>153</v>
      </c>
      <c r="T2" s="5" t="s">
        <v>154</v>
      </c>
      <c r="U2" s="5" t="s">
        <v>155</v>
      </c>
      <c r="V2" s="5" t="s">
        <v>156</v>
      </c>
      <c r="W2" s="5" t="s">
        <v>157</v>
      </c>
      <c r="X2" s="5" t="s">
        <v>158</v>
      </c>
    </row>
    <row r="3" spans="1:24" ht="15">
      <c r="A3" s="7"/>
      <c r="B3" s="8"/>
      <c r="C3" s="8"/>
      <c r="D3" s="8"/>
      <c r="E3" s="8"/>
      <c r="F3" s="9"/>
      <c r="G3" s="40"/>
      <c r="H3" s="40"/>
      <c r="I3" s="29"/>
      <c r="J3" s="29"/>
      <c r="K3" s="25"/>
      <c r="L3" s="25"/>
      <c r="M3" s="25"/>
      <c r="N3" s="25"/>
      <c r="O3" s="25"/>
      <c r="P3" s="25"/>
      <c r="Q3" s="25"/>
      <c r="R3" s="25"/>
      <c r="S3" s="25"/>
      <c r="T3" s="25"/>
      <c r="U3" s="25"/>
      <c r="V3" s="25"/>
      <c r="W3" s="26"/>
      <c r="X3" s="26"/>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5" t="s">
        <v>162</v>
      </c>
      <c r="B1" s="5" t="s">
        <v>17</v>
      </c>
      <c r="D1" t="s">
        <v>79</v>
      </c>
      <c r="E1" t="s">
        <v>80</v>
      </c>
      <c r="F1" s="14" t="s">
        <v>86</v>
      </c>
      <c r="G1" s="15" t="s">
        <v>87</v>
      </c>
      <c r="H1" s="14" t="s">
        <v>92</v>
      </c>
      <c r="I1" s="15" t="s">
        <v>93</v>
      </c>
      <c r="J1" s="14" t="s">
        <v>98</v>
      </c>
      <c r="K1" s="15" t="s">
        <v>99</v>
      </c>
      <c r="L1" s="14" t="s">
        <v>104</v>
      </c>
      <c r="M1" s="15" t="s">
        <v>105</v>
      </c>
      <c r="N1" s="14" t="s">
        <v>110</v>
      </c>
      <c r="O1" s="15" t="s">
        <v>111</v>
      </c>
      <c r="P1" s="15" t="s">
        <v>138</v>
      </c>
      <c r="Q1" s="15" t="s">
        <v>139</v>
      </c>
      <c r="R1" s="14" t="s">
        <v>116</v>
      </c>
      <c r="S1" s="14" t="s">
        <v>117</v>
      </c>
      <c r="T1" s="14" t="s">
        <v>122</v>
      </c>
      <c r="U1" s="15" t="s">
        <v>123</v>
      </c>
      <c r="W1" t="s">
        <v>127</v>
      </c>
      <c r="X1" t="s">
        <v>17</v>
      </c>
    </row>
    <row r="2" spans="1:24" ht="15.75" thickTop="1">
      <c r="A2" s="13" t="s">
        <v>186</v>
      </c>
      <c r="B2" s="13" t="s">
        <v>215</v>
      </c>
      <c r="D2" s="11">
        <f>MIN(Vertices[Degree])</f>
        <v>0</v>
      </c>
      <c r="E2">
        <f>COUNTIF(Vertices[Degree],"&gt;= "&amp;D2)-COUNTIF(Vertices[Degree],"&gt;="&amp;D3)</f>
        <v>0</v>
      </c>
      <c r="F2" s="16">
        <f>MIN(Vertices[In-Degree])</f>
        <v>0</v>
      </c>
      <c r="G2" s="17">
        <f>COUNTIF(Vertices[In-Degree],"&gt;= "&amp;F2)-COUNTIF(Vertices[In-Degree],"&gt;="&amp;F3)</f>
        <v>5</v>
      </c>
      <c r="H2" s="16">
        <f>MIN(Vertices[Out-Degree])</f>
        <v>0</v>
      </c>
      <c r="I2" s="17">
        <f>COUNTIF(Vertices[Out-Degree],"&gt;= "&amp;H2)-COUNTIF(Vertices[Out-Degree],"&gt;="&amp;H3)</f>
        <v>5</v>
      </c>
      <c r="J2" s="16">
        <f>MIN(Vertices[Betweenness Centrality])</f>
        <v>0</v>
      </c>
      <c r="K2" s="17">
        <f>COUNTIF(Vertices[Betweenness Centrality],"&gt;= "&amp;J2)-COUNTIF(Vertices[Betweenness Centrality],"&gt;="&amp;J3)</f>
        <v>0</v>
      </c>
      <c r="L2" s="16">
        <f>MIN(Vertices[Closeness Centrality])</f>
        <v>0.111111</v>
      </c>
      <c r="M2" s="17">
        <f>COUNTIF(Vertices[Closeness Centrality],"&gt;= "&amp;L2)-COUNTIF(Vertices[Closeness Centrality],"&gt;="&amp;L3)</f>
        <v>0</v>
      </c>
      <c r="N2" s="16">
        <f>MIN(Vertices[Eigenvector Centrality])</f>
        <v>0.316228</v>
      </c>
      <c r="O2" s="17">
        <f>COUNTIF(Vertices[Eigenvector Centrality],"&gt;= "&amp;N2)-COUNTIF(Vertices[Eigenvector Centrality],"&gt;="&amp;N3)</f>
        <v>0</v>
      </c>
      <c r="P2" s="16">
        <f>MIN(Vertices[PageRank])</f>
        <v>0.1</v>
      </c>
      <c r="Q2" s="17">
        <f>COUNTIF(Vertices[PageRank],"&gt;= "&amp;P2)-COUNTIF(Vertices[PageRank],"&gt;="&amp;P3)</f>
        <v>0</v>
      </c>
      <c r="R2" s="16">
        <f>MIN(Vertices[Clustering Coefficient])</f>
        <v>0</v>
      </c>
      <c r="S2" s="22">
        <f>COUNTIF(Vertices[Clustering Coefficient],"&gt;= "&amp;R2)-COUNTIF(Vertices[Clustering Coefficient],"&gt;="&amp;R3)</f>
        <v>0</v>
      </c>
      <c r="T2" s="16" t="e">
        <f ca="1">MIN(INDIRECT(DynamicFilterSourceColumnRange))</f>
        <v>#REF!</v>
      </c>
      <c r="U2" s="17" t="e">
        <f aca="true" t="shared" si="0" ref="U2:U25">COUNTIF(INDIRECT(DynamicFilterSourceColumnRange),"&gt;= "&amp;T2)-COUNTIF(INDIRECT(DynamicFilterSourceColumnRange),"&gt;="&amp;T3)</f>
        <v>#REF!</v>
      </c>
      <c r="W2" t="s">
        <v>124</v>
      </c>
      <c r="X2">
        <f>ROWS(HistogramBins[Degree Bin])-1</f>
        <v>34</v>
      </c>
    </row>
    <row r="3" spans="1:24" ht="15">
      <c r="A3" s="41"/>
      <c r="B3" s="41"/>
      <c r="D3" s="11">
        <f aca="true" t="shared" si="1" ref="D3:D35">D2+($D$36-$D$2)/BinDivisor</f>
        <v>0</v>
      </c>
      <c r="E3">
        <f>COUNTIF(Vertices[Degree],"&gt;= "&amp;D3)-COUNTIF(Vertices[Degree],"&gt;="&amp;D4)</f>
        <v>0</v>
      </c>
      <c r="F3" s="18">
        <f aca="true" t="shared" si="2" ref="F3:F35">F2+($F$36-$F$2)/BinDivisor</f>
        <v>0.029411764705882353</v>
      </c>
      <c r="G3" s="19">
        <f>COUNTIF(Vertices[In-Degree],"&gt;= "&amp;F3)-COUNTIF(Vertices[In-Degree],"&gt;="&amp;F4)</f>
        <v>0</v>
      </c>
      <c r="H3" s="18">
        <f aca="true" t="shared" si="3" ref="H3:H35">H2+($H$36-$H$2)/BinDivisor</f>
        <v>0.029411764705882353</v>
      </c>
      <c r="I3" s="19">
        <f>COUNTIF(Vertices[Out-Degree],"&gt;= "&amp;H3)-COUNTIF(Vertices[Out-Degree],"&gt;="&amp;H4)</f>
        <v>0</v>
      </c>
      <c r="J3" s="18">
        <f aca="true" t="shared" si="4" ref="J3:J35">J2+($J$36-$J$2)/BinDivisor</f>
        <v>0</v>
      </c>
      <c r="K3" s="19">
        <f>COUNTIF(Vertices[Betweenness Centrality],"&gt;= "&amp;J3)-COUNTIF(Vertices[Betweenness Centrality],"&gt;="&amp;J4)</f>
        <v>0</v>
      </c>
      <c r="L3" s="18">
        <f aca="true" t="shared" si="5" ref="L3:L35">L2+($L$36-$L$2)/BinDivisor</f>
        <v>0.111111</v>
      </c>
      <c r="M3" s="19">
        <f>COUNTIF(Vertices[Closeness Centrality],"&gt;= "&amp;L3)-COUNTIF(Vertices[Closeness Centrality],"&gt;="&amp;L4)</f>
        <v>0</v>
      </c>
      <c r="N3" s="18">
        <f aca="true" t="shared" si="6" ref="N3:N35">N2+($N$36-$N$2)/BinDivisor</f>
        <v>0.316228</v>
      </c>
      <c r="O3" s="19">
        <f>COUNTIF(Vertices[Eigenvector Centrality],"&gt;= "&amp;N3)-COUNTIF(Vertices[Eigenvector Centrality],"&gt;="&amp;N4)</f>
        <v>0</v>
      </c>
      <c r="P3" s="18">
        <f aca="true" t="shared" si="7" ref="P3:P35">P2+($P$36-$P$2)/BinDivisor</f>
        <v>0.1</v>
      </c>
      <c r="Q3" s="19">
        <f>COUNTIF(Vertices[PageRank],"&gt;= "&amp;P3)-COUNTIF(Vertices[PageRank],"&gt;="&amp;P4)</f>
        <v>0</v>
      </c>
      <c r="R3" s="18">
        <f aca="true" t="shared" si="8" ref="R3:R35">R2+($R$36-$R$2)/BinDivisor</f>
        <v>0</v>
      </c>
      <c r="S3" s="23">
        <f>COUNTIF(Vertices[Clustering Coefficient],"&gt;= "&amp;R3)-COUNTIF(Vertices[Clustering Coefficient],"&gt;="&amp;R4)</f>
        <v>0</v>
      </c>
      <c r="T3" s="18" t="e">
        <f aca="true" t="shared" si="9" ref="T3:T35">T2+($T$36-$T$2)/BinDivisor</f>
        <v>#REF!</v>
      </c>
      <c r="U3" s="19" t="e">
        <f ca="1" t="shared" si="0"/>
        <v>#REF!</v>
      </c>
      <c r="W3" t="s">
        <v>125</v>
      </c>
      <c r="X3" t="s">
        <v>85</v>
      </c>
    </row>
    <row r="4" spans="1:24" ht="15">
      <c r="A4" s="13" t="s">
        <v>146</v>
      </c>
      <c r="B4" s="13">
        <v>10</v>
      </c>
      <c r="D4" s="11">
        <f t="shared" si="1"/>
        <v>0</v>
      </c>
      <c r="E4">
        <f>COUNTIF(Vertices[Degree],"&gt;= "&amp;D4)-COUNTIF(Vertices[Degree],"&gt;="&amp;D5)</f>
        <v>0</v>
      </c>
      <c r="F4" s="16">
        <f t="shared" si="2"/>
        <v>0.058823529411764705</v>
      </c>
      <c r="G4" s="17">
        <f>COUNTIF(Vertices[In-Degree],"&gt;= "&amp;F4)-COUNTIF(Vertices[In-Degree],"&gt;="&amp;F5)</f>
        <v>0</v>
      </c>
      <c r="H4" s="16">
        <f t="shared" si="3"/>
        <v>0.058823529411764705</v>
      </c>
      <c r="I4" s="17">
        <f>COUNTIF(Vertices[Out-Degree],"&gt;= "&amp;H4)-COUNTIF(Vertices[Out-Degree],"&gt;="&amp;H5)</f>
        <v>0</v>
      </c>
      <c r="J4" s="16">
        <f t="shared" si="4"/>
        <v>0</v>
      </c>
      <c r="K4" s="17">
        <f>COUNTIF(Vertices[Betweenness Centrality],"&gt;= "&amp;J4)-COUNTIF(Vertices[Betweenness Centrality],"&gt;="&amp;J5)</f>
        <v>0</v>
      </c>
      <c r="L4" s="16">
        <f t="shared" si="5"/>
        <v>0.111111</v>
      </c>
      <c r="M4" s="17">
        <f>COUNTIF(Vertices[Closeness Centrality],"&gt;= "&amp;L4)-COUNTIF(Vertices[Closeness Centrality],"&gt;="&amp;L5)</f>
        <v>0</v>
      </c>
      <c r="N4" s="16">
        <f t="shared" si="6"/>
        <v>0.316228</v>
      </c>
      <c r="O4" s="17">
        <f>COUNTIF(Vertices[Eigenvector Centrality],"&gt;= "&amp;N4)-COUNTIF(Vertices[Eigenvector Centrality],"&gt;="&amp;N5)</f>
        <v>0</v>
      </c>
      <c r="P4" s="16">
        <f t="shared" si="7"/>
        <v>0.1</v>
      </c>
      <c r="Q4" s="17">
        <f>COUNTIF(Vertices[PageRank],"&gt;= "&amp;P4)-COUNTIF(Vertices[PageRank],"&gt;="&amp;P5)</f>
        <v>0</v>
      </c>
      <c r="R4" s="16">
        <f t="shared" si="8"/>
        <v>0</v>
      </c>
      <c r="S4" s="22">
        <f>COUNTIF(Vertices[Clustering Coefficient],"&gt;= "&amp;R4)-COUNTIF(Vertices[Clustering Coefficient],"&gt;="&amp;R5)</f>
        <v>0</v>
      </c>
      <c r="T4" s="16" t="e">
        <f ca="1" t="shared" si="9"/>
        <v>#REF!</v>
      </c>
      <c r="U4" s="17" t="e">
        <f ca="1" t="shared" si="0"/>
        <v>#REF!</v>
      </c>
      <c r="W4" t="s">
        <v>126</v>
      </c>
      <c r="X4" t="s">
        <v>128</v>
      </c>
    </row>
    <row r="5" spans="1:21" ht="15">
      <c r="A5" s="41"/>
      <c r="B5" s="41"/>
      <c r="D5" s="11">
        <f t="shared" si="1"/>
        <v>0</v>
      </c>
      <c r="E5">
        <f>COUNTIF(Vertices[Degree],"&gt;= "&amp;D5)-COUNTIF(Vertices[Degree],"&gt;="&amp;D6)</f>
        <v>0</v>
      </c>
      <c r="F5" s="18">
        <f t="shared" si="2"/>
        <v>0.08823529411764705</v>
      </c>
      <c r="G5" s="19">
        <f>COUNTIF(Vertices[In-Degree],"&gt;= "&amp;F5)-COUNTIF(Vertices[In-Degree],"&gt;="&amp;F6)</f>
        <v>0</v>
      </c>
      <c r="H5" s="18">
        <f t="shared" si="3"/>
        <v>0.08823529411764705</v>
      </c>
      <c r="I5" s="19">
        <f>COUNTIF(Vertices[Out-Degree],"&gt;= "&amp;H5)-COUNTIF(Vertices[Out-Degree],"&gt;="&amp;H6)</f>
        <v>0</v>
      </c>
      <c r="J5" s="18">
        <f t="shared" si="4"/>
        <v>0</v>
      </c>
      <c r="K5" s="19">
        <f>COUNTIF(Vertices[Betweenness Centrality],"&gt;= "&amp;J5)-COUNTIF(Vertices[Betweenness Centrality],"&gt;="&amp;J6)</f>
        <v>0</v>
      </c>
      <c r="L5" s="18">
        <f t="shared" si="5"/>
        <v>0.111111</v>
      </c>
      <c r="M5" s="19">
        <f>COUNTIF(Vertices[Closeness Centrality],"&gt;= "&amp;L5)-COUNTIF(Vertices[Closeness Centrality],"&gt;="&amp;L6)</f>
        <v>0</v>
      </c>
      <c r="N5" s="18">
        <f t="shared" si="6"/>
        <v>0.316228</v>
      </c>
      <c r="O5" s="19">
        <f>COUNTIF(Vertices[Eigenvector Centrality],"&gt;= "&amp;N5)-COUNTIF(Vertices[Eigenvector Centrality],"&gt;="&amp;N6)</f>
        <v>0</v>
      </c>
      <c r="P5" s="18">
        <f t="shared" si="7"/>
        <v>0.1</v>
      </c>
      <c r="Q5" s="19">
        <f>COUNTIF(Vertices[PageRank],"&gt;= "&amp;P5)-COUNTIF(Vertices[PageRank],"&gt;="&amp;P6)</f>
        <v>0</v>
      </c>
      <c r="R5" s="18">
        <f t="shared" si="8"/>
        <v>0</v>
      </c>
      <c r="S5" s="23">
        <f>COUNTIF(Vertices[Clustering Coefficient],"&gt;= "&amp;R5)-COUNTIF(Vertices[Clustering Coefficient],"&gt;="&amp;R6)</f>
        <v>0</v>
      </c>
      <c r="T5" s="18" t="e">
        <f ca="1" t="shared" si="9"/>
        <v>#REF!</v>
      </c>
      <c r="U5" s="19" t="e">
        <f ca="1" t="shared" si="0"/>
        <v>#REF!</v>
      </c>
    </row>
    <row r="6" spans="1:21" ht="15">
      <c r="A6" s="13" t="s">
        <v>148</v>
      </c>
      <c r="B6" s="13">
        <v>5</v>
      </c>
      <c r="D6" s="11">
        <f t="shared" si="1"/>
        <v>0</v>
      </c>
      <c r="E6">
        <f>COUNTIF(Vertices[Degree],"&gt;= "&amp;D6)-COUNTIF(Vertices[Degree],"&gt;="&amp;D7)</f>
        <v>0</v>
      </c>
      <c r="F6" s="16">
        <f t="shared" si="2"/>
        <v>0.11764705882352941</v>
      </c>
      <c r="G6" s="17">
        <f>COUNTIF(Vertices[In-Degree],"&gt;= "&amp;F6)-COUNTIF(Vertices[In-Degree],"&gt;="&amp;F7)</f>
        <v>0</v>
      </c>
      <c r="H6" s="16">
        <f t="shared" si="3"/>
        <v>0.11764705882352941</v>
      </c>
      <c r="I6" s="17">
        <f>COUNTIF(Vertices[Out-Degree],"&gt;= "&amp;H6)-COUNTIF(Vertices[Out-Degree],"&gt;="&amp;H7)</f>
        <v>0</v>
      </c>
      <c r="J6" s="16">
        <f t="shared" si="4"/>
        <v>0</v>
      </c>
      <c r="K6" s="17">
        <f>COUNTIF(Vertices[Betweenness Centrality],"&gt;= "&amp;J6)-COUNTIF(Vertices[Betweenness Centrality],"&gt;="&amp;J7)</f>
        <v>0</v>
      </c>
      <c r="L6" s="16">
        <f t="shared" si="5"/>
        <v>0.111111</v>
      </c>
      <c r="M6" s="17">
        <f>COUNTIF(Vertices[Closeness Centrality],"&gt;= "&amp;L6)-COUNTIF(Vertices[Closeness Centrality],"&gt;="&amp;L7)</f>
        <v>0</v>
      </c>
      <c r="N6" s="16">
        <f t="shared" si="6"/>
        <v>0.316228</v>
      </c>
      <c r="O6" s="17">
        <f>COUNTIF(Vertices[Eigenvector Centrality],"&gt;= "&amp;N6)-COUNTIF(Vertices[Eigenvector Centrality],"&gt;="&amp;N7)</f>
        <v>0</v>
      </c>
      <c r="P6" s="16">
        <f t="shared" si="7"/>
        <v>0.1</v>
      </c>
      <c r="Q6" s="17">
        <f>COUNTIF(Vertices[PageRank],"&gt;= "&amp;P6)-COUNTIF(Vertices[PageRank],"&gt;="&amp;P7)</f>
        <v>0</v>
      </c>
      <c r="R6" s="16">
        <f t="shared" si="8"/>
        <v>0</v>
      </c>
      <c r="S6" s="22">
        <f>COUNTIF(Vertices[Clustering Coefficient],"&gt;= "&amp;R6)-COUNTIF(Vertices[Clustering Coefficient],"&gt;="&amp;R7)</f>
        <v>0</v>
      </c>
      <c r="T6" s="16" t="e">
        <f ca="1" t="shared" si="9"/>
        <v>#REF!</v>
      </c>
      <c r="U6" s="17" t="e">
        <f ca="1" t="shared" si="0"/>
        <v>#REF!</v>
      </c>
    </row>
    <row r="7" spans="1:21" ht="15">
      <c r="A7" s="13" t="s">
        <v>149</v>
      </c>
      <c r="B7" s="13">
        <v>0</v>
      </c>
      <c r="D7" s="11">
        <f t="shared" si="1"/>
        <v>0</v>
      </c>
      <c r="E7">
        <f>COUNTIF(Vertices[Degree],"&gt;= "&amp;D7)-COUNTIF(Vertices[Degree],"&gt;="&amp;D8)</f>
        <v>0</v>
      </c>
      <c r="F7" s="18">
        <f t="shared" si="2"/>
        <v>0.14705882352941177</v>
      </c>
      <c r="G7" s="19">
        <f>COUNTIF(Vertices[In-Degree],"&gt;= "&amp;F7)-COUNTIF(Vertices[In-Degree],"&gt;="&amp;F8)</f>
        <v>0</v>
      </c>
      <c r="H7" s="18">
        <f t="shared" si="3"/>
        <v>0.14705882352941177</v>
      </c>
      <c r="I7" s="19">
        <f>COUNTIF(Vertices[Out-Degree],"&gt;= "&amp;H7)-COUNTIF(Vertices[Out-Degree],"&gt;="&amp;H8)</f>
        <v>0</v>
      </c>
      <c r="J7" s="18">
        <f t="shared" si="4"/>
        <v>0</v>
      </c>
      <c r="K7" s="19">
        <f>COUNTIF(Vertices[Betweenness Centrality],"&gt;= "&amp;J7)-COUNTIF(Vertices[Betweenness Centrality],"&gt;="&amp;J8)</f>
        <v>0</v>
      </c>
      <c r="L7" s="18">
        <f t="shared" si="5"/>
        <v>0.111111</v>
      </c>
      <c r="M7" s="19">
        <f>COUNTIF(Vertices[Closeness Centrality],"&gt;= "&amp;L7)-COUNTIF(Vertices[Closeness Centrality],"&gt;="&amp;L8)</f>
        <v>0</v>
      </c>
      <c r="N7" s="18">
        <f t="shared" si="6"/>
        <v>0.316228</v>
      </c>
      <c r="O7" s="19">
        <f>COUNTIF(Vertices[Eigenvector Centrality],"&gt;= "&amp;N7)-COUNTIF(Vertices[Eigenvector Centrality],"&gt;="&amp;N8)</f>
        <v>0</v>
      </c>
      <c r="P7" s="18">
        <f t="shared" si="7"/>
        <v>0.1</v>
      </c>
      <c r="Q7" s="19">
        <f>COUNTIF(Vertices[PageRank],"&gt;= "&amp;P7)-COUNTIF(Vertices[PageRank],"&gt;="&amp;P8)</f>
        <v>0</v>
      </c>
      <c r="R7" s="18">
        <f t="shared" si="8"/>
        <v>0</v>
      </c>
      <c r="S7" s="23">
        <f>COUNTIF(Vertices[Clustering Coefficient],"&gt;= "&amp;R7)-COUNTIF(Vertices[Clustering Coefficient],"&gt;="&amp;R8)</f>
        <v>0</v>
      </c>
      <c r="T7" s="18" t="e">
        <f ca="1" t="shared" si="9"/>
        <v>#REF!</v>
      </c>
      <c r="U7" s="19" t="e">
        <f ca="1" t="shared" si="0"/>
        <v>#REF!</v>
      </c>
    </row>
    <row r="8" spans="1:21" ht="15">
      <c r="A8" s="13" t="s">
        <v>150</v>
      </c>
      <c r="B8" s="13">
        <v>5</v>
      </c>
      <c r="D8" s="11">
        <f t="shared" si="1"/>
        <v>0</v>
      </c>
      <c r="E8">
        <f>COUNTIF(Vertices[Degree],"&gt;= "&amp;D8)-COUNTIF(Vertices[Degree],"&gt;="&amp;D9)</f>
        <v>0</v>
      </c>
      <c r="F8" s="16">
        <f t="shared" si="2"/>
        <v>0.17647058823529413</v>
      </c>
      <c r="G8" s="17">
        <f>COUNTIF(Vertices[In-Degree],"&gt;= "&amp;F8)-COUNTIF(Vertices[In-Degree],"&gt;="&amp;F9)</f>
        <v>0</v>
      </c>
      <c r="H8" s="16">
        <f t="shared" si="3"/>
        <v>0.17647058823529413</v>
      </c>
      <c r="I8" s="17">
        <f>COUNTIF(Vertices[Out-Degree],"&gt;= "&amp;H8)-COUNTIF(Vertices[Out-Degree],"&gt;="&amp;H9)</f>
        <v>0</v>
      </c>
      <c r="J8" s="16">
        <f t="shared" si="4"/>
        <v>0</v>
      </c>
      <c r="K8" s="17">
        <f>COUNTIF(Vertices[Betweenness Centrality],"&gt;= "&amp;J8)-COUNTIF(Vertices[Betweenness Centrality],"&gt;="&amp;J9)</f>
        <v>0</v>
      </c>
      <c r="L8" s="16">
        <f t="shared" si="5"/>
        <v>0.111111</v>
      </c>
      <c r="M8" s="17">
        <f>COUNTIF(Vertices[Closeness Centrality],"&gt;= "&amp;L8)-COUNTIF(Vertices[Closeness Centrality],"&gt;="&amp;L9)</f>
        <v>0</v>
      </c>
      <c r="N8" s="16">
        <f t="shared" si="6"/>
        <v>0.316228</v>
      </c>
      <c r="O8" s="17">
        <f>COUNTIF(Vertices[Eigenvector Centrality],"&gt;= "&amp;N8)-COUNTIF(Vertices[Eigenvector Centrality],"&gt;="&amp;N9)</f>
        <v>0</v>
      </c>
      <c r="P8" s="16">
        <f t="shared" si="7"/>
        <v>0.1</v>
      </c>
      <c r="Q8" s="17">
        <f>COUNTIF(Vertices[PageRank],"&gt;= "&amp;P8)-COUNTIF(Vertices[PageRank],"&gt;="&amp;P9)</f>
        <v>0</v>
      </c>
      <c r="R8" s="16">
        <f t="shared" si="8"/>
        <v>0</v>
      </c>
      <c r="S8" s="22">
        <f>COUNTIF(Vertices[Clustering Coefficient],"&gt;= "&amp;R8)-COUNTIF(Vertices[Clustering Coefficient],"&gt;="&amp;R9)</f>
        <v>0</v>
      </c>
      <c r="T8" s="16" t="e">
        <f ca="1" t="shared" si="9"/>
        <v>#REF!</v>
      </c>
      <c r="U8" s="17" t="e">
        <f ca="1" t="shared" si="0"/>
        <v>#REF!</v>
      </c>
    </row>
    <row r="9" spans="1:21" ht="15">
      <c r="A9" s="41"/>
      <c r="B9" s="41"/>
      <c r="D9" s="11">
        <f t="shared" si="1"/>
        <v>0</v>
      </c>
      <c r="E9">
        <f>COUNTIF(Vertices[Degree],"&gt;= "&amp;D9)-COUNTIF(Vertices[Degree],"&gt;="&amp;D10)</f>
        <v>0</v>
      </c>
      <c r="F9" s="18">
        <f t="shared" si="2"/>
        <v>0.2058823529411765</v>
      </c>
      <c r="G9" s="19">
        <f>COUNTIF(Vertices[In-Degree],"&gt;= "&amp;F9)-COUNTIF(Vertices[In-Degree],"&gt;="&amp;F10)</f>
        <v>0</v>
      </c>
      <c r="H9" s="18">
        <f t="shared" si="3"/>
        <v>0.2058823529411765</v>
      </c>
      <c r="I9" s="19">
        <f>COUNTIF(Vertices[Out-Degree],"&gt;= "&amp;H9)-COUNTIF(Vertices[Out-Degree],"&gt;="&amp;H10)</f>
        <v>0</v>
      </c>
      <c r="J9" s="18">
        <f t="shared" si="4"/>
        <v>0</v>
      </c>
      <c r="K9" s="19">
        <f>COUNTIF(Vertices[Betweenness Centrality],"&gt;= "&amp;J9)-COUNTIF(Vertices[Betweenness Centrality],"&gt;="&amp;J10)</f>
        <v>0</v>
      </c>
      <c r="L9" s="18">
        <f t="shared" si="5"/>
        <v>0.111111</v>
      </c>
      <c r="M9" s="19">
        <f>COUNTIF(Vertices[Closeness Centrality],"&gt;= "&amp;L9)-COUNTIF(Vertices[Closeness Centrality],"&gt;="&amp;L10)</f>
        <v>0</v>
      </c>
      <c r="N9" s="18">
        <f t="shared" si="6"/>
        <v>0.316228</v>
      </c>
      <c r="O9" s="19">
        <f>COUNTIF(Vertices[Eigenvector Centrality],"&gt;= "&amp;N9)-COUNTIF(Vertices[Eigenvector Centrality],"&gt;="&amp;N10)</f>
        <v>0</v>
      </c>
      <c r="P9" s="18">
        <f t="shared" si="7"/>
        <v>0.1</v>
      </c>
      <c r="Q9" s="19">
        <f>COUNTIF(Vertices[PageRank],"&gt;= "&amp;P9)-COUNTIF(Vertices[PageRank],"&gt;="&amp;P10)</f>
        <v>0</v>
      </c>
      <c r="R9" s="18">
        <f t="shared" si="8"/>
        <v>0</v>
      </c>
      <c r="S9" s="23">
        <f>COUNTIF(Vertices[Clustering Coefficient],"&gt;= "&amp;R9)-COUNTIF(Vertices[Clustering Coefficient],"&gt;="&amp;R10)</f>
        <v>0</v>
      </c>
      <c r="T9" s="18" t="e">
        <f ca="1" t="shared" si="9"/>
        <v>#REF!</v>
      </c>
      <c r="U9" s="19" t="e">
        <f ca="1" t="shared" si="0"/>
        <v>#REF!</v>
      </c>
    </row>
    <row r="10" spans="1:21" ht="15">
      <c r="A10" s="13" t="s">
        <v>151</v>
      </c>
      <c r="B10" s="13">
        <v>0</v>
      </c>
      <c r="D10" s="11">
        <f t="shared" si="1"/>
        <v>0</v>
      </c>
      <c r="E10">
        <f>COUNTIF(Vertices[Degree],"&gt;= "&amp;D10)-COUNTIF(Vertices[Degree],"&gt;="&amp;D11)</f>
        <v>0</v>
      </c>
      <c r="F10" s="16">
        <f t="shared" si="2"/>
        <v>0.23529411764705885</v>
      </c>
      <c r="G10" s="17">
        <f>COUNTIF(Vertices[In-Degree],"&gt;= "&amp;F10)-COUNTIF(Vertices[In-Degree],"&gt;="&amp;F11)</f>
        <v>0</v>
      </c>
      <c r="H10" s="16">
        <f t="shared" si="3"/>
        <v>0.23529411764705885</v>
      </c>
      <c r="I10" s="17">
        <f>COUNTIF(Vertices[Out-Degree],"&gt;= "&amp;H10)-COUNTIF(Vertices[Out-Degree],"&gt;="&amp;H11)</f>
        <v>0</v>
      </c>
      <c r="J10" s="16">
        <f t="shared" si="4"/>
        <v>0</v>
      </c>
      <c r="K10" s="17">
        <f>COUNTIF(Vertices[Betweenness Centrality],"&gt;= "&amp;J10)-COUNTIF(Vertices[Betweenness Centrality],"&gt;="&amp;J11)</f>
        <v>0</v>
      </c>
      <c r="L10" s="16">
        <f t="shared" si="5"/>
        <v>0.111111</v>
      </c>
      <c r="M10" s="17">
        <f>COUNTIF(Vertices[Closeness Centrality],"&gt;= "&amp;L10)-COUNTIF(Vertices[Closeness Centrality],"&gt;="&amp;L11)</f>
        <v>0</v>
      </c>
      <c r="N10" s="16">
        <f t="shared" si="6"/>
        <v>0.316228</v>
      </c>
      <c r="O10" s="17">
        <f>COUNTIF(Vertices[Eigenvector Centrality],"&gt;= "&amp;N10)-COUNTIF(Vertices[Eigenvector Centrality],"&gt;="&amp;N11)</f>
        <v>0</v>
      </c>
      <c r="P10" s="16">
        <f t="shared" si="7"/>
        <v>0.1</v>
      </c>
      <c r="Q10" s="17">
        <f>COUNTIF(Vertices[PageRank],"&gt;= "&amp;P10)-COUNTIF(Vertices[PageRank],"&gt;="&amp;P11)</f>
        <v>0</v>
      </c>
      <c r="R10" s="16">
        <f t="shared" si="8"/>
        <v>0</v>
      </c>
      <c r="S10" s="22">
        <f>COUNTIF(Vertices[Clustering Coefficient],"&gt;= "&amp;R10)-COUNTIF(Vertices[Clustering Coefficient],"&gt;="&amp;R11)</f>
        <v>0</v>
      </c>
      <c r="T10" s="16" t="e">
        <f ca="1" t="shared" si="9"/>
        <v>#REF!</v>
      </c>
      <c r="U10" s="17" t="e">
        <f ca="1" t="shared" si="0"/>
        <v>#REF!</v>
      </c>
    </row>
    <row r="11" spans="1:21" ht="15">
      <c r="A11" s="41"/>
      <c r="B11" s="41"/>
      <c r="D11" s="11">
        <f t="shared" si="1"/>
        <v>0</v>
      </c>
      <c r="E11">
        <f>COUNTIF(Vertices[Degree],"&gt;= "&amp;D11)-COUNTIF(Vertices[Degree],"&gt;="&amp;D12)</f>
        <v>0</v>
      </c>
      <c r="F11" s="18">
        <f t="shared" si="2"/>
        <v>0.2647058823529412</v>
      </c>
      <c r="G11" s="19">
        <f>COUNTIF(Vertices[In-Degree],"&gt;= "&amp;F11)-COUNTIF(Vertices[In-Degree],"&gt;="&amp;F12)</f>
        <v>0</v>
      </c>
      <c r="H11" s="18">
        <f t="shared" si="3"/>
        <v>0.2647058823529412</v>
      </c>
      <c r="I11" s="19">
        <f>COUNTIF(Vertices[Out-Degree],"&gt;= "&amp;H11)-COUNTIF(Vertices[Out-Degree],"&gt;="&amp;H12)</f>
        <v>0</v>
      </c>
      <c r="J11" s="18">
        <f t="shared" si="4"/>
        <v>0</v>
      </c>
      <c r="K11" s="19">
        <f>COUNTIF(Vertices[Betweenness Centrality],"&gt;= "&amp;J11)-COUNTIF(Vertices[Betweenness Centrality],"&gt;="&amp;J12)</f>
        <v>0</v>
      </c>
      <c r="L11" s="18">
        <f t="shared" si="5"/>
        <v>0.111111</v>
      </c>
      <c r="M11" s="19">
        <f>COUNTIF(Vertices[Closeness Centrality],"&gt;= "&amp;L11)-COUNTIF(Vertices[Closeness Centrality],"&gt;="&amp;L12)</f>
        <v>0</v>
      </c>
      <c r="N11" s="18">
        <f t="shared" si="6"/>
        <v>0.316228</v>
      </c>
      <c r="O11" s="19">
        <f>COUNTIF(Vertices[Eigenvector Centrality],"&gt;= "&amp;N11)-COUNTIF(Vertices[Eigenvector Centrality],"&gt;="&amp;N12)</f>
        <v>0</v>
      </c>
      <c r="P11" s="18">
        <f t="shared" si="7"/>
        <v>0.1</v>
      </c>
      <c r="Q11" s="19">
        <f>COUNTIF(Vertices[PageRank],"&gt;= "&amp;P11)-COUNTIF(Vertices[PageRank],"&gt;="&amp;P12)</f>
        <v>0</v>
      </c>
      <c r="R11" s="18">
        <f t="shared" si="8"/>
        <v>0</v>
      </c>
      <c r="S11" s="23">
        <f>COUNTIF(Vertices[Clustering Coefficient],"&gt;= "&amp;R11)-COUNTIF(Vertices[Clustering Coefficient],"&gt;="&amp;R12)</f>
        <v>0</v>
      </c>
      <c r="T11" s="18" t="e">
        <f ca="1" t="shared" si="9"/>
        <v>#REF!</v>
      </c>
      <c r="U11" s="19" t="e">
        <f ca="1" t="shared" si="0"/>
        <v>#REF!</v>
      </c>
    </row>
    <row r="12" spans="1:21" ht="15">
      <c r="A12" s="13" t="s">
        <v>170</v>
      </c>
      <c r="B12" s="13">
        <v>0</v>
      </c>
      <c r="D12" s="11">
        <f t="shared" si="1"/>
        <v>0</v>
      </c>
      <c r="E12">
        <f>COUNTIF(Vertices[Degree],"&gt;= "&amp;D12)-COUNTIF(Vertices[Degree],"&gt;="&amp;D13)</f>
        <v>0</v>
      </c>
      <c r="F12" s="16">
        <f t="shared" si="2"/>
        <v>0.29411764705882354</v>
      </c>
      <c r="G12" s="17">
        <f>COUNTIF(Vertices[In-Degree],"&gt;= "&amp;F12)-COUNTIF(Vertices[In-Degree],"&gt;="&amp;F13)</f>
        <v>0</v>
      </c>
      <c r="H12" s="16">
        <f t="shared" si="3"/>
        <v>0.29411764705882354</v>
      </c>
      <c r="I12" s="17">
        <f>COUNTIF(Vertices[Out-Degree],"&gt;= "&amp;H12)-COUNTIF(Vertices[Out-Degree],"&gt;="&amp;H13)</f>
        <v>0</v>
      </c>
      <c r="J12" s="16">
        <f t="shared" si="4"/>
        <v>0</v>
      </c>
      <c r="K12" s="17">
        <f>COUNTIF(Vertices[Betweenness Centrality],"&gt;= "&amp;J12)-COUNTIF(Vertices[Betweenness Centrality],"&gt;="&amp;J13)</f>
        <v>0</v>
      </c>
      <c r="L12" s="16">
        <f t="shared" si="5"/>
        <v>0.111111</v>
      </c>
      <c r="M12" s="17">
        <f>COUNTIF(Vertices[Closeness Centrality],"&gt;= "&amp;L12)-COUNTIF(Vertices[Closeness Centrality],"&gt;="&amp;L13)</f>
        <v>0</v>
      </c>
      <c r="N12" s="16">
        <f t="shared" si="6"/>
        <v>0.316228</v>
      </c>
      <c r="O12" s="17">
        <f>COUNTIF(Vertices[Eigenvector Centrality],"&gt;= "&amp;N12)-COUNTIF(Vertices[Eigenvector Centrality],"&gt;="&amp;N13)</f>
        <v>0</v>
      </c>
      <c r="P12" s="16">
        <f t="shared" si="7"/>
        <v>0.1</v>
      </c>
      <c r="Q12" s="17">
        <f>COUNTIF(Vertices[PageRank],"&gt;= "&amp;P12)-COUNTIF(Vertices[PageRank],"&gt;="&amp;P13)</f>
        <v>0</v>
      </c>
      <c r="R12" s="16">
        <f t="shared" si="8"/>
        <v>0</v>
      </c>
      <c r="S12" s="22">
        <f>COUNTIF(Vertices[Clustering Coefficient],"&gt;= "&amp;R12)-COUNTIF(Vertices[Clustering Coefficient],"&gt;="&amp;R13)</f>
        <v>0</v>
      </c>
      <c r="T12" s="16" t="e">
        <f ca="1" t="shared" si="9"/>
        <v>#REF!</v>
      </c>
      <c r="U12" s="17" t="e">
        <f ca="1" t="shared" si="0"/>
        <v>#REF!</v>
      </c>
    </row>
    <row r="13" spans="1:21" ht="15">
      <c r="A13" s="13" t="s">
        <v>171</v>
      </c>
      <c r="B13" s="13">
        <v>0</v>
      </c>
      <c r="D13" s="11">
        <f t="shared" si="1"/>
        <v>0</v>
      </c>
      <c r="E13">
        <f>COUNTIF(Vertices[Degree],"&gt;= "&amp;D13)-COUNTIF(Vertices[Degree],"&gt;="&amp;D14)</f>
        <v>0</v>
      </c>
      <c r="F13" s="18">
        <f t="shared" si="2"/>
        <v>0.3235294117647059</v>
      </c>
      <c r="G13" s="19">
        <f>COUNTIF(Vertices[In-Degree],"&gt;= "&amp;F13)-COUNTIF(Vertices[In-Degree],"&gt;="&amp;F14)</f>
        <v>0</v>
      </c>
      <c r="H13" s="18">
        <f t="shared" si="3"/>
        <v>0.3235294117647059</v>
      </c>
      <c r="I13" s="19">
        <f>COUNTIF(Vertices[Out-Degree],"&gt;= "&amp;H13)-COUNTIF(Vertices[Out-Degree],"&gt;="&amp;H14)</f>
        <v>0</v>
      </c>
      <c r="J13" s="18">
        <f t="shared" si="4"/>
        <v>0</v>
      </c>
      <c r="K13" s="19">
        <f>COUNTIF(Vertices[Betweenness Centrality],"&gt;= "&amp;J13)-COUNTIF(Vertices[Betweenness Centrality],"&gt;="&amp;J14)</f>
        <v>0</v>
      </c>
      <c r="L13" s="18">
        <f t="shared" si="5"/>
        <v>0.111111</v>
      </c>
      <c r="M13" s="19">
        <f>COUNTIF(Vertices[Closeness Centrality],"&gt;= "&amp;L13)-COUNTIF(Vertices[Closeness Centrality],"&gt;="&amp;L14)</f>
        <v>0</v>
      </c>
      <c r="N13" s="18">
        <f t="shared" si="6"/>
        <v>0.316228</v>
      </c>
      <c r="O13" s="19">
        <f>COUNTIF(Vertices[Eigenvector Centrality],"&gt;= "&amp;N13)-COUNTIF(Vertices[Eigenvector Centrality],"&gt;="&amp;N14)</f>
        <v>0</v>
      </c>
      <c r="P13" s="18">
        <f t="shared" si="7"/>
        <v>0.1</v>
      </c>
      <c r="Q13" s="19">
        <f>COUNTIF(Vertices[PageRank],"&gt;= "&amp;P13)-COUNTIF(Vertices[PageRank],"&gt;="&amp;P14)</f>
        <v>0</v>
      </c>
      <c r="R13" s="18">
        <f t="shared" si="8"/>
        <v>0</v>
      </c>
      <c r="S13" s="23">
        <f>COUNTIF(Vertices[Clustering Coefficient],"&gt;= "&amp;R13)-COUNTIF(Vertices[Clustering Coefficient],"&gt;="&amp;R14)</f>
        <v>0</v>
      </c>
      <c r="T13" s="18" t="e">
        <f ca="1" t="shared" si="9"/>
        <v>#REF!</v>
      </c>
      <c r="U13" s="19" t="e">
        <f ca="1" t="shared" si="0"/>
        <v>#REF!</v>
      </c>
    </row>
    <row r="14" spans="1:21" ht="15">
      <c r="A14" s="41"/>
      <c r="B14" s="41"/>
      <c r="D14" s="11">
        <f t="shared" si="1"/>
        <v>0</v>
      </c>
      <c r="E14">
        <f>COUNTIF(Vertices[Degree],"&gt;= "&amp;D14)-COUNTIF(Vertices[Degree],"&gt;="&amp;D15)</f>
        <v>0</v>
      </c>
      <c r="F14" s="16">
        <f t="shared" si="2"/>
        <v>0.35294117647058826</v>
      </c>
      <c r="G14" s="17">
        <f>COUNTIF(Vertices[In-Degree],"&gt;= "&amp;F14)-COUNTIF(Vertices[In-Degree],"&gt;="&amp;F15)</f>
        <v>0</v>
      </c>
      <c r="H14" s="16">
        <f t="shared" si="3"/>
        <v>0.35294117647058826</v>
      </c>
      <c r="I14" s="17">
        <f>COUNTIF(Vertices[Out-Degree],"&gt;= "&amp;H14)-COUNTIF(Vertices[Out-Degree],"&gt;="&amp;H15)</f>
        <v>0</v>
      </c>
      <c r="J14" s="16">
        <f t="shared" si="4"/>
        <v>0</v>
      </c>
      <c r="K14" s="17">
        <f>COUNTIF(Vertices[Betweenness Centrality],"&gt;= "&amp;J14)-COUNTIF(Vertices[Betweenness Centrality],"&gt;="&amp;J15)</f>
        <v>0</v>
      </c>
      <c r="L14" s="16">
        <f t="shared" si="5"/>
        <v>0.111111</v>
      </c>
      <c r="M14" s="17">
        <f>COUNTIF(Vertices[Closeness Centrality],"&gt;= "&amp;L14)-COUNTIF(Vertices[Closeness Centrality],"&gt;="&amp;L15)</f>
        <v>0</v>
      </c>
      <c r="N14" s="16">
        <f t="shared" si="6"/>
        <v>0.316228</v>
      </c>
      <c r="O14" s="17">
        <f>COUNTIF(Vertices[Eigenvector Centrality],"&gt;= "&amp;N14)-COUNTIF(Vertices[Eigenvector Centrality],"&gt;="&amp;N15)</f>
        <v>0</v>
      </c>
      <c r="P14" s="16">
        <f t="shared" si="7"/>
        <v>0.1</v>
      </c>
      <c r="Q14" s="17">
        <f>COUNTIF(Vertices[PageRank],"&gt;= "&amp;P14)-COUNTIF(Vertices[PageRank],"&gt;="&amp;P15)</f>
        <v>0</v>
      </c>
      <c r="R14" s="16">
        <f t="shared" si="8"/>
        <v>0</v>
      </c>
      <c r="S14" s="22">
        <f>COUNTIF(Vertices[Clustering Coefficient],"&gt;= "&amp;R14)-COUNTIF(Vertices[Clustering Coefficient],"&gt;="&amp;R15)</f>
        <v>0</v>
      </c>
      <c r="T14" s="16" t="e">
        <f ca="1" t="shared" si="9"/>
        <v>#REF!</v>
      </c>
      <c r="U14" s="17" t="e">
        <f ca="1" t="shared" si="0"/>
        <v>#REF!</v>
      </c>
    </row>
    <row r="15" spans="1:21" ht="15">
      <c r="A15" s="13" t="s">
        <v>152</v>
      </c>
      <c r="B15" s="13">
        <v>5</v>
      </c>
      <c r="D15" s="11">
        <f t="shared" si="1"/>
        <v>0</v>
      </c>
      <c r="E15">
        <f>COUNTIF(Vertices[Degree],"&gt;= "&amp;D15)-COUNTIF(Vertices[Degree],"&gt;="&amp;D16)</f>
        <v>0</v>
      </c>
      <c r="F15" s="18">
        <f t="shared" si="2"/>
        <v>0.3823529411764706</v>
      </c>
      <c r="G15" s="19">
        <f>COUNTIF(Vertices[In-Degree],"&gt;= "&amp;F15)-COUNTIF(Vertices[In-Degree],"&gt;="&amp;F16)</f>
        <v>0</v>
      </c>
      <c r="H15" s="18">
        <f t="shared" si="3"/>
        <v>0.3823529411764706</v>
      </c>
      <c r="I15" s="19">
        <f>COUNTIF(Vertices[Out-Degree],"&gt;= "&amp;H15)-COUNTIF(Vertices[Out-Degree],"&gt;="&amp;H16)</f>
        <v>0</v>
      </c>
      <c r="J15" s="18">
        <f t="shared" si="4"/>
        <v>0</v>
      </c>
      <c r="K15" s="19">
        <f>COUNTIF(Vertices[Betweenness Centrality],"&gt;= "&amp;J15)-COUNTIF(Vertices[Betweenness Centrality],"&gt;="&amp;J16)</f>
        <v>0</v>
      </c>
      <c r="L15" s="18">
        <f t="shared" si="5"/>
        <v>0.111111</v>
      </c>
      <c r="M15" s="19">
        <f>COUNTIF(Vertices[Closeness Centrality],"&gt;= "&amp;L15)-COUNTIF(Vertices[Closeness Centrality],"&gt;="&amp;L16)</f>
        <v>0</v>
      </c>
      <c r="N15" s="18">
        <f t="shared" si="6"/>
        <v>0.316228</v>
      </c>
      <c r="O15" s="19">
        <f>COUNTIF(Vertices[Eigenvector Centrality],"&gt;= "&amp;N15)-COUNTIF(Vertices[Eigenvector Centrality],"&gt;="&amp;N16)</f>
        <v>0</v>
      </c>
      <c r="P15" s="18">
        <f t="shared" si="7"/>
        <v>0.1</v>
      </c>
      <c r="Q15" s="19">
        <f>COUNTIF(Vertices[PageRank],"&gt;= "&amp;P15)-COUNTIF(Vertices[PageRank],"&gt;="&amp;P16)</f>
        <v>0</v>
      </c>
      <c r="R15" s="18">
        <f t="shared" si="8"/>
        <v>0</v>
      </c>
      <c r="S15" s="23">
        <f>COUNTIF(Vertices[Clustering Coefficient],"&gt;= "&amp;R15)-COUNTIF(Vertices[Clustering Coefficient],"&gt;="&amp;R16)</f>
        <v>0</v>
      </c>
      <c r="T15" s="18" t="e">
        <f ca="1" t="shared" si="9"/>
        <v>#REF!</v>
      </c>
      <c r="U15" s="19" t="e">
        <f ca="1" t="shared" si="0"/>
        <v>#REF!</v>
      </c>
    </row>
    <row r="16" spans="1:21" ht="15">
      <c r="A16" s="13" t="s">
        <v>153</v>
      </c>
      <c r="B16" s="13">
        <v>0</v>
      </c>
      <c r="D16" s="11">
        <f t="shared" si="1"/>
        <v>0</v>
      </c>
      <c r="E16">
        <f>COUNTIF(Vertices[Degree],"&gt;= "&amp;D16)-COUNTIF(Vertices[Degree],"&gt;="&amp;D17)</f>
        <v>0</v>
      </c>
      <c r="F16" s="16">
        <f t="shared" si="2"/>
        <v>0.411764705882353</v>
      </c>
      <c r="G16" s="17">
        <f>COUNTIF(Vertices[In-Degree],"&gt;= "&amp;F16)-COUNTIF(Vertices[In-Degree],"&gt;="&amp;F17)</f>
        <v>0</v>
      </c>
      <c r="H16" s="16">
        <f t="shared" si="3"/>
        <v>0.411764705882353</v>
      </c>
      <c r="I16" s="17">
        <f>COUNTIF(Vertices[Out-Degree],"&gt;= "&amp;H16)-COUNTIF(Vertices[Out-Degree],"&gt;="&amp;H17)</f>
        <v>0</v>
      </c>
      <c r="J16" s="16">
        <f t="shared" si="4"/>
        <v>0</v>
      </c>
      <c r="K16" s="17">
        <f>COUNTIF(Vertices[Betweenness Centrality],"&gt;= "&amp;J16)-COUNTIF(Vertices[Betweenness Centrality],"&gt;="&amp;J17)</f>
        <v>0</v>
      </c>
      <c r="L16" s="16">
        <f t="shared" si="5"/>
        <v>0.111111</v>
      </c>
      <c r="M16" s="17">
        <f>COUNTIF(Vertices[Closeness Centrality],"&gt;= "&amp;L16)-COUNTIF(Vertices[Closeness Centrality],"&gt;="&amp;L17)</f>
        <v>0</v>
      </c>
      <c r="N16" s="16">
        <f t="shared" si="6"/>
        <v>0.316228</v>
      </c>
      <c r="O16" s="17">
        <f>COUNTIF(Vertices[Eigenvector Centrality],"&gt;= "&amp;N16)-COUNTIF(Vertices[Eigenvector Centrality],"&gt;="&amp;N17)</f>
        <v>0</v>
      </c>
      <c r="P16" s="16">
        <f t="shared" si="7"/>
        <v>0.1</v>
      </c>
      <c r="Q16" s="17">
        <f>COUNTIF(Vertices[PageRank],"&gt;= "&amp;P16)-COUNTIF(Vertices[PageRank],"&gt;="&amp;P17)</f>
        <v>0</v>
      </c>
      <c r="R16" s="16">
        <f t="shared" si="8"/>
        <v>0</v>
      </c>
      <c r="S16" s="22">
        <f>COUNTIF(Vertices[Clustering Coefficient],"&gt;= "&amp;R16)-COUNTIF(Vertices[Clustering Coefficient],"&gt;="&amp;R17)</f>
        <v>0</v>
      </c>
      <c r="T16" s="16" t="e">
        <f ca="1" t="shared" si="9"/>
        <v>#REF!</v>
      </c>
      <c r="U16" s="17" t="e">
        <f ca="1" t="shared" si="0"/>
        <v>#REF!</v>
      </c>
    </row>
    <row r="17" spans="1:21" ht="15">
      <c r="A17" s="13" t="s">
        <v>154</v>
      </c>
      <c r="B17" s="13">
        <v>2</v>
      </c>
      <c r="D17" s="11">
        <f t="shared" si="1"/>
        <v>0</v>
      </c>
      <c r="E17">
        <f>COUNTIF(Vertices[Degree],"&gt;= "&amp;D17)-COUNTIF(Vertices[Degree],"&gt;="&amp;D18)</f>
        <v>0</v>
      </c>
      <c r="F17" s="18">
        <f t="shared" si="2"/>
        <v>0.44117647058823534</v>
      </c>
      <c r="G17" s="19">
        <f>COUNTIF(Vertices[In-Degree],"&gt;= "&amp;F17)-COUNTIF(Vertices[In-Degree],"&gt;="&amp;F18)</f>
        <v>0</v>
      </c>
      <c r="H17" s="18">
        <f t="shared" si="3"/>
        <v>0.44117647058823534</v>
      </c>
      <c r="I17" s="19">
        <f>COUNTIF(Vertices[Out-Degree],"&gt;= "&amp;H17)-COUNTIF(Vertices[Out-Degree],"&gt;="&amp;H18)</f>
        <v>0</v>
      </c>
      <c r="J17" s="18">
        <f t="shared" si="4"/>
        <v>0</v>
      </c>
      <c r="K17" s="19">
        <f>COUNTIF(Vertices[Betweenness Centrality],"&gt;= "&amp;J17)-COUNTIF(Vertices[Betweenness Centrality],"&gt;="&amp;J18)</f>
        <v>0</v>
      </c>
      <c r="L17" s="18">
        <f t="shared" si="5"/>
        <v>0.111111</v>
      </c>
      <c r="M17" s="19">
        <f>COUNTIF(Vertices[Closeness Centrality],"&gt;= "&amp;L17)-COUNTIF(Vertices[Closeness Centrality],"&gt;="&amp;L18)</f>
        <v>0</v>
      </c>
      <c r="N17" s="18">
        <f t="shared" si="6"/>
        <v>0.316228</v>
      </c>
      <c r="O17" s="19">
        <f>COUNTIF(Vertices[Eigenvector Centrality],"&gt;= "&amp;N17)-COUNTIF(Vertices[Eigenvector Centrality],"&gt;="&amp;N18)</f>
        <v>0</v>
      </c>
      <c r="P17" s="18">
        <f t="shared" si="7"/>
        <v>0.1</v>
      </c>
      <c r="Q17" s="19">
        <f>COUNTIF(Vertices[PageRank],"&gt;= "&amp;P17)-COUNTIF(Vertices[PageRank],"&gt;="&amp;P18)</f>
        <v>0</v>
      </c>
      <c r="R17" s="18">
        <f t="shared" si="8"/>
        <v>0</v>
      </c>
      <c r="S17" s="23">
        <f>COUNTIF(Vertices[Clustering Coefficient],"&gt;= "&amp;R17)-COUNTIF(Vertices[Clustering Coefficient],"&gt;="&amp;R18)</f>
        <v>0</v>
      </c>
      <c r="T17" s="18" t="e">
        <f ca="1" t="shared" si="9"/>
        <v>#REF!</v>
      </c>
      <c r="U17" s="19" t="e">
        <f ca="1" t="shared" si="0"/>
        <v>#REF!</v>
      </c>
    </row>
    <row r="18" spans="1:21" ht="15">
      <c r="A18" s="13" t="s">
        <v>155</v>
      </c>
      <c r="B18" s="13">
        <v>1</v>
      </c>
      <c r="D18" s="11">
        <f t="shared" si="1"/>
        <v>0</v>
      </c>
      <c r="E18">
        <f>COUNTIF(Vertices[Degree],"&gt;= "&amp;D18)-COUNTIF(Vertices[Degree],"&gt;="&amp;D19)</f>
        <v>0</v>
      </c>
      <c r="F18" s="16">
        <f t="shared" si="2"/>
        <v>0.4705882352941177</v>
      </c>
      <c r="G18" s="17">
        <f>COUNTIF(Vertices[In-Degree],"&gt;= "&amp;F18)-COUNTIF(Vertices[In-Degree],"&gt;="&amp;F19)</f>
        <v>0</v>
      </c>
      <c r="H18" s="16">
        <f t="shared" si="3"/>
        <v>0.4705882352941177</v>
      </c>
      <c r="I18" s="17">
        <f>COUNTIF(Vertices[Out-Degree],"&gt;= "&amp;H18)-COUNTIF(Vertices[Out-Degree],"&gt;="&amp;H19)</f>
        <v>0</v>
      </c>
      <c r="J18" s="16">
        <f t="shared" si="4"/>
        <v>0</v>
      </c>
      <c r="K18" s="17">
        <f>COUNTIF(Vertices[Betweenness Centrality],"&gt;= "&amp;J18)-COUNTIF(Vertices[Betweenness Centrality],"&gt;="&amp;J19)</f>
        <v>0</v>
      </c>
      <c r="L18" s="16">
        <f t="shared" si="5"/>
        <v>0.111111</v>
      </c>
      <c r="M18" s="17">
        <f>COUNTIF(Vertices[Closeness Centrality],"&gt;= "&amp;L18)-COUNTIF(Vertices[Closeness Centrality],"&gt;="&amp;L19)</f>
        <v>0</v>
      </c>
      <c r="N18" s="16">
        <f t="shared" si="6"/>
        <v>0.316228</v>
      </c>
      <c r="O18" s="17">
        <f>COUNTIF(Vertices[Eigenvector Centrality],"&gt;= "&amp;N18)-COUNTIF(Vertices[Eigenvector Centrality],"&gt;="&amp;N19)</f>
        <v>0</v>
      </c>
      <c r="P18" s="16">
        <f t="shared" si="7"/>
        <v>0.1</v>
      </c>
      <c r="Q18" s="17">
        <f>COUNTIF(Vertices[PageRank],"&gt;= "&amp;P18)-COUNTIF(Vertices[PageRank],"&gt;="&amp;P19)</f>
        <v>0</v>
      </c>
      <c r="R18" s="16">
        <f t="shared" si="8"/>
        <v>0</v>
      </c>
      <c r="S18" s="22">
        <f>COUNTIF(Vertices[Clustering Coefficient],"&gt;= "&amp;R18)-COUNTIF(Vertices[Clustering Coefficient],"&gt;="&amp;R19)</f>
        <v>0</v>
      </c>
      <c r="T18" s="16" t="e">
        <f ca="1" t="shared" si="9"/>
        <v>#REF!</v>
      </c>
      <c r="U18" s="17" t="e">
        <f ca="1" t="shared" si="0"/>
        <v>#REF!</v>
      </c>
    </row>
    <row r="19" spans="1:21" ht="15">
      <c r="A19" s="41"/>
      <c r="B19" s="41"/>
      <c r="D19" s="11">
        <f t="shared" si="1"/>
        <v>0</v>
      </c>
      <c r="E19">
        <f>COUNTIF(Vertices[Degree],"&gt;= "&amp;D19)-COUNTIF(Vertices[Degree],"&gt;="&amp;D20)</f>
        <v>0</v>
      </c>
      <c r="F19" s="18">
        <f t="shared" si="2"/>
        <v>0.5</v>
      </c>
      <c r="G19" s="19">
        <f>COUNTIF(Vertices[In-Degree],"&gt;= "&amp;F19)-COUNTIF(Vertices[In-Degree],"&gt;="&amp;F20)</f>
        <v>0</v>
      </c>
      <c r="H19" s="18">
        <f t="shared" si="3"/>
        <v>0.5</v>
      </c>
      <c r="I19" s="19">
        <f>COUNTIF(Vertices[Out-Degree],"&gt;= "&amp;H19)-COUNTIF(Vertices[Out-Degree],"&gt;="&amp;H20)</f>
        <v>0</v>
      </c>
      <c r="J19" s="18">
        <f t="shared" si="4"/>
        <v>0</v>
      </c>
      <c r="K19" s="19">
        <f>COUNTIF(Vertices[Betweenness Centrality],"&gt;= "&amp;J19)-COUNTIF(Vertices[Betweenness Centrality],"&gt;="&amp;J20)</f>
        <v>0</v>
      </c>
      <c r="L19" s="18">
        <f t="shared" si="5"/>
        <v>0.111111</v>
      </c>
      <c r="M19" s="19">
        <f>COUNTIF(Vertices[Closeness Centrality],"&gt;= "&amp;L19)-COUNTIF(Vertices[Closeness Centrality],"&gt;="&amp;L20)</f>
        <v>0</v>
      </c>
      <c r="N19" s="18">
        <f t="shared" si="6"/>
        <v>0.316228</v>
      </c>
      <c r="O19" s="19">
        <f>COUNTIF(Vertices[Eigenvector Centrality],"&gt;= "&amp;N19)-COUNTIF(Vertices[Eigenvector Centrality],"&gt;="&amp;N20)</f>
        <v>0</v>
      </c>
      <c r="P19" s="18">
        <f t="shared" si="7"/>
        <v>0.1</v>
      </c>
      <c r="Q19" s="19">
        <f>COUNTIF(Vertices[PageRank],"&gt;= "&amp;P19)-COUNTIF(Vertices[PageRank],"&gt;="&amp;P20)</f>
        <v>0</v>
      </c>
      <c r="R19" s="18">
        <f t="shared" si="8"/>
        <v>0</v>
      </c>
      <c r="S19" s="23">
        <f>COUNTIF(Vertices[Clustering Coefficient],"&gt;= "&amp;R19)-COUNTIF(Vertices[Clustering Coefficient],"&gt;="&amp;R20)</f>
        <v>0</v>
      </c>
      <c r="T19" s="18" t="e">
        <f ca="1" t="shared" si="9"/>
        <v>#REF!</v>
      </c>
      <c r="U19" s="19" t="e">
        <f ca="1" t="shared" si="0"/>
        <v>#REF!</v>
      </c>
    </row>
    <row r="20" spans="1:21" ht="15">
      <c r="A20" s="13" t="s">
        <v>156</v>
      </c>
      <c r="B20" s="13">
        <v>1</v>
      </c>
      <c r="D20" s="11">
        <f t="shared" si="1"/>
        <v>0</v>
      </c>
      <c r="E20">
        <f>COUNTIF(Vertices[Degree],"&gt;= "&amp;D20)-COUNTIF(Vertices[Degree],"&gt;="&amp;D21)</f>
        <v>0</v>
      </c>
      <c r="F20" s="16">
        <f t="shared" si="2"/>
        <v>0.5294117647058824</v>
      </c>
      <c r="G20" s="17">
        <f>COUNTIF(Vertices[In-Degree],"&gt;= "&amp;F20)-COUNTIF(Vertices[In-Degree],"&gt;="&amp;F21)</f>
        <v>0</v>
      </c>
      <c r="H20" s="16">
        <f t="shared" si="3"/>
        <v>0.5294117647058824</v>
      </c>
      <c r="I20" s="17">
        <f>COUNTIF(Vertices[Out-Degree],"&gt;= "&amp;H20)-COUNTIF(Vertices[Out-Degree],"&gt;="&amp;H21)</f>
        <v>0</v>
      </c>
      <c r="J20" s="16">
        <f t="shared" si="4"/>
        <v>0</v>
      </c>
      <c r="K20" s="17">
        <f>COUNTIF(Vertices[Betweenness Centrality],"&gt;= "&amp;J20)-COUNTIF(Vertices[Betweenness Centrality],"&gt;="&amp;J21)</f>
        <v>0</v>
      </c>
      <c r="L20" s="16">
        <f t="shared" si="5"/>
        <v>0.111111</v>
      </c>
      <c r="M20" s="17">
        <f>COUNTIF(Vertices[Closeness Centrality],"&gt;= "&amp;L20)-COUNTIF(Vertices[Closeness Centrality],"&gt;="&amp;L21)</f>
        <v>0</v>
      </c>
      <c r="N20" s="16">
        <f t="shared" si="6"/>
        <v>0.316228</v>
      </c>
      <c r="O20" s="17">
        <f>COUNTIF(Vertices[Eigenvector Centrality],"&gt;= "&amp;N20)-COUNTIF(Vertices[Eigenvector Centrality],"&gt;="&amp;N21)</f>
        <v>0</v>
      </c>
      <c r="P20" s="16">
        <f t="shared" si="7"/>
        <v>0.1</v>
      </c>
      <c r="Q20" s="17">
        <f>COUNTIF(Vertices[PageRank],"&gt;= "&amp;P20)-COUNTIF(Vertices[PageRank],"&gt;="&amp;P21)</f>
        <v>0</v>
      </c>
      <c r="R20" s="16">
        <f t="shared" si="8"/>
        <v>0</v>
      </c>
      <c r="S20" s="22">
        <f>COUNTIF(Vertices[Clustering Coefficient],"&gt;= "&amp;R20)-COUNTIF(Vertices[Clustering Coefficient],"&gt;="&amp;R21)</f>
        <v>0</v>
      </c>
      <c r="T20" s="16" t="e">
        <f ca="1" t="shared" si="9"/>
        <v>#REF!</v>
      </c>
      <c r="U20" s="17" t="e">
        <f ca="1" t="shared" si="0"/>
        <v>#REF!</v>
      </c>
    </row>
    <row r="21" spans="1:21" ht="15">
      <c r="A21" s="13" t="s">
        <v>157</v>
      </c>
      <c r="B21" s="13">
        <v>0.5</v>
      </c>
      <c r="D21" s="11">
        <f t="shared" si="1"/>
        <v>0</v>
      </c>
      <c r="E21">
        <f>COUNTIF(Vertices[Degree],"&gt;= "&amp;D21)-COUNTIF(Vertices[Degree],"&gt;="&amp;D22)</f>
        <v>0</v>
      </c>
      <c r="F21" s="18">
        <f t="shared" si="2"/>
        <v>0.5588235294117647</v>
      </c>
      <c r="G21" s="19">
        <f>COUNTIF(Vertices[In-Degree],"&gt;= "&amp;F21)-COUNTIF(Vertices[In-Degree],"&gt;="&amp;F22)</f>
        <v>0</v>
      </c>
      <c r="H21" s="18">
        <f t="shared" si="3"/>
        <v>0.5588235294117647</v>
      </c>
      <c r="I21" s="19">
        <f>COUNTIF(Vertices[Out-Degree],"&gt;= "&amp;H21)-COUNTIF(Vertices[Out-Degree],"&gt;="&amp;H22)</f>
        <v>0</v>
      </c>
      <c r="J21" s="18">
        <f t="shared" si="4"/>
        <v>0</v>
      </c>
      <c r="K21" s="19">
        <f>COUNTIF(Vertices[Betweenness Centrality],"&gt;= "&amp;J21)-COUNTIF(Vertices[Betweenness Centrality],"&gt;="&amp;J22)</f>
        <v>0</v>
      </c>
      <c r="L21" s="18">
        <f t="shared" si="5"/>
        <v>0.111111</v>
      </c>
      <c r="M21" s="19">
        <f>COUNTIF(Vertices[Closeness Centrality],"&gt;= "&amp;L21)-COUNTIF(Vertices[Closeness Centrality],"&gt;="&amp;L22)</f>
        <v>0</v>
      </c>
      <c r="N21" s="18">
        <f t="shared" si="6"/>
        <v>0.316228</v>
      </c>
      <c r="O21" s="19">
        <f>COUNTIF(Vertices[Eigenvector Centrality],"&gt;= "&amp;N21)-COUNTIF(Vertices[Eigenvector Centrality],"&gt;="&amp;N22)</f>
        <v>0</v>
      </c>
      <c r="P21" s="18">
        <f t="shared" si="7"/>
        <v>0.1</v>
      </c>
      <c r="Q21" s="19">
        <f>COUNTIF(Vertices[PageRank],"&gt;= "&amp;P21)-COUNTIF(Vertices[PageRank],"&gt;="&amp;P22)</f>
        <v>0</v>
      </c>
      <c r="R21" s="18">
        <f t="shared" si="8"/>
        <v>0</v>
      </c>
      <c r="S21" s="23">
        <f>COUNTIF(Vertices[Clustering Coefficient],"&gt;= "&amp;R21)-COUNTIF(Vertices[Clustering Coefficient],"&gt;="&amp;R22)</f>
        <v>0</v>
      </c>
      <c r="T21" s="18" t="e">
        <f ca="1" t="shared" si="9"/>
        <v>#REF!</v>
      </c>
      <c r="U21" s="19" t="e">
        <f ca="1" t="shared" si="0"/>
        <v>#REF!</v>
      </c>
    </row>
    <row r="22" spans="1:21" ht="15">
      <c r="A22" s="41"/>
      <c r="B22" s="41"/>
      <c r="D22" s="11">
        <f t="shared" si="1"/>
        <v>0</v>
      </c>
      <c r="E22">
        <f>COUNTIF(Vertices[Degree],"&gt;= "&amp;D22)-COUNTIF(Vertices[Degree],"&gt;="&amp;D23)</f>
        <v>0</v>
      </c>
      <c r="F22" s="16">
        <f t="shared" si="2"/>
        <v>0.5882352941176471</v>
      </c>
      <c r="G22" s="17">
        <f>COUNTIF(Vertices[In-Degree],"&gt;= "&amp;F22)-COUNTIF(Vertices[In-Degree],"&gt;="&amp;F23)</f>
        <v>0</v>
      </c>
      <c r="H22" s="16">
        <f t="shared" si="3"/>
        <v>0.5882352941176471</v>
      </c>
      <c r="I22" s="17">
        <f>COUNTIF(Vertices[Out-Degree],"&gt;= "&amp;H22)-COUNTIF(Vertices[Out-Degree],"&gt;="&amp;H23)</f>
        <v>0</v>
      </c>
      <c r="J22" s="16">
        <f t="shared" si="4"/>
        <v>0</v>
      </c>
      <c r="K22" s="17">
        <f>COUNTIF(Vertices[Betweenness Centrality],"&gt;= "&amp;J22)-COUNTIF(Vertices[Betweenness Centrality],"&gt;="&amp;J23)</f>
        <v>0</v>
      </c>
      <c r="L22" s="16">
        <f t="shared" si="5"/>
        <v>0.111111</v>
      </c>
      <c r="M22" s="17">
        <f>COUNTIF(Vertices[Closeness Centrality],"&gt;= "&amp;L22)-COUNTIF(Vertices[Closeness Centrality],"&gt;="&amp;L23)</f>
        <v>0</v>
      </c>
      <c r="N22" s="16">
        <f t="shared" si="6"/>
        <v>0.316228</v>
      </c>
      <c r="O22" s="17">
        <f>COUNTIF(Vertices[Eigenvector Centrality],"&gt;= "&amp;N22)-COUNTIF(Vertices[Eigenvector Centrality],"&gt;="&amp;N23)</f>
        <v>0</v>
      </c>
      <c r="P22" s="16">
        <f t="shared" si="7"/>
        <v>0.1</v>
      </c>
      <c r="Q22" s="17">
        <f>COUNTIF(Vertices[PageRank],"&gt;= "&amp;P22)-COUNTIF(Vertices[PageRank],"&gt;="&amp;P23)</f>
        <v>0</v>
      </c>
      <c r="R22" s="16">
        <f t="shared" si="8"/>
        <v>0</v>
      </c>
      <c r="S22" s="22">
        <f>COUNTIF(Vertices[Clustering Coefficient],"&gt;= "&amp;R22)-COUNTIF(Vertices[Clustering Coefficient],"&gt;="&amp;R23)</f>
        <v>0</v>
      </c>
      <c r="T22" s="16" t="e">
        <f ca="1" t="shared" si="9"/>
        <v>#REF!</v>
      </c>
      <c r="U22" s="17" t="e">
        <f ca="1" t="shared" si="0"/>
        <v>#REF!</v>
      </c>
    </row>
    <row r="23" spans="1:21" ht="15">
      <c r="A23" s="13" t="s">
        <v>158</v>
      </c>
      <c r="B23" s="13">
        <v>0.05555555555555555</v>
      </c>
      <c r="D23" s="11">
        <f t="shared" si="1"/>
        <v>0</v>
      </c>
      <c r="E23">
        <f>COUNTIF(Vertices[Degree],"&gt;= "&amp;D23)-COUNTIF(Vertices[Degree],"&gt;="&amp;D24)</f>
        <v>0</v>
      </c>
      <c r="F23" s="18">
        <f t="shared" si="2"/>
        <v>0.6176470588235294</v>
      </c>
      <c r="G23" s="19">
        <f>COUNTIF(Vertices[In-Degree],"&gt;= "&amp;F23)-COUNTIF(Vertices[In-Degree],"&gt;="&amp;F24)</f>
        <v>0</v>
      </c>
      <c r="H23" s="18">
        <f t="shared" si="3"/>
        <v>0.6176470588235294</v>
      </c>
      <c r="I23" s="19">
        <f>COUNTIF(Vertices[Out-Degree],"&gt;= "&amp;H23)-COUNTIF(Vertices[Out-Degree],"&gt;="&amp;H24)</f>
        <v>0</v>
      </c>
      <c r="J23" s="18">
        <f t="shared" si="4"/>
        <v>0</v>
      </c>
      <c r="K23" s="19">
        <f>COUNTIF(Vertices[Betweenness Centrality],"&gt;= "&amp;J23)-COUNTIF(Vertices[Betweenness Centrality],"&gt;="&amp;J24)</f>
        <v>0</v>
      </c>
      <c r="L23" s="18">
        <f t="shared" si="5"/>
        <v>0.111111</v>
      </c>
      <c r="M23" s="19">
        <f>COUNTIF(Vertices[Closeness Centrality],"&gt;= "&amp;L23)-COUNTIF(Vertices[Closeness Centrality],"&gt;="&amp;L24)</f>
        <v>0</v>
      </c>
      <c r="N23" s="18">
        <f t="shared" si="6"/>
        <v>0.316228</v>
      </c>
      <c r="O23" s="19">
        <f>COUNTIF(Vertices[Eigenvector Centrality],"&gt;= "&amp;N23)-COUNTIF(Vertices[Eigenvector Centrality],"&gt;="&amp;N24)</f>
        <v>0</v>
      </c>
      <c r="P23" s="18">
        <f t="shared" si="7"/>
        <v>0.1</v>
      </c>
      <c r="Q23" s="19">
        <f>COUNTIF(Vertices[PageRank],"&gt;= "&amp;P23)-COUNTIF(Vertices[PageRank],"&gt;="&amp;P24)</f>
        <v>0</v>
      </c>
      <c r="R23" s="18">
        <f t="shared" si="8"/>
        <v>0</v>
      </c>
      <c r="S23" s="23">
        <f>COUNTIF(Vertices[Clustering Coefficient],"&gt;= "&amp;R23)-COUNTIF(Vertices[Clustering Coefficient],"&gt;="&amp;R24)</f>
        <v>0</v>
      </c>
      <c r="T23" s="18" t="e">
        <f ca="1" t="shared" si="9"/>
        <v>#REF!</v>
      </c>
      <c r="U23" s="19" t="e">
        <f ca="1" t="shared" si="0"/>
        <v>#REF!</v>
      </c>
    </row>
    <row r="24" spans="1:21" ht="15">
      <c r="A24" s="13" t="s">
        <v>187</v>
      </c>
      <c r="B24" s="13" t="s">
        <v>203</v>
      </c>
      <c r="D24" s="11">
        <f t="shared" si="1"/>
        <v>0</v>
      </c>
      <c r="E24">
        <f>COUNTIF(Vertices[Degree],"&gt;= "&amp;D24)-COUNTIF(Vertices[Degree],"&gt;="&amp;D25)</f>
        <v>0</v>
      </c>
      <c r="F24" s="16">
        <f t="shared" si="2"/>
        <v>0.6470588235294118</v>
      </c>
      <c r="G24" s="17">
        <f>COUNTIF(Vertices[In-Degree],"&gt;= "&amp;F24)-COUNTIF(Vertices[In-Degree],"&gt;="&amp;F25)</f>
        <v>0</v>
      </c>
      <c r="H24" s="16">
        <f t="shared" si="3"/>
        <v>0.6470588235294118</v>
      </c>
      <c r="I24" s="17">
        <f>COUNTIF(Vertices[Out-Degree],"&gt;= "&amp;H24)-COUNTIF(Vertices[Out-Degree],"&gt;="&amp;H25)</f>
        <v>0</v>
      </c>
      <c r="J24" s="16">
        <f t="shared" si="4"/>
        <v>0</v>
      </c>
      <c r="K24" s="17">
        <f>COUNTIF(Vertices[Betweenness Centrality],"&gt;= "&amp;J24)-COUNTIF(Vertices[Betweenness Centrality],"&gt;="&amp;J25)</f>
        <v>0</v>
      </c>
      <c r="L24" s="16">
        <f t="shared" si="5"/>
        <v>0.111111</v>
      </c>
      <c r="M24" s="17">
        <f>COUNTIF(Vertices[Closeness Centrality],"&gt;= "&amp;L24)-COUNTIF(Vertices[Closeness Centrality],"&gt;="&amp;L25)</f>
        <v>0</v>
      </c>
      <c r="N24" s="16">
        <f t="shared" si="6"/>
        <v>0.316228</v>
      </c>
      <c r="O24" s="17">
        <f>COUNTIF(Vertices[Eigenvector Centrality],"&gt;= "&amp;N24)-COUNTIF(Vertices[Eigenvector Centrality],"&gt;="&amp;N25)</f>
        <v>0</v>
      </c>
      <c r="P24" s="16">
        <f t="shared" si="7"/>
        <v>0.1</v>
      </c>
      <c r="Q24" s="17">
        <f>COUNTIF(Vertices[PageRank],"&gt;= "&amp;P24)-COUNTIF(Vertices[PageRank],"&gt;="&amp;P25)</f>
        <v>0</v>
      </c>
      <c r="R24" s="16">
        <f t="shared" si="8"/>
        <v>0</v>
      </c>
      <c r="S24" s="22">
        <f>COUNTIF(Vertices[Clustering Coefficient],"&gt;= "&amp;R24)-COUNTIF(Vertices[Clustering Coefficient],"&gt;="&amp;R25)</f>
        <v>0</v>
      </c>
      <c r="T24" s="16" t="e">
        <f ca="1" t="shared" si="9"/>
        <v>#REF!</v>
      </c>
      <c r="U24" s="17" t="e">
        <f ca="1" t="shared" si="0"/>
        <v>#REF!</v>
      </c>
    </row>
    <row r="25" spans="1:21" ht="15">
      <c r="A25" s="41"/>
      <c r="B25" s="41"/>
      <c r="D25" s="11">
        <f t="shared" si="1"/>
        <v>0</v>
      </c>
      <c r="E25">
        <f>COUNTIF(Vertices[Degree],"&gt;= "&amp;D25)-COUNTIF(Vertices[Degree],"&gt;="&amp;D26)</f>
        <v>0</v>
      </c>
      <c r="F25" s="18">
        <f t="shared" si="2"/>
        <v>0.6764705882352942</v>
      </c>
      <c r="G25" s="19">
        <f>COUNTIF(Vertices[In-Degree],"&gt;= "&amp;F25)-COUNTIF(Vertices[In-Degree],"&gt;="&amp;F26)</f>
        <v>0</v>
      </c>
      <c r="H25" s="18">
        <f t="shared" si="3"/>
        <v>0.6764705882352942</v>
      </c>
      <c r="I25" s="19">
        <f>COUNTIF(Vertices[Out-Degree],"&gt;= "&amp;H25)-COUNTIF(Vertices[Out-Degree],"&gt;="&amp;H26)</f>
        <v>0</v>
      </c>
      <c r="J25" s="18">
        <f t="shared" si="4"/>
        <v>0</v>
      </c>
      <c r="K25" s="19">
        <f>COUNTIF(Vertices[Betweenness Centrality],"&gt;= "&amp;J25)-COUNTIF(Vertices[Betweenness Centrality],"&gt;="&amp;J26)</f>
        <v>0</v>
      </c>
      <c r="L25" s="18">
        <f t="shared" si="5"/>
        <v>0.111111</v>
      </c>
      <c r="M25" s="19">
        <f>COUNTIF(Vertices[Closeness Centrality],"&gt;= "&amp;L25)-COUNTIF(Vertices[Closeness Centrality],"&gt;="&amp;L26)</f>
        <v>0</v>
      </c>
      <c r="N25" s="18">
        <f t="shared" si="6"/>
        <v>0.316228</v>
      </c>
      <c r="O25" s="19">
        <f>COUNTIF(Vertices[Eigenvector Centrality],"&gt;= "&amp;N25)-COUNTIF(Vertices[Eigenvector Centrality],"&gt;="&amp;N26)</f>
        <v>0</v>
      </c>
      <c r="P25" s="18">
        <f t="shared" si="7"/>
        <v>0.1</v>
      </c>
      <c r="Q25" s="19">
        <f>COUNTIF(Vertices[PageRank],"&gt;= "&amp;P25)-COUNTIF(Vertices[PageRank],"&gt;="&amp;P26)</f>
        <v>0</v>
      </c>
      <c r="R25" s="18">
        <f t="shared" si="8"/>
        <v>0</v>
      </c>
      <c r="S25" s="23">
        <f>COUNTIF(Vertices[Clustering Coefficient],"&gt;= "&amp;R25)-COUNTIF(Vertices[Clustering Coefficient],"&gt;="&amp;R26)</f>
        <v>0</v>
      </c>
      <c r="T25" s="18" t="e">
        <f ca="1" t="shared" si="9"/>
        <v>#REF!</v>
      </c>
      <c r="U25" s="19" t="e">
        <f ca="1" t="shared" si="0"/>
        <v>#REF!</v>
      </c>
    </row>
    <row r="26" spans="1:21" ht="15">
      <c r="A26" s="13" t="s">
        <v>188</v>
      </c>
      <c r="B26" s="13" t="s">
        <v>204</v>
      </c>
      <c r="D26" s="11">
        <f t="shared" si="1"/>
        <v>0</v>
      </c>
      <c r="E26">
        <f>COUNTIF(Vertices[Degree],"&gt;= "&amp;D26)-COUNTIF(Vertices[Degree],"&gt;="&amp;D27)</f>
        <v>0</v>
      </c>
      <c r="F26" s="16">
        <f t="shared" si="2"/>
        <v>0.7058823529411765</v>
      </c>
      <c r="G26" s="17">
        <f>COUNTIF(Vertices[In-Degree],"&gt;= "&amp;F26)-COUNTIF(Vertices[In-Degree],"&gt;="&amp;F27)</f>
        <v>0</v>
      </c>
      <c r="H26" s="16">
        <f t="shared" si="3"/>
        <v>0.7058823529411765</v>
      </c>
      <c r="I26" s="17">
        <f>COUNTIF(Vertices[Out-Degree],"&gt;= "&amp;H26)-COUNTIF(Vertices[Out-Degree],"&gt;="&amp;H27)</f>
        <v>0</v>
      </c>
      <c r="J26" s="16">
        <f t="shared" si="4"/>
        <v>0</v>
      </c>
      <c r="K26" s="17">
        <f>COUNTIF(Vertices[Betweenness Centrality],"&gt;= "&amp;J26)-COUNTIF(Vertices[Betweenness Centrality],"&gt;="&amp;J27)</f>
        <v>0</v>
      </c>
      <c r="L26" s="16">
        <f t="shared" si="5"/>
        <v>0.111111</v>
      </c>
      <c r="M26" s="17">
        <f>COUNTIF(Vertices[Closeness Centrality],"&gt;= "&amp;L26)-COUNTIF(Vertices[Closeness Centrality],"&gt;="&amp;L27)</f>
        <v>0</v>
      </c>
      <c r="N26" s="16">
        <f t="shared" si="6"/>
        <v>0.316228</v>
      </c>
      <c r="O26" s="17">
        <f>COUNTIF(Vertices[Eigenvector Centrality],"&gt;= "&amp;N26)-COUNTIF(Vertices[Eigenvector Centrality],"&gt;="&amp;N27)</f>
        <v>0</v>
      </c>
      <c r="P26" s="16">
        <f t="shared" si="7"/>
        <v>0.1</v>
      </c>
      <c r="Q26" s="17">
        <f>COUNTIF(Vertices[PageRank],"&gt;= "&amp;P26)-COUNTIF(Vertices[PageRank],"&gt;="&amp;P27)</f>
        <v>0</v>
      </c>
      <c r="R26" s="16">
        <f t="shared" si="8"/>
        <v>0</v>
      </c>
      <c r="S26" s="22">
        <f>COUNTIF(Vertices[Clustering Coefficient],"&gt;= "&amp;R26)-COUNTIF(Vertices[Clustering Coefficient],"&gt;="&amp;R27)</f>
        <v>0</v>
      </c>
      <c r="T26" s="16" t="e">
        <f ca="1" t="shared" si="9"/>
        <v>#REF!</v>
      </c>
      <c r="U26" s="17" t="e">
        <f aca="true" t="shared" si="10" ref="U26:U35">COUNTIF(INDIRECT(DynamicFilterSourceColumnRange),"&gt;= "&amp;T26)-COUNTIF(INDIRECT(DynamicFilterSourceColumnRange),"&gt;="&amp;T27)</f>
        <v>#REF!</v>
      </c>
    </row>
    <row r="27" spans="1:21" ht="15">
      <c r="A27" s="41"/>
      <c r="B27" s="41"/>
      <c r="D27" s="11">
        <f t="shared" si="1"/>
        <v>0</v>
      </c>
      <c r="E27">
        <f>COUNTIF(Vertices[Degree],"&gt;= "&amp;D27)-COUNTIF(Vertices[Degree],"&gt;="&amp;D28)</f>
        <v>0</v>
      </c>
      <c r="F27" s="18">
        <f t="shared" si="2"/>
        <v>0.7352941176470589</v>
      </c>
      <c r="G27" s="19">
        <f>COUNTIF(Vertices[In-Degree],"&gt;= "&amp;F27)-COUNTIF(Vertices[In-Degree],"&gt;="&amp;F28)</f>
        <v>0</v>
      </c>
      <c r="H27" s="18">
        <f t="shared" si="3"/>
        <v>0.7352941176470589</v>
      </c>
      <c r="I27" s="19">
        <f>COUNTIF(Vertices[Out-Degree],"&gt;= "&amp;H27)-COUNTIF(Vertices[Out-Degree],"&gt;="&amp;H28)</f>
        <v>0</v>
      </c>
      <c r="J27" s="18">
        <f t="shared" si="4"/>
        <v>0</v>
      </c>
      <c r="K27" s="19">
        <f>COUNTIF(Vertices[Betweenness Centrality],"&gt;= "&amp;J27)-COUNTIF(Vertices[Betweenness Centrality],"&gt;="&amp;J28)</f>
        <v>0</v>
      </c>
      <c r="L27" s="18">
        <f t="shared" si="5"/>
        <v>0.111111</v>
      </c>
      <c r="M27" s="19">
        <f>COUNTIF(Vertices[Closeness Centrality],"&gt;= "&amp;L27)-COUNTIF(Vertices[Closeness Centrality],"&gt;="&amp;L28)</f>
        <v>0</v>
      </c>
      <c r="N27" s="18">
        <f t="shared" si="6"/>
        <v>0.316228</v>
      </c>
      <c r="O27" s="19">
        <f>COUNTIF(Vertices[Eigenvector Centrality],"&gt;= "&amp;N27)-COUNTIF(Vertices[Eigenvector Centrality],"&gt;="&amp;N28)</f>
        <v>0</v>
      </c>
      <c r="P27" s="18">
        <f t="shared" si="7"/>
        <v>0.1</v>
      </c>
      <c r="Q27" s="19">
        <f>COUNTIF(Vertices[PageRank],"&gt;= "&amp;P27)-COUNTIF(Vertices[PageRank],"&gt;="&amp;P28)</f>
        <v>0</v>
      </c>
      <c r="R27" s="18">
        <f t="shared" si="8"/>
        <v>0</v>
      </c>
      <c r="S27" s="23">
        <f>COUNTIF(Vertices[Clustering Coefficient],"&gt;= "&amp;R27)-COUNTIF(Vertices[Clustering Coefficient],"&gt;="&amp;R28)</f>
        <v>0</v>
      </c>
      <c r="T27" s="18" t="e">
        <f ca="1" t="shared" si="9"/>
        <v>#REF!</v>
      </c>
      <c r="U27" s="19" t="e">
        <f ca="1" t="shared" si="10"/>
        <v>#REF!</v>
      </c>
    </row>
    <row r="28" spans="1:21" ht="15">
      <c r="A28" s="13" t="s">
        <v>189</v>
      </c>
      <c r="B28" s="13" t="s">
        <v>224</v>
      </c>
      <c r="D28" s="11">
        <f t="shared" si="1"/>
        <v>0</v>
      </c>
      <c r="E28">
        <f>COUNTIF(Vertices[Degree],"&gt;= "&amp;D28)-COUNTIF(Vertices[Degree],"&gt;="&amp;D29)</f>
        <v>0</v>
      </c>
      <c r="F28" s="16">
        <f t="shared" si="2"/>
        <v>0.7647058823529412</v>
      </c>
      <c r="G28" s="17">
        <f>COUNTIF(Vertices[In-Degree],"&gt;= "&amp;F28)-COUNTIF(Vertices[In-Degree],"&gt;="&amp;F29)</f>
        <v>0</v>
      </c>
      <c r="H28" s="16">
        <f t="shared" si="3"/>
        <v>0.7647058823529412</v>
      </c>
      <c r="I28" s="17">
        <f>COUNTIF(Vertices[Out-Degree],"&gt;= "&amp;H28)-COUNTIF(Vertices[Out-Degree],"&gt;="&amp;H29)</f>
        <v>0</v>
      </c>
      <c r="J28" s="16">
        <f t="shared" si="4"/>
        <v>0</v>
      </c>
      <c r="K28" s="17">
        <f>COUNTIF(Vertices[Betweenness Centrality],"&gt;= "&amp;J28)-COUNTIF(Vertices[Betweenness Centrality],"&gt;="&amp;J29)</f>
        <v>0</v>
      </c>
      <c r="L28" s="16">
        <f t="shared" si="5"/>
        <v>0.111111</v>
      </c>
      <c r="M28" s="17">
        <f>COUNTIF(Vertices[Closeness Centrality],"&gt;= "&amp;L28)-COUNTIF(Vertices[Closeness Centrality],"&gt;="&amp;L29)</f>
        <v>0</v>
      </c>
      <c r="N28" s="16">
        <f t="shared" si="6"/>
        <v>0.316228</v>
      </c>
      <c r="O28" s="17">
        <f>COUNTIF(Vertices[Eigenvector Centrality],"&gt;= "&amp;N28)-COUNTIF(Vertices[Eigenvector Centrality],"&gt;="&amp;N29)</f>
        <v>0</v>
      </c>
      <c r="P28" s="16">
        <f t="shared" si="7"/>
        <v>0.1</v>
      </c>
      <c r="Q28" s="17">
        <f>COUNTIF(Vertices[PageRank],"&gt;= "&amp;P28)-COUNTIF(Vertices[PageRank],"&gt;="&amp;P29)</f>
        <v>0</v>
      </c>
      <c r="R28" s="16">
        <f t="shared" si="8"/>
        <v>0</v>
      </c>
      <c r="S28" s="22">
        <f>COUNTIF(Vertices[Clustering Coefficient],"&gt;= "&amp;R28)-COUNTIF(Vertices[Clustering Coefficient],"&gt;="&amp;R29)</f>
        <v>0</v>
      </c>
      <c r="T28" s="16" t="e">
        <f ca="1" t="shared" si="9"/>
        <v>#REF!</v>
      </c>
      <c r="U28" s="17" t="e">
        <f ca="1" t="shared" si="10"/>
        <v>#REF!</v>
      </c>
    </row>
    <row r="29" spans="1:21" ht="15">
      <c r="A29" s="13" t="s">
        <v>190</v>
      </c>
      <c r="B29" s="13" t="s">
        <v>225</v>
      </c>
      <c r="D29" s="11">
        <f t="shared" si="1"/>
        <v>0</v>
      </c>
      <c r="E29">
        <f>COUNTIF(Vertices[Degree],"&gt;= "&amp;D29)-COUNTIF(Vertices[Degree],"&gt;="&amp;D30)</f>
        <v>0</v>
      </c>
      <c r="F29" s="18">
        <f t="shared" si="2"/>
        <v>0.7941176470588236</v>
      </c>
      <c r="G29" s="19">
        <f>COUNTIF(Vertices[In-Degree],"&gt;= "&amp;F29)-COUNTIF(Vertices[In-Degree],"&gt;="&amp;F30)</f>
        <v>0</v>
      </c>
      <c r="H29" s="18">
        <f t="shared" si="3"/>
        <v>0.7941176470588236</v>
      </c>
      <c r="I29" s="19">
        <f>COUNTIF(Vertices[Out-Degree],"&gt;= "&amp;H29)-COUNTIF(Vertices[Out-Degree],"&gt;="&amp;H30)</f>
        <v>0</v>
      </c>
      <c r="J29" s="18">
        <f t="shared" si="4"/>
        <v>0</v>
      </c>
      <c r="K29" s="19">
        <f>COUNTIF(Vertices[Betweenness Centrality],"&gt;= "&amp;J29)-COUNTIF(Vertices[Betweenness Centrality],"&gt;="&amp;J30)</f>
        <v>0</v>
      </c>
      <c r="L29" s="18">
        <f t="shared" si="5"/>
        <v>0.111111</v>
      </c>
      <c r="M29" s="19">
        <f>COUNTIF(Vertices[Closeness Centrality],"&gt;= "&amp;L29)-COUNTIF(Vertices[Closeness Centrality],"&gt;="&amp;L30)</f>
        <v>0</v>
      </c>
      <c r="N29" s="18">
        <f t="shared" si="6"/>
        <v>0.316228</v>
      </c>
      <c r="O29" s="19">
        <f>COUNTIF(Vertices[Eigenvector Centrality],"&gt;= "&amp;N29)-COUNTIF(Vertices[Eigenvector Centrality],"&gt;="&amp;N30)</f>
        <v>0</v>
      </c>
      <c r="P29" s="18">
        <f t="shared" si="7"/>
        <v>0.1</v>
      </c>
      <c r="Q29" s="19">
        <f>COUNTIF(Vertices[PageRank],"&gt;= "&amp;P29)-COUNTIF(Vertices[PageRank],"&gt;="&amp;P30)</f>
        <v>0</v>
      </c>
      <c r="R29" s="18">
        <f t="shared" si="8"/>
        <v>0</v>
      </c>
      <c r="S29" s="23">
        <f>COUNTIF(Vertices[Clustering Coefficient],"&gt;= "&amp;R29)-COUNTIF(Vertices[Clustering Coefficient],"&gt;="&amp;R30)</f>
        <v>0</v>
      </c>
      <c r="T29" s="18" t="e">
        <f ca="1" t="shared" si="9"/>
        <v>#REF!</v>
      </c>
      <c r="U29" s="19" t="e">
        <f ca="1" t="shared" si="10"/>
        <v>#REF!</v>
      </c>
    </row>
    <row r="30" spans="1:21" ht="15">
      <c r="A30" s="41"/>
      <c r="B30" s="41"/>
      <c r="D30" s="11">
        <f t="shared" si="1"/>
        <v>0</v>
      </c>
      <c r="E30">
        <f>COUNTIF(Vertices[Degree],"&gt;= "&amp;D30)-COUNTIF(Vertices[Degree],"&gt;="&amp;D31)</f>
        <v>0</v>
      </c>
      <c r="F30" s="16">
        <f t="shared" si="2"/>
        <v>0.823529411764706</v>
      </c>
      <c r="G30" s="17">
        <f>COUNTIF(Vertices[In-Degree],"&gt;= "&amp;F30)-COUNTIF(Vertices[In-Degree],"&gt;="&amp;F31)</f>
        <v>0</v>
      </c>
      <c r="H30" s="16">
        <f t="shared" si="3"/>
        <v>0.823529411764706</v>
      </c>
      <c r="I30" s="17">
        <f>COUNTIF(Vertices[Out-Degree],"&gt;= "&amp;H30)-COUNTIF(Vertices[Out-Degree],"&gt;="&amp;H31)</f>
        <v>0</v>
      </c>
      <c r="J30" s="16">
        <f t="shared" si="4"/>
        <v>0</v>
      </c>
      <c r="K30" s="17">
        <f>COUNTIF(Vertices[Betweenness Centrality],"&gt;= "&amp;J30)-COUNTIF(Vertices[Betweenness Centrality],"&gt;="&amp;J31)</f>
        <v>0</v>
      </c>
      <c r="L30" s="16">
        <f t="shared" si="5"/>
        <v>0.111111</v>
      </c>
      <c r="M30" s="17">
        <f>COUNTIF(Vertices[Closeness Centrality],"&gt;= "&amp;L30)-COUNTIF(Vertices[Closeness Centrality],"&gt;="&amp;L31)</f>
        <v>0</v>
      </c>
      <c r="N30" s="16">
        <f t="shared" si="6"/>
        <v>0.316228</v>
      </c>
      <c r="O30" s="17">
        <f>COUNTIF(Vertices[Eigenvector Centrality],"&gt;= "&amp;N30)-COUNTIF(Vertices[Eigenvector Centrality],"&gt;="&amp;N31)</f>
        <v>0</v>
      </c>
      <c r="P30" s="16">
        <f t="shared" si="7"/>
        <v>0.1</v>
      </c>
      <c r="Q30" s="17">
        <f>COUNTIF(Vertices[PageRank],"&gt;= "&amp;P30)-COUNTIF(Vertices[PageRank],"&gt;="&amp;P31)</f>
        <v>0</v>
      </c>
      <c r="R30" s="16">
        <f t="shared" si="8"/>
        <v>0</v>
      </c>
      <c r="S30" s="22">
        <f>COUNTIF(Vertices[Clustering Coefficient],"&gt;= "&amp;R30)-COUNTIF(Vertices[Clustering Coefficient],"&gt;="&amp;R31)</f>
        <v>0</v>
      </c>
      <c r="T30" s="16" t="e">
        <f ca="1" t="shared" si="9"/>
        <v>#REF!</v>
      </c>
      <c r="U30" s="17" t="e">
        <f ca="1" t="shared" si="10"/>
        <v>#REF!</v>
      </c>
    </row>
    <row r="31" spans="1:21" ht="15">
      <c r="A31" s="13" t="s">
        <v>191</v>
      </c>
      <c r="B31" s="13"/>
      <c r="D31" s="11">
        <f t="shared" si="1"/>
        <v>0</v>
      </c>
      <c r="E31">
        <f>COUNTIF(Vertices[Degree],"&gt;= "&amp;D31)-COUNTIF(Vertices[Degree],"&gt;="&amp;D32)</f>
        <v>0</v>
      </c>
      <c r="F31" s="18">
        <f t="shared" si="2"/>
        <v>0.8529411764705883</v>
      </c>
      <c r="G31" s="19">
        <f>COUNTIF(Vertices[In-Degree],"&gt;= "&amp;F31)-COUNTIF(Vertices[In-Degree],"&gt;="&amp;F32)</f>
        <v>0</v>
      </c>
      <c r="H31" s="18">
        <f t="shared" si="3"/>
        <v>0.8529411764705883</v>
      </c>
      <c r="I31" s="19">
        <f>COUNTIF(Vertices[Out-Degree],"&gt;= "&amp;H31)-COUNTIF(Vertices[Out-Degree],"&gt;="&amp;H32)</f>
        <v>0</v>
      </c>
      <c r="J31" s="18">
        <f t="shared" si="4"/>
        <v>0</v>
      </c>
      <c r="K31" s="19">
        <f>COUNTIF(Vertices[Betweenness Centrality],"&gt;= "&amp;J31)-COUNTIF(Vertices[Betweenness Centrality],"&gt;="&amp;J32)</f>
        <v>0</v>
      </c>
      <c r="L31" s="18">
        <f t="shared" si="5"/>
        <v>0.111111</v>
      </c>
      <c r="M31" s="19">
        <f>COUNTIF(Vertices[Closeness Centrality],"&gt;= "&amp;L31)-COUNTIF(Vertices[Closeness Centrality],"&gt;="&amp;L32)</f>
        <v>0</v>
      </c>
      <c r="N31" s="18">
        <f t="shared" si="6"/>
        <v>0.316228</v>
      </c>
      <c r="O31" s="19">
        <f>COUNTIF(Vertices[Eigenvector Centrality],"&gt;= "&amp;N31)-COUNTIF(Vertices[Eigenvector Centrality],"&gt;="&amp;N32)</f>
        <v>0</v>
      </c>
      <c r="P31" s="18">
        <f t="shared" si="7"/>
        <v>0.1</v>
      </c>
      <c r="Q31" s="19">
        <f>COUNTIF(Vertices[PageRank],"&gt;= "&amp;P31)-COUNTIF(Vertices[PageRank],"&gt;="&amp;P32)</f>
        <v>0</v>
      </c>
      <c r="R31" s="18">
        <f t="shared" si="8"/>
        <v>0</v>
      </c>
      <c r="S31" s="23">
        <f>COUNTIF(Vertices[Clustering Coefficient],"&gt;= "&amp;R31)-COUNTIF(Vertices[Clustering Coefficient],"&gt;="&amp;R32)</f>
        <v>0</v>
      </c>
      <c r="T31" s="18" t="e">
        <f ca="1" t="shared" si="9"/>
        <v>#REF!</v>
      </c>
      <c r="U31" s="19" t="e">
        <f ca="1" t="shared" si="10"/>
        <v>#REF!</v>
      </c>
    </row>
    <row r="32" spans="1:21" ht="15">
      <c r="A32" s="13" t="s">
        <v>192</v>
      </c>
      <c r="B32" s="13"/>
      <c r="D32" s="11">
        <f t="shared" si="1"/>
        <v>0</v>
      </c>
      <c r="E32">
        <f>COUNTIF(Vertices[Degree],"&gt;= "&amp;D32)-COUNTIF(Vertices[Degree],"&gt;="&amp;D33)</f>
        <v>0</v>
      </c>
      <c r="F32" s="16">
        <f t="shared" si="2"/>
        <v>0.8823529411764707</v>
      </c>
      <c r="G32" s="17">
        <f>COUNTIF(Vertices[In-Degree],"&gt;= "&amp;F32)-COUNTIF(Vertices[In-Degree],"&gt;="&amp;F33)</f>
        <v>0</v>
      </c>
      <c r="H32" s="16">
        <f t="shared" si="3"/>
        <v>0.8823529411764707</v>
      </c>
      <c r="I32" s="17">
        <f>COUNTIF(Vertices[Out-Degree],"&gt;= "&amp;H32)-COUNTIF(Vertices[Out-Degree],"&gt;="&amp;H33)</f>
        <v>0</v>
      </c>
      <c r="J32" s="16">
        <f t="shared" si="4"/>
        <v>0</v>
      </c>
      <c r="K32" s="17">
        <f>COUNTIF(Vertices[Betweenness Centrality],"&gt;= "&amp;J32)-COUNTIF(Vertices[Betweenness Centrality],"&gt;="&amp;J33)</f>
        <v>0</v>
      </c>
      <c r="L32" s="16">
        <f t="shared" si="5"/>
        <v>0.111111</v>
      </c>
      <c r="M32" s="17">
        <f>COUNTIF(Vertices[Closeness Centrality],"&gt;= "&amp;L32)-COUNTIF(Vertices[Closeness Centrality],"&gt;="&amp;L33)</f>
        <v>0</v>
      </c>
      <c r="N32" s="16">
        <f t="shared" si="6"/>
        <v>0.316228</v>
      </c>
      <c r="O32" s="17">
        <f>COUNTIF(Vertices[Eigenvector Centrality],"&gt;= "&amp;N32)-COUNTIF(Vertices[Eigenvector Centrality],"&gt;="&amp;N33)</f>
        <v>0</v>
      </c>
      <c r="P32" s="16">
        <f t="shared" si="7"/>
        <v>0.1</v>
      </c>
      <c r="Q32" s="17">
        <f>COUNTIF(Vertices[PageRank],"&gt;= "&amp;P32)-COUNTIF(Vertices[PageRank],"&gt;="&amp;P33)</f>
        <v>0</v>
      </c>
      <c r="R32" s="16">
        <f t="shared" si="8"/>
        <v>0</v>
      </c>
      <c r="S32" s="22">
        <f>COUNTIF(Vertices[Clustering Coefficient],"&gt;= "&amp;R32)-COUNTIF(Vertices[Clustering Coefficient],"&gt;="&amp;R33)</f>
        <v>0</v>
      </c>
      <c r="T32" s="16" t="e">
        <f ca="1" t="shared" si="9"/>
        <v>#REF!</v>
      </c>
      <c r="U32" s="17" t="e">
        <f ca="1" t="shared" si="10"/>
        <v>#REF!</v>
      </c>
    </row>
    <row r="33" spans="1:21" ht="15">
      <c r="A33" s="13" t="s">
        <v>193</v>
      </c>
      <c r="B33" s="13"/>
      <c r="D33" s="11">
        <f t="shared" si="1"/>
        <v>0</v>
      </c>
      <c r="E33">
        <f>COUNTIF(Vertices[Degree],"&gt;= "&amp;D33)-COUNTIF(Vertices[Degree],"&gt;="&amp;D34)</f>
        <v>0</v>
      </c>
      <c r="F33" s="18">
        <f t="shared" si="2"/>
        <v>0.911764705882353</v>
      </c>
      <c r="G33" s="19">
        <f>COUNTIF(Vertices[In-Degree],"&gt;= "&amp;F33)-COUNTIF(Vertices[In-Degree],"&gt;="&amp;F34)</f>
        <v>0</v>
      </c>
      <c r="H33" s="18">
        <f t="shared" si="3"/>
        <v>0.911764705882353</v>
      </c>
      <c r="I33" s="19">
        <f>COUNTIF(Vertices[Out-Degree],"&gt;= "&amp;H33)-COUNTIF(Vertices[Out-Degree],"&gt;="&amp;H34)</f>
        <v>0</v>
      </c>
      <c r="J33" s="18">
        <f t="shared" si="4"/>
        <v>0</v>
      </c>
      <c r="K33" s="19">
        <f>COUNTIF(Vertices[Betweenness Centrality],"&gt;= "&amp;J33)-COUNTIF(Vertices[Betweenness Centrality],"&gt;="&amp;J34)</f>
        <v>0</v>
      </c>
      <c r="L33" s="18">
        <f t="shared" si="5"/>
        <v>0.111111</v>
      </c>
      <c r="M33" s="19">
        <f>COUNTIF(Vertices[Closeness Centrality],"&gt;= "&amp;L33)-COUNTIF(Vertices[Closeness Centrality],"&gt;="&amp;L34)</f>
        <v>0</v>
      </c>
      <c r="N33" s="18">
        <f t="shared" si="6"/>
        <v>0.316228</v>
      </c>
      <c r="O33" s="19">
        <f>COUNTIF(Vertices[Eigenvector Centrality],"&gt;= "&amp;N33)-COUNTIF(Vertices[Eigenvector Centrality],"&gt;="&amp;N34)</f>
        <v>0</v>
      </c>
      <c r="P33" s="18">
        <f t="shared" si="7"/>
        <v>0.1</v>
      </c>
      <c r="Q33" s="19">
        <f>COUNTIF(Vertices[PageRank],"&gt;= "&amp;P33)-COUNTIF(Vertices[PageRank],"&gt;="&amp;P34)</f>
        <v>0</v>
      </c>
      <c r="R33" s="18">
        <f t="shared" si="8"/>
        <v>0</v>
      </c>
      <c r="S33" s="23">
        <f>COUNTIF(Vertices[Clustering Coefficient],"&gt;= "&amp;R33)-COUNTIF(Vertices[Clustering Coefficient],"&gt;="&amp;R34)</f>
        <v>0</v>
      </c>
      <c r="T33" s="18" t="e">
        <f ca="1" t="shared" si="9"/>
        <v>#REF!</v>
      </c>
      <c r="U33" s="19" t="e">
        <f ca="1" t="shared" si="10"/>
        <v>#REF!</v>
      </c>
    </row>
    <row r="34" spans="1:21" ht="15">
      <c r="A34" s="13" t="s">
        <v>194</v>
      </c>
      <c r="B34" s="13" t="s">
        <v>222</v>
      </c>
      <c r="D34" s="11">
        <f t="shared" si="1"/>
        <v>0</v>
      </c>
      <c r="E34">
        <f>COUNTIF(Vertices[Degree],"&gt;= "&amp;D34)-COUNTIF(Vertices[Degree],"&gt;="&amp;D35)</f>
        <v>0</v>
      </c>
      <c r="F34" s="16">
        <f t="shared" si="2"/>
        <v>0.9411764705882354</v>
      </c>
      <c r="G34" s="17">
        <f>COUNTIF(Vertices[In-Degree],"&gt;= "&amp;F34)-COUNTIF(Vertices[In-Degree],"&gt;="&amp;F35)</f>
        <v>0</v>
      </c>
      <c r="H34" s="16">
        <f t="shared" si="3"/>
        <v>0.9411764705882354</v>
      </c>
      <c r="I34" s="17">
        <f>COUNTIF(Vertices[Out-Degree],"&gt;= "&amp;H34)-COUNTIF(Vertices[Out-Degree],"&gt;="&amp;H35)</f>
        <v>0</v>
      </c>
      <c r="J34" s="16">
        <f t="shared" si="4"/>
        <v>0</v>
      </c>
      <c r="K34" s="17">
        <f>COUNTIF(Vertices[Betweenness Centrality],"&gt;= "&amp;J34)-COUNTIF(Vertices[Betweenness Centrality],"&gt;="&amp;J35)</f>
        <v>0</v>
      </c>
      <c r="L34" s="16">
        <f t="shared" si="5"/>
        <v>0.111111</v>
      </c>
      <c r="M34" s="17">
        <f>COUNTIF(Vertices[Closeness Centrality],"&gt;= "&amp;L34)-COUNTIF(Vertices[Closeness Centrality],"&gt;="&amp;L35)</f>
        <v>0</v>
      </c>
      <c r="N34" s="16">
        <f t="shared" si="6"/>
        <v>0.316228</v>
      </c>
      <c r="O34" s="17">
        <f>COUNTIF(Vertices[Eigenvector Centrality],"&gt;= "&amp;N34)-COUNTIF(Vertices[Eigenvector Centrality],"&gt;="&amp;N35)</f>
        <v>0</v>
      </c>
      <c r="P34" s="16">
        <f t="shared" si="7"/>
        <v>0.1</v>
      </c>
      <c r="Q34" s="17">
        <f>COUNTIF(Vertices[PageRank],"&gt;= "&amp;P34)-COUNTIF(Vertices[PageRank],"&gt;="&amp;P35)</f>
        <v>0</v>
      </c>
      <c r="R34" s="16">
        <f t="shared" si="8"/>
        <v>0</v>
      </c>
      <c r="S34" s="22">
        <f>COUNTIF(Vertices[Clustering Coefficient],"&gt;= "&amp;R34)-COUNTIF(Vertices[Clustering Coefficient],"&gt;="&amp;R35)</f>
        <v>0</v>
      </c>
      <c r="T34" s="16" t="e">
        <f ca="1" t="shared" si="9"/>
        <v>#REF!</v>
      </c>
      <c r="U34" s="17" t="e">
        <f ca="1" t="shared" si="10"/>
        <v>#REF!</v>
      </c>
    </row>
    <row r="35" spans="1:21" ht="15">
      <c r="A35" s="13" t="s">
        <v>195</v>
      </c>
      <c r="B35" s="13"/>
      <c r="D35" s="11">
        <f t="shared" si="1"/>
        <v>0</v>
      </c>
      <c r="E35">
        <f>COUNTIF(Vertices[Degree],"&gt;= "&amp;D35)-COUNTIF(Vertices[Degree],"&gt;="&amp;D36)</f>
        <v>0</v>
      </c>
      <c r="F35" s="18">
        <f t="shared" si="2"/>
        <v>0.9705882352941178</v>
      </c>
      <c r="G35" s="19">
        <f>COUNTIF(Vertices[In-Degree],"&gt;= "&amp;F35)-COUNTIF(Vertices[In-Degree],"&gt;="&amp;F36)</f>
        <v>0</v>
      </c>
      <c r="H35" s="18">
        <f t="shared" si="3"/>
        <v>0.9705882352941178</v>
      </c>
      <c r="I35" s="19">
        <f>COUNTIF(Vertices[Out-Degree],"&gt;= "&amp;H35)-COUNTIF(Vertices[Out-Degree],"&gt;="&amp;H36)</f>
        <v>0</v>
      </c>
      <c r="J35" s="18">
        <f t="shared" si="4"/>
        <v>0</v>
      </c>
      <c r="K35" s="19">
        <f>COUNTIF(Vertices[Betweenness Centrality],"&gt;= "&amp;J35)-COUNTIF(Vertices[Betweenness Centrality],"&gt;="&amp;J36)</f>
        <v>0</v>
      </c>
      <c r="L35" s="18">
        <f t="shared" si="5"/>
        <v>0.111111</v>
      </c>
      <c r="M35" s="19">
        <f>COUNTIF(Vertices[Closeness Centrality],"&gt;= "&amp;L35)-COUNTIF(Vertices[Closeness Centrality],"&gt;="&amp;L36)</f>
        <v>0</v>
      </c>
      <c r="N35" s="18">
        <f t="shared" si="6"/>
        <v>0.316228</v>
      </c>
      <c r="O35" s="19">
        <f>COUNTIF(Vertices[Eigenvector Centrality],"&gt;= "&amp;N35)-COUNTIF(Vertices[Eigenvector Centrality],"&gt;="&amp;N36)</f>
        <v>0</v>
      </c>
      <c r="P35" s="18">
        <f t="shared" si="7"/>
        <v>0.1</v>
      </c>
      <c r="Q35" s="19">
        <f>COUNTIF(Vertices[PageRank],"&gt;= "&amp;P35)-COUNTIF(Vertices[PageRank],"&gt;="&amp;P36)</f>
        <v>0</v>
      </c>
      <c r="R35" s="18">
        <f t="shared" si="8"/>
        <v>0</v>
      </c>
      <c r="S35" s="23">
        <f>COUNTIF(Vertices[Clustering Coefficient],"&gt;= "&amp;R35)-COUNTIF(Vertices[Clustering Coefficient],"&gt;="&amp;R36)</f>
        <v>0</v>
      </c>
      <c r="T35" s="18" t="e">
        <f ca="1" t="shared" si="9"/>
        <v>#REF!</v>
      </c>
      <c r="U35" s="19" t="e">
        <f ca="1" t="shared" si="10"/>
        <v>#REF!</v>
      </c>
    </row>
    <row r="36" spans="1:21" ht="15">
      <c r="A36" s="13" t="s">
        <v>196</v>
      </c>
      <c r="B36" s="13"/>
      <c r="D36" s="11">
        <f>MAX(Vertices[Degree])</f>
        <v>0</v>
      </c>
      <c r="E36">
        <f>COUNTIF(Vertices[Degree],"&gt;= "&amp;D36)-COUNTIF(Vertices[Degree],"&gt;="&amp;#REF!)</f>
        <v>0</v>
      </c>
      <c r="F36" s="20">
        <f>MAX(Vertices[In-Degree])</f>
        <v>1</v>
      </c>
      <c r="G36" s="21">
        <f>COUNTIF(Vertices[In-Degree],"&gt;= "&amp;F36)-COUNTIF(Vertices[In-Degree],"&gt;="&amp;#REF!)</f>
        <v>5</v>
      </c>
      <c r="H36" s="20">
        <f>MAX(Vertices[Out-Degree])</f>
        <v>1</v>
      </c>
      <c r="I36" s="21">
        <f>COUNTIF(Vertices[Out-Degree],"&gt;= "&amp;H36)-COUNTIF(Vertices[Out-Degree],"&gt;="&amp;#REF!)</f>
        <v>5</v>
      </c>
      <c r="J36" s="20">
        <f>MAX(Vertices[Betweenness Centrality])</f>
        <v>0</v>
      </c>
      <c r="K36" s="21">
        <f>COUNTIF(Vertices[Betweenness Centrality],"&gt;= "&amp;J36)-COUNTIF(Vertices[Betweenness Centrality],"&gt;="&amp;#REF!)</f>
        <v>10</v>
      </c>
      <c r="L36" s="20">
        <f>MAX(Vertices[Closeness Centrality])</f>
        <v>0.111111</v>
      </c>
      <c r="M36" s="21">
        <f>COUNTIF(Vertices[Closeness Centrality],"&gt;= "&amp;L36)-COUNTIF(Vertices[Closeness Centrality],"&gt;="&amp;#REF!)</f>
        <v>10</v>
      </c>
      <c r="N36" s="20">
        <f>MAX(Vertices[Eigenvector Centrality])</f>
        <v>0.316228</v>
      </c>
      <c r="O36" s="21">
        <f>COUNTIF(Vertices[Eigenvector Centrality],"&gt;= "&amp;N36)-COUNTIF(Vertices[Eigenvector Centrality],"&gt;="&amp;#REF!)</f>
        <v>10</v>
      </c>
      <c r="P36" s="20">
        <f>MAX(Vertices[PageRank])</f>
        <v>0.1</v>
      </c>
      <c r="Q36" s="21">
        <f>COUNTIF(Vertices[PageRank],"&gt;= "&amp;P36)-COUNTIF(Vertices[PageRank],"&gt;="&amp;#REF!)</f>
        <v>10</v>
      </c>
      <c r="R36" s="20">
        <f>MAX(Vertices[Clustering Coefficient])</f>
        <v>0</v>
      </c>
      <c r="S36" s="24">
        <f>COUNTIF(Vertices[Clustering Coefficient],"&gt;= "&amp;R36)-COUNTIF(Vertices[Clustering Coefficient],"&gt;="&amp;#REF!)</f>
        <v>10</v>
      </c>
      <c r="T36" s="20" t="e">
        <f ca="1">MAX(INDIRECT(DynamicFilterSourceColumnRange))</f>
        <v>#REF!</v>
      </c>
      <c r="U36" s="21" t="e">
        <f ca="1">COUNTIF(INDIRECT(DynamicFilterSourceColumnRange),"&gt;= "&amp;T36)-COUNTIF(INDIRECT(DynamicFilterSourceColumnRange),"&gt;="&amp;#REF!)</f>
        <v>#REF!</v>
      </c>
    </row>
    <row r="37" spans="1:2" ht="15">
      <c r="A37" s="13" t="s">
        <v>197</v>
      </c>
      <c r="B37" s="13" t="s">
        <v>218</v>
      </c>
    </row>
    <row r="38" spans="1:2" ht="15">
      <c r="A38" s="13" t="s">
        <v>198</v>
      </c>
      <c r="B38" s="13" t="s">
        <v>218</v>
      </c>
    </row>
    <row r="39" spans="1:2" ht="15">
      <c r="A39" s="13" t="s">
        <v>199</v>
      </c>
      <c r="B39" s="13"/>
    </row>
    <row r="40" spans="1:2" ht="15">
      <c r="A40" s="13" t="s">
        <v>21</v>
      </c>
      <c r="B40" s="13"/>
    </row>
    <row r="41" spans="1:2" ht="15">
      <c r="A41" s="13" t="s">
        <v>200</v>
      </c>
      <c r="B41" s="13"/>
    </row>
    <row r="42" spans="1:2" ht="15">
      <c r="A42" s="13" t="s">
        <v>201</v>
      </c>
      <c r="B42" s="13"/>
    </row>
    <row r="43" spans="1:2" ht="15">
      <c r="A43" s="13" t="s">
        <v>202</v>
      </c>
      <c r="B43" s="13"/>
    </row>
    <row r="60" spans="1:2" ht="15">
      <c r="A60" t="s">
        <v>163</v>
      </c>
      <c r="B60" t="s">
        <v>17</v>
      </c>
    </row>
    <row r="61" spans="1:2" ht="15">
      <c r="A61" s="12"/>
      <c r="B61" s="12"/>
    </row>
    <row r="62" spans="1:2" ht="15">
      <c r="A62" s="12"/>
      <c r="B62" s="12"/>
    </row>
    <row r="63" spans="1:2" ht="15">
      <c r="A63" s="12"/>
      <c r="B63" s="12"/>
    </row>
    <row r="74" spans="1:2" ht="15">
      <c r="A74" s="12" t="s">
        <v>81</v>
      </c>
      <c r="B74" s="25" t="str">
        <f>IF(COUNT(Vertices[Degree])&gt;0,D2,NoMetricMessage)</f>
        <v>Not Available</v>
      </c>
    </row>
    <row r="75" spans="1:2" ht="15">
      <c r="A75" s="12" t="s">
        <v>82</v>
      </c>
      <c r="B75" s="25" t="str">
        <f>IF(COUNT(Vertices[Degree])&gt;0,D36,NoMetricMessage)</f>
        <v>Not Available</v>
      </c>
    </row>
    <row r="76" spans="1:2" ht="15">
      <c r="A76" s="12" t="s">
        <v>83</v>
      </c>
      <c r="B76" s="26" t="str">
        <f>_xlfn.IFERROR(AVERAGE(Vertices[Degree]),NoMetricMessage)</f>
        <v>Not Available</v>
      </c>
    </row>
    <row r="77" spans="1:2" ht="15">
      <c r="A77" s="12" t="s">
        <v>84</v>
      </c>
      <c r="B77" s="26" t="str">
        <f>_xlfn.IFERROR(MEDIAN(Vertices[Degree]),NoMetricMessage)</f>
        <v>Not Available</v>
      </c>
    </row>
    <row r="88" spans="1:2" ht="15">
      <c r="A88" s="12" t="s">
        <v>88</v>
      </c>
      <c r="B88" s="25">
        <f>IF(COUNT(Vertices[In-Degree])&gt;0,F2,NoMetricMessage)</f>
        <v>0</v>
      </c>
    </row>
    <row r="89" spans="1:2" ht="15">
      <c r="A89" s="12" t="s">
        <v>89</v>
      </c>
      <c r="B89" s="25">
        <f>IF(COUNT(Vertices[In-Degree])&gt;0,F36,NoMetricMessage)</f>
        <v>1</v>
      </c>
    </row>
    <row r="90" spans="1:2" ht="15">
      <c r="A90" s="12" t="s">
        <v>90</v>
      </c>
      <c r="B90" s="26">
        <f>_xlfn.IFERROR(AVERAGE(Vertices[In-Degree]),NoMetricMessage)</f>
        <v>0.5</v>
      </c>
    </row>
    <row r="91" spans="1:2" ht="15">
      <c r="A91" s="12" t="s">
        <v>91</v>
      </c>
      <c r="B91" s="26">
        <f>_xlfn.IFERROR(MEDIAN(Vertices[In-Degree]),NoMetricMessage)</f>
        <v>0.5</v>
      </c>
    </row>
    <row r="102" spans="1:2" ht="15">
      <c r="A102" s="12" t="s">
        <v>94</v>
      </c>
      <c r="B102" s="25">
        <f>IF(COUNT(Vertices[Out-Degree])&gt;0,H2,NoMetricMessage)</f>
        <v>0</v>
      </c>
    </row>
    <row r="103" spans="1:2" ht="15">
      <c r="A103" s="12" t="s">
        <v>95</v>
      </c>
      <c r="B103" s="25">
        <f>IF(COUNT(Vertices[Out-Degree])&gt;0,H36,NoMetricMessage)</f>
        <v>1</v>
      </c>
    </row>
    <row r="104" spans="1:2" ht="15">
      <c r="A104" s="12" t="s">
        <v>96</v>
      </c>
      <c r="B104" s="26">
        <f>_xlfn.IFERROR(AVERAGE(Vertices[Out-Degree]),NoMetricMessage)</f>
        <v>0.5</v>
      </c>
    </row>
    <row r="105" spans="1:2" ht="15">
      <c r="A105" s="12" t="s">
        <v>97</v>
      </c>
      <c r="B105" s="26">
        <f>_xlfn.IFERROR(MEDIAN(Vertices[Out-Degree]),NoMetricMessage)</f>
        <v>0.5</v>
      </c>
    </row>
    <row r="116" spans="1:2" ht="15">
      <c r="A116" s="12" t="s">
        <v>100</v>
      </c>
      <c r="B116" s="26">
        <f>IF(COUNT(Vertices[Betweenness Centrality])&gt;0,J2,NoMetricMessage)</f>
        <v>0</v>
      </c>
    </row>
    <row r="117" spans="1:2" ht="15">
      <c r="A117" s="12" t="s">
        <v>101</v>
      </c>
      <c r="B117" s="26">
        <f>IF(COUNT(Vertices[Betweenness Centrality])&gt;0,J36,NoMetricMessage)</f>
        <v>0</v>
      </c>
    </row>
    <row r="118" spans="1:2" ht="15">
      <c r="A118" s="12" t="s">
        <v>102</v>
      </c>
      <c r="B118" s="26">
        <f>_xlfn.IFERROR(AVERAGE(Vertices[Betweenness Centrality]),NoMetricMessage)</f>
        <v>0</v>
      </c>
    </row>
    <row r="119" spans="1:2" ht="15">
      <c r="A119" s="12" t="s">
        <v>103</v>
      </c>
      <c r="B119" s="26">
        <f>_xlfn.IFERROR(MEDIAN(Vertices[Betweenness Centrality]),NoMetricMessage)</f>
        <v>0</v>
      </c>
    </row>
    <row r="130" spans="1:2" ht="15">
      <c r="A130" s="12" t="s">
        <v>106</v>
      </c>
      <c r="B130" s="26">
        <f>IF(COUNT(Vertices[Closeness Centrality])&gt;0,L2,NoMetricMessage)</f>
        <v>0.111111</v>
      </c>
    </row>
    <row r="131" spans="1:2" ht="15">
      <c r="A131" s="12" t="s">
        <v>107</v>
      </c>
      <c r="B131" s="26">
        <f>IF(COUNT(Vertices[Closeness Centrality])&gt;0,L36,NoMetricMessage)</f>
        <v>0.111111</v>
      </c>
    </row>
    <row r="132" spans="1:2" ht="15">
      <c r="A132" s="12" t="s">
        <v>108</v>
      </c>
      <c r="B132" s="26">
        <f>_xlfn.IFERROR(AVERAGE(Vertices[Closeness Centrality]),NoMetricMessage)</f>
        <v>0.11111099999999999</v>
      </c>
    </row>
    <row r="133" spans="1:2" ht="15">
      <c r="A133" s="12" t="s">
        <v>109</v>
      </c>
      <c r="B133" s="26">
        <f>_xlfn.IFERROR(MEDIAN(Vertices[Closeness Centrality]),NoMetricMessage)</f>
        <v>0.111111</v>
      </c>
    </row>
    <row r="144" spans="1:2" ht="15">
      <c r="A144" s="12" t="s">
        <v>112</v>
      </c>
      <c r="B144" s="26">
        <f>IF(COUNT(Vertices[Eigenvector Centrality])&gt;0,N2,NoMetricMessage)</f>
        <v>0.316228</v>
      </c>
    </row>
    <row r="145" spans="1:2" ht="15">
      <c r="A145" s="12" t="s">
        <v>113</v>
      </c>
      <c r="B145" s="26">
        <f>IF(COUNT(Vertices[Eigenvector Centrality])&gt;0,N36,NoMetricMessage)</f>
        <v>0.316228</v>
      </c>
    </row>
    <row r="146" spans="1:2" ht="15">
      <c r="A146" s="12" t="s">
        <v>114</v>
      </c>
      <c r="B146" s="26">
        <f>_xlfn.IFERROR(AVERAGE(Vertices[Eigenvector Centrality]),NoMetricMessage)</f>
        <v>0.31622800000000006</v>
      </c>
    </row>
    <row r="147" spans="1:2" ht="15">
      <c r="A147" s="12" t="s">
        <v>115</v>
      </c>
      <c r="B147" s="26">
        <f>_xlfn.IFERROR(MEDIAN(Vertices[Eigenvector Centrality]),NoMetricMessage)</f>
        <v>0.316228</v>
      </c>
    </row>
    <row r="158" spans="1:2" ht="15">
      <c r="A158" s="12" t="s">
        <v>140</v>
      </c>
      <c r="B158" s="26">
        <f>IF(COUNT(Vertices[PageRank])&gt;0,P2,NoMetricMessage)</f>
        <v>0.1</v>
      </c>
    </row>
    <row r="159" spans="1:2" ht="15">
      <c r="A159" s="12" t="s">
        <v>141</v>
      </c>
      <c r="B159" s="26">
        <f>IF(COUNT(Vertices[PageRank])&gt;0,P36,NoMetricMessage)</f>
        <v>0.1</v>
      </c>
    </row>
    <row r="160" spans="1:2" ht="15">
      <c r="A160" s="12" t="s">
        <v>142</v>
      </c>
      <c r="B160" s="26">
        <f>_xlfn.IFERROR(AVERAGE(Vertices[PageRank]),NoMetricMessage)</f>
        <v>0.09999999999999999</v>
      </c>
    </row>
    <row r="161" spans="1:2" ht="15">
      <c r="A161" s="12" t="s">
        <v>143</v>
      </c>
      <c r="B161" s="26">
        <f>_xlfn.IFERROR(MEDIAN(Vertices[PageRank]),NoMetricMessage)</f>
        <v>0.1</v>
      </c>
    </row>
    <row r="172" spans="1:2" ht="15">
      <c r="A172" s="12" t="s">
        <v>118</v>
      </c>
      <c r="B172" s="26">
        <f>IF(COUNT(Vertices[Clustering Coefficient])&gt;0,R2,NoMetricMessage)</f>
        <v>0</v>
      </c>
    </row>
    <row r="173" spans="1:2" ht="15">
      <c r="A173" s="12" t="s">
        <v>119</v>
      </c>
      <c r="B173" s="26">
        <f>IF(COUNT(Vertices[Clustering Coefficient])&gt;0,R36,NoMetricMessage)</f>
        <v>0</v>
      </c>
    </row>
    <row r="174" spans="1:2" ht="15">
      <c r="A174" s="12" t="s">
        <v>120</v>
      </c>
      <c r="B174" s="26">
        <f>_xlfn.IFERROR(AVERAGE(Vertices[Clustering Coefficient]),NoMetricMessage)</f>
        <v>0</v>
      </c>
    </row>
    <row r="175" spans="1:2" ht="15">
      <c r="A175" s="12" t="s">
        <v>121</v>
      </c>
      <c r="B175" s="26">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2" customFormat="1" ht="36" customHeight="1">
      <c r="A1" s="3" t="s">
        <v>6</v>
      </c>
      <c r="B1" s="3" t="s">
        <v>131</v>
      </c>
      <c r="C1" s="2" t="s">
        <v>7</v>
      </c>
      <c r="D1" s="2" t="s">
        <v>9</v>
      </c>
      <c r="E1" s="2" t="s">
        <v>164</v>
      </c>
      <c r="F1" s="3" t="s">
        <v>169</v>
      </c>
      <c r="G1" s="2" t="s">
        <v>14</v>
      </c>
      <c r="H1" s="2" t="s">
        <v>67</v>
      </c>
      <c r="J1" s="2" t="s">
        <v>18</v>
      </c>
      <c r="K1" s="2" t="s">
        <v>17</v>
      </c>
      <c r="M1" s="2" t="s">
        <v>22</v>
      </c>
      <c r="N1" s="2" t="s">
        <v>23</v>
      </c>
      <c r="O1" s="2" t="s">
        <v>24</v>
      </c>
      <c r="P1" s="2"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5" t="s">
        <v>221</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184</v>
      </c>
      <c r="K7" t="s">
        <v>216</v>
      </c>
    </row>
    <row r="8" spans="1:11" ht="409.5">
      <c r="A8"/>
      <c r="B8">
        <v>2</v>
      </c>
      <c r="C8">
        <v>2</v>
      </c>
      <c r="D8" t="s">
        <v>61</v>
      </c>
      <c r="E8" t="s">
        <v>61</v>
      </c>
      <c r="H8" t="s">
        <v>73</v>
      </c>
      <c r="J8" t="s">
        <v>185</v>
      </c>
      <c r="K8" s="5" t="s">
        <v>226</v>
      </c>
    </row>
    <row r="9" spans="1:11" ht="15">
      <c r="A9"/>
      <c r="B9">
        <v>3</v>
      </c>
      <c r="C9">
        <v>4</v>
      </c>
      <c r="D9" t="s">
        <v>62</v>
      </c>
      <c r="E9" t="s">
        <v>62</v>
      </c>
      <c r="H9" t="s">
        <v>74</v>
      </c>
      <c r="J9" t="s">
        <v>213</v>
      </c>
      <c r="K9" t="s">
        <v>219</v>
      </c>
    </row>
    <row r="10" spans="1:11" ht="409.5">
      <c r="A10"/>
      <c r="B10">
        <v>4</v>
      </c>
      <c r="D10" t="s">
        <v>63</v>
      </c>
      <c r="E10" t="s">
        <v>63</v>
      </c>
      <c r="H10" t="s">
        <v>75</v>
      </c>
      <c r="J10" t="s">
        <v>214</v>
      </c>
      <c r="K10" s="5" t="s">
        <v>223</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5C4B3-DC6A-4408-BB8F-376A752B1AD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5" t="s">
        <v>205</v>
      </c>
      <c r="B1" s="5" t="s">
        <v>17</v>
      </c>
    </row>
    <row r="2" spans="1:2" ht="15">
      <c r="A2" s="82" t="s">
        <v>206</v>
      </c>
      <c r="B2" s="82"/>
    </row>
    <row r="3" spans="1:2" ht="15">
      <c r="A3" s="83" t="s">
        <v>207</v>
      </c>
      <c r="B3" s="82"/>
    </row>
    <row r="4" spans="1:2" ht="15">
      <c r="A4" s="83" t="s">
        <v>208</v>
      </c>
      <c r="B4" s="82"/>
    </row>
    <row r="5" spans="1:2" ht="15">
      <c r="A5" s="83" t="s">
        <v>209</v>
      </c>
      <c r="B5" s="82"/>
    </row>
    <row r="6" spans="1:2" ht="15">
      <c r="A6" s="83" t="s">
        <v>210</v>
      </c>
      <c r="B6" s="82"/>
    </row>
    <row r="7" spans="1:2" ht="15">
      <c r="A7" s="83" t="s">
        <v>211</v>
      </c>
      <c r="B7" s="82"/>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FF3043E-28F3-43DC-8AB3-AE27435B66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2023-03-31T16:20:25Z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